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79c147928ddb36/Documents/Vistabeam/Grants-and-Loans/Nebraska Broadband Bridge Program-2023/Broadwater/Broadwater-NBBP2023/Attachments/"/>
    </mc:Choice>
  </mc:AlternateContent>
  <xr:revisionPtr revIDLastSave="0" documentId="14_{C230E94C-E8B4-4EF5-8A11-560C01FE37A5}" xr6:coauthVersionLast="46" xr6:coauthVersionMax="46" xr10:uidLastSave="{00000000-0000-0000-0000-000000000000}"/>
  <bookViews>
    <workbookView xWindow="29475" yWindow="-210" windowWidth="27150" windowHeight="15600" activeTab="1" xr2:uid="{00000000-000D-0000-FFFF-FFFF00000000}"/>
  </bookViews>
  <sheets>
    <sheet name="SUMMARY" sheetId="8" r:id="rId1"/>
    <sheet name="OSP BOM" sheetId="9" r:id="rId2"/>
    <sheet name="ISP BOM" sheetId="11" r:id="rId3"/>
    <sheet name="OSP BOM 2" sheetId="7" state="hidden" r:id="rId4"/>
  </sheets>
  <externalReferences>
    <externalReference r:id="rId5"/>
    <externalReference r:id="rId6"/>
    <externalReference r:id="rId7"/>
    <externalReference r:id="rId8"/>
  </externalReferences>
  <definedNames>
    <definedName name="__EdFJsKAA" localSheetId="2" hidden="1">[0]!DOWNLOAD</definedName>
    <definedName name="__EdFJsKAA" localSheetId="3" hidden="1">[0]!DOWNLOAD</definedName>
    <definedName name="__EdFJsKAA" hidden="1">[0]!DOWNLOAD</definedName>
    <definedName name="__IntlFixup">TRUE</definedName>
    <definedName name="_Fill" hidden="1">[1]Template!#REF!</definedName>
    <definedName name="_xlnm._FilterDatabase" hidden="1">#REF!</definedName>
    <definedName name="anscount" hidden="1">1</definedName>
    <definedName name="asdfasdf" localSheetId="3" hidden="1">{"PriceSheetNoMargins",#N/A,FALSE,"PriceSheet"}</definedName>
    <definedName name="asdfasdf" hidden="1">{"PriceSheetNoMargins",#N/A,FALSE,"PriceSheet"}</definedName>
    <definedName name="asdfasdfasfdasdf" localSheetId="3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asdfasdfasfdasdf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CellWatch01Descn">""</definedName>
    <definedName name="CellWatch01Name">"FA OROS"</definedName>
    <definedName name="Chksyscables">"Check Box 22"</definedName>
    <definedName name="Code" hidden="1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HTML_CodePage">1252</definedName>
    <definedName name="HTML_Control" localSheetId="3">{"'FG4'!$A$1:$K$210","'FG4'!$A$1:$K$205","'FG4'!$A$207:$B$208"}</definedName>
    <definedName name="HTML_Control">{"'FG4'!$A$1:$K$210","'FG4'!$A$1:$K$205","'FG4'!$A$207:$B$208"}</definedName>
    <definedName name="HTML_Description">""</definedName>
    <definedName name="HTML_Email">""</definedName>
    <definedName name="HTML_Header">"FG4,4P,4M"</definedName>
    <definedName name="HTML_LastUpdate">"7/21/99"</definedName>
    <definedName name="HTML_LineAfter">FALSE</definedName>
    <definedName name="HTML_LineBefore">FALSE</definedName>
    <definedName name="HTML_Name">"Haluk Ulubay"</definedName>
    <definedName name="HTML_OBDlg2">TRUE</definedName>
    <definedName name="HTML_OBDlg4">TRUE</definedName>
    <definedName name="HTML_OS">0</definedName>
    <definedName name="HTML_PathFile">"U:\public_html\fg4price0799.htm"</definedName>
    <definedName name="HTML_Title">"ADSL PRICE LIST"</definedName>
    <definedName name="IMM_DISCOUNT">'[2]IPIS Input'!$C$7</definedName>
    <definedName name="new" localSheetId="3">{"PriceSheetNoMargins",#N/A,FALSE,"PriceSheet"}</definedName>
    <definedName name="new">{"PriceSheetNoMargins",#N/A,FALSE,"PriceSheet"}</definedName>
    <definedName name="OPT_DISCOUNT">'[2]IPIS Input'!$C$8</definedName>
    <definedName name="OrderTable" hidden="1">#REF!</definedName>
    <definedName name="ProdForm" hidden="1">#REF!</definedName>
    <definedName name="Product" hidden="1">#REF!</definedName>
    <definedName name="PwrBk" hidden="1">"C:\DOCUME~1\jbunting\LOCALS~1\Temp\1830SparesPowerKits100608.xls"</definedName>
    <definedName name="RCArea" hidden="1">#REF!</definedName>
    <definedName name="recommned" localSheetId="3" hidden="1">{"PriceSheetNoMargins",#N/A,FALSE,"PriceSheet"}</definedName>
    <definedName name="recommned" hidden="1">{"PriceSheetNoMargins",#N/A,FALSE,"PriceSheet"}</definedName>
    <definedName name="SAM_DISCOUNT">'[2]IPIS Input'!$C$5</definedName>
    <definedName name="SpecialPrice" hidden="1">#REF!</definedName>
    <definedName name="SR_DISCOUNT">'[2]IPIS Input'!$C$6</definedName>
    <definedName name="tbl_ProdInfo" hidden="1">#REF!</definedName>
    <definedName name="tom">#REF!</definedName>
    <definedName name="vdslcables">'[3]Price List'!$D$944:$D$950</definedName>
    <definedName name="wrn.ECS1._.Worksheet." localSheetId="3" hidden="1">{#N/A,#N/A,FALSE,"WKSH (A-J)";#N/A,#N/A,FALSE,"WKSH (A-K)";#N/A,#N/A,FALSE,"WKSH (B-J)";#N/A,#N/A,FALSE,"WKSH (B-K)"}</definedName>
    <definedName name="wrn.ECS1._.Worksheet." hidden="1">{#N/A,#N/A,FALSE,"WKSH (A-J)";#N/A,#N/A,FALSE,"WKSH (A-K)";#N/A,#N/A,FALSE,"WKSH (B-J)";#N/A,#N/A,FALSE,"WKSH (B-K)"}</definedName>
    <definedName name="wrn.PriceSheetNoMargins." localSheetId="3" hidden="1">{"PriceSheetNoMargins",#N/A,FALSE,"PriceSheet"}</definedName>
    <definedName name="wrn.PriceSheetNoMargins." hidden="1">{"PriceSheetNoMargins",#N/A,FALSE,"PriceSheet"}</definedName>
    <definedName name="wrn.Table._.Of._.Contents." localSheetId="3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wrn.Table._.Of._.Contents.">{#N/A,#N/A,FALSE,"Job Summary";#N/A,#N/A,FALSE,"Contact and Delivery";#N/A,#N/A,FALSE,"Reference Documents";#N/A,#N/A,FALSE,"General Notes";#N/A,#N/A,FALSE,"Installer Work Items";#N/A,#N/A,FALSE,"Installer Notes";#N/A,#N/A,FALSE,"List of Materials";#N/A,#N/A,FALSE,"Power Cabling List";#N/A,#N/A,FALSE,"Ground Cabling List";#N/A,#N/A,FALSE,"Signal Cabling List";#N/A,#N/A,FALSE,"GTP Cabling List";#N/A,#N/A,FALSE,"Alarm and Clock Cabling List";#N/A,#N/A,FALSE,"Attachments"}</definedName>
    <definedName name="YesNo">'[4]Step 2 - SMALL&amp;Medium  Network'!$B$42:$B$43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8" l="1"/>
  <c r="E17" i="8"/>
  <c r="K49" i="9"/>
  <c r="K47" i="9"/>
  <c r="H29" i="9"/>
  <c r="I29" i="9"/>
  <c r="J29" i="9" s="1"/>
  <c r="H2" i="9"/>
  <c r="H12" i="9"/>
  <c r="H13" i="9"/>
  <c r="H20" i="9"/>
  <c r="H22" i="9"/>
  <c r="H23" i="9"/>
  <c r="H25" i="9"/>
  <c r="H26" i="9"/>
  <c r="H28" i="9"/>
  <c r="J28" i="9" s="1"/>
  <c r="I28" i="9"/>
  <c r="J22" i="9" l="1"/>
  <c r="J13" i="9"/>
  <c r="E21" i="9"/>
  <c r="E16" i="9"/>
  <c r="E14" i="9"/>
  <c r="E24" i="9" s="1"/>
  <c r="H4" i="11"/>
  <c r="I4" i="11"/>
  <c r="J4" i="11" s="1"/>
  <c r="E9" i="9"/>
  <c r="H9" i="9" s="1"/>
  <c r="E7" i="9"/>
  <c r="H7" i="9" s="1"/>
  <c r="G18" i="9"/>
  <c r="E27" i="9"/>
  <c r="H27" i="9" s="1"/>
  <c r="I9" i="9"/>
  <c r="J9" i="9" s="1"/>
  <c r="I12" i="9"/>
  <c r="J12" i="9" s="1"/>
  <c r="I13" i="9"/>
  <c r="I20" i="9"/>
  <c r="J20" i="9" s="1"/>
  <c r="I22" i="9"/>
  <c r="I23" i="9"/>
  <c r="J23" i="9" s="1"/>
  <c r="I25" i="9"/>
  <c r="J25" i="9" s="1"/>
  <c r="I26" i="9"/>
  <c r="J26" i="9" s="1"/>
  <c r="I21" i="9" l="1"/>
  <c r="H21" i="9"/>
  <c r="I16" i="9"/>
  <c r="H16" i="9"/>
  <c r="J16" i="9" s="1"/>
  <c r="I24" i="9"/>
  <c r="H24" i="9"/>
  <c r="J24" i="9" s="1"/>
  <c r="I7" i="9"/>
  <c r="J7" i="9" s="1"/>
  <c r="I14" i="9"/>
  <c r="H14" i="9"/>
  <c r="E15" i="9"/>
  <c r="H15" i="9" s="1"/>
  <c r="E19" i="9"/>
  <c r="E6" i="9"/>
  <c r="H6" i="9" s="1"/>
  <c r="E5" i="9"/>
  <c r="H5" i="9" s="1"/>
  <c r="J14" i="9" l="1"/>
  <c r="I19" i="9"/>
  <c r="J44" i="9"/>
  <c r="J21" i="9"/>
  <c r="E17" i="9"/>
  <c r="H17" i="9" s="1"/>
  <c r="I15" i="9"/>
  <c r="J15" i="9" s="1"/>
  <c r="E4" i="9"/>
  <c r="H5" i="11"/>
  <c r="I5" i="11"/>
  <c r="H6" i="11"/>
  <c r="I6" i="11"/>
  <c r="J6" i="11" s="1"/>
  <c r="I3" i="11"/>
  <c r="H3" i="11"/>
  <c r="I2" i="11"/>
  <c r="H2" i="11"/>
  <c r="J17" i="9" l="1"/>
  <c r="I4" i="9"/>
  <c r="H4" i="9"/>
  <c r="J4" i="9" s="1"/>
  <c r="E18" i="9"/>
  <c r="H18" i="9" s="1"/>
  <c r="E10" i="9"/>
  <c r="H10" i="9" s="1"/>
  <c r="I17" i="9"/>
  <c r="J43" i="9"/>
  <c r="J47" i="9" s="1"/>
  <c r="J5" i="11"/>
  <c r="J3" i="11"/>
  <c r="J2" i="11"/>
  <c r="I8" i="11"/>
  <c r="H8" i="11"/>
  <c r="H7" i="11" l="1"/>
  <c r="I7" i="11"/>
  <c r="J8" i="11"/>
  <c r="J35" i="9"/>
  <c r="E9" i="8"/>
  <c r="I6" i="9"/>
  <c r="J6" i="9" s="1"/>
  <c r="I5" i="9"/>
  <c r="J5" i="9" s="1"/>
  <c r="J11" i="11" l="1"/>
  <c r="E7" i="8" s="1"/>
  <c r="J7" i="11"/>
  <c r="J12" i="11"/>
  <c r="E11" i="9"/>
  <c r="F19" i="9"/>
  <c r="H19" i="9" s="1"/>
  <c r="J19" i="9" s="1"/>
  <c r="E3" i="9"/>
  <c r="H3" i="9" s="1"/>
  <c r="I18" i="9"/>
  <c r="J18" i="9" s="1"/>
  <c r="I27" i="9"/>
  <c r="J27" i="9" s="1"/>
  <c r="I2" i="9"/>
  <c r="J2" i="9" s="1"/>
  <c r="E8" i="9"/>
  <c r="J3" i="9" l="1"/>
  <c r="I11" i="9"/>
  <c r="J11" i="9" s="1"/>
  <c r="H11" i="9"/>
  <c r="I8" i="9"/>
  <c r="H8" i="9"/>
  <c r="J8" i="9" s="1"/>
  <c r="E8" i="8"/>
  <c r="J45" i="9"/>
  <c r="I10" i="9"/>
  <c r="J10" i="9" s="1"/>
  <c r="J10" i="11"/>
  <c r="I3" i="9"/>
  <c r="J34" i="9" l="1"/>
  <c r="E6" i="8"/>
  <c r="J33" i="9" l="1"/>
  <c r="D5" i="8" s="1"/>
  <c r="E5" i="8" s="1"/>
  <c r="J32" i="9"/>
  <c r="D4" i="8" s="1"/>
  <c r="J31" i="9"/>
  <c r="H22" i="7"/>
  <c r="K22" i="7" s="1"/>
  <c r="I22" i="7"/>
  <c r="J22" i="7"/>
  <c r="J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9" i="7"/>
  <c r="J50" i="7"/>
  <c r="J51" i="7"/>
  <c r="J52" i="7"/>
  <c r="J53" i="7"/>
  <c r="J54" i="7"/>
  <c r="J55" i="7"/>
  <c r="J57" i="7"/>
  <c r="J58" i="7"/>
  <c r="J59" i="7"/>
  <c r="I2" i="7"/>
  <c r="I3" i="7"/>
  <c r="I4" i="7"/>
  <c r="I5" i="7"/>
  <c r="I6" i="7"/>
  <c r="I7" i="7"/>
  <c r="I8" i="7"/>
  <c r="I9" i="7"/>
  <c r="I13" i="7"/>
  <c r="I15" i="7"/>
  <c r="I16" i="7"/>
  <c r="I19" i="7"/>
  <c r="I20" i="7"/>
  <c r="I21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41" i="7"/>
  <c r="I42" i="7"/>
  <c r="I45" i="7"/>
  <c r="I49" i="7"/>
  <c r="I50" i="7"/>
  <c r="I51" i="7"/>
  <c r="I52" i="7"/>
  <c r="I53" i="7"/>
  <c r="I54" i="7"/>
  <c r="I55" i="7"/>
  <c r="I57" i="7"/>
  <c r="I58" i="7"/>
  <c r="I59" i="7"/>
  <c r="H59" i="7"/>
  <c r="K59" i="7" s="1"/>
  <c r="H58" i="7"/>
  <c r="K58" i="7" s="1"/>
  <c r="H57" i="7"/>
  <c r="K57" i="7" s="1"/>
  <c r="H56" i="7"/>
  <c r="E56" i="7"/>
  <c r="I56" i="7" s="1"/>
  <c r="H55" i="7"/>
  <c r="K55" i="7" s="1"/>
  <c r="H54" i="7"/>
  <c r="K54" i="7" s="1"/>
  <c r="H53" i="7"/>
  <c r="K53" i="7" s="1"/>
  <c r="H52" i="7"/>
  <c r="K52" i="7" s="1"/>
  <c r="H51" i="7"/>
  <c r="K51" i="7" s="1"/>
  <c r="H50" i="7"/>
  <c r="K50" i="7" s="1"/>
  <c r="H49" i="7"/>
  <c r="K49" i="7" s="1"/>
  <c r="H48" i="7"/>
  <c r="H47" i="7"/>
  <c r="E47" i="7"/>
  <c r="J47" i="7" s="1"/>
  <c r="H46" i="7"/>
  <c r="E46" i="7"/>
  <c r="J46" i="7" s="1"/>
  <c r="H45" i="7"/>
  <c r="K45" i="7" s="1"/>
  <c r="F44" i="7"/>
  <c r="H44" i="7" s="1"/>
  <c r="K44" i="7" s="1"/>
  <c r="F43" i="7"/>
  <c r="H43" i="7" s="1"/>
  <c r="K43" i="7" s="1"/>
  <c r="H42" i="7"/>
  <c r="K42" i="7" s="1"/>
  <c r="H41" i="7"/>
  <c r="K41" i="7" s="1"/>
  <c r="F40" i="7"/>
  <c r="H40" i="7" s="1"/>
  <c r="K40" i="7" s="1"/>
  <c r="F39" i="7"/>
  <c r="H39" i="7" s="1"/>
  <c r="K39" i="7" s="1"/>
  <c r="F38" i="7"/>
  <c r="H38" i="7" s="1"/>
  <c r="K38" i="7" s="1"/>
  <c r="H37" i="7"/>
  <c r="K37" i="7" s="1"/>
  <c r="H36" i="7"/>
  <c r="K36" i="7" s="1"/>
  <c r="H35" i="7"/>
  <c r="K35" i="7" s="1"/>
  <c r="H34" i="7"/>
  <c r="K34" i="7" s="1"/>
  <c r="H33" i="7"/>
  <c r="K33" i="7" s="1"/>
  <c r="H32" i="7"/>
  <c r="K32" i="7" s="1"/>
  <c r="H31" i="7"/>
  <c r="K31" i="7" s="1"/>
  <c r="H30" i="7"/>
  <c r="K30" i="7" s="1"/>
  <c r="H29" i="7"/>
  <c r="K29" i="7" s="1"/>
  <c r="H28" i="7"/>
  <c r="K28" i="7" s="1"/>
  <c r="H27" i="7"/>
  <c r="K27" i="7" s="1"/>
  <c r="H26" i="7"/>
  <c r="K26" i="7" s="1"/>
  <c r="H25" i="7"/>
  <c r="K25" i="7" s="1"/>
  <c r="H24" i="7"/>
  <c r="K24" i="7" s="1"/>
  <c r="H23" i="7"/>
  <c r="K23" i="7" s="1"/>
  <c r="H21" i="7"/>
  <c r="K21" i="7" s="1"/>
  <c r="H20" i="7"/>
  <c r="K20" i="7" s="1"/>
  <c r="H19" i="7"/>
  <c r="K19" i="7" s="1"/>
  <c r="F18" i="7"/>
  <c r="I18" i="7" s="1"/>
  <c r="F17" i="7"/>
  <c r="H17" i="7" s="1"/>
  <c r="K17" i="7" s="1"/>
  <c r="H16" i="7"/>
  <c r="K16" i="7" s="1"/>
  <c r="H15" i="7"/>
  <c r="K15" i="7" s="1"/>
  <c r="F14" i="7"/>
  <c r="H14" i="7" s="1"/>
  <c r="K14" i="7" s="1"/>
  <c r="H13" i="7"/>
  <c r="K13" i="7" s="1"/>
  <c r="F11" i="7"/>
  <c r="H11" i="7" s="1"/>
  <c r="K11" i="7" s="1"/>
  <c r="F10" i="7"/>
  <c r="H10" i="7" s="1"/>
  <c r="K10" i="7" s="1"/>
  <c r="H9" i="7"/>
  <c r="K9" i="7" s="1"/>
  <c r="H8" i="7"/>
  <c r="K8" i="7" s="1"/>
  <c r="H7" i="7"/>
  <c r="K7" i="7" s="1"/>
  <c r="H6" i="7"/>
  <c r="K6" i="7" s="1"/>
  <c r="H5" i="7"/>
  <c r="K5" i="7" s="1"/>
  <c r="H4" i="7"/>
  <c r="K4" i="7" s="1"/>
  <c r="H3" i="7"/>
  <c r="K3" i="7" s="1"/>
  <c r="H2" i="7"/>
  <c r="K2" i="7" s="1"/>
  <c r="E48" i="7"/>
  <c r="D3" i="8" l="1"/>
  <c r="D9" i="8" s="1"/>
  <c r="I46" i="7"/>
  <c r="J56" i="7"/>
  <c r="I48" i="7"/>
  <c r="J48" i="7"/>
  <c r="K63" i="7" s="1"/>
  <c r="K48" i="7"/>
  <c r="I14" i="7"/>
  <c r="I39" i="7"/>
  <c r="I10" i="7"/>
  <c r="I38" i="7"/>
  <c r="I47" i="7"/>
  <c r="H18" i="7"/>
  <c r="K18" i="7" s="1"/>
  <c r="I40" i="7"/>
  <c r="I44" i="7"/>
  <c r="I11" i="7"/>
  <c r="I43" i="7"/>
  <c r="I17" i="7"/>
  <c r="F12" i="7"/>
  <c r="K47" i="7"/>
  <c r="K46" i="7"/>
  <c r="K56" i="7"/>
  <c r="H12" i="7" l="1"/>
  <c r="K12" i="7" s="1"/>
  <c r="K61" i="7" s="1"/>
  <c r="I12" i="7"/>
  <c r="K62" i="7" s="1"/>
  <c r="E4" i="8" s="1"/>
  <c r="D7" i="8"/>
  <c r="K65" i="7" l="1"/>
  <c r="E3" i="8" l="1"/>
  <c r="D8" i="8" l="1"/>
  <c r="D6" i="8" l="1"/>
  <c r="K64" i="7"/>
  <c r="K66" i="7" s="1"/>
  <c r="K68" i="7" s="1"/>
  <c r="J36" i="9" l="1"/>
  <c r="D11" i="8"/>
  <c r="J38" i="9" l="1"/>
  <c r="J41" i="9" s="1"/>
  <c r="J49" i="9" s="1"/>
  <c r="J51" i="9" s="1"/>
  <c r="E11" i="8"/>
  <c r="E13" i="8" s="1"/>
  <c r="D13" i="8"/>
  <c r="E14" i="8" l="1"/>
  <c r="E15" i="8" s="1"/>
</calcChain>
</file>

<file path=xl/sharedStrings.xml><?xml version="1.0" encoding="utf-8"?>
<sst xmlns="http://schemas.openxmlformats.org/spreadsheetml/2006/main" count="440" uniqueCount="190">
  <si>
    <t>Grand Total</t>
  </si>
  <si>
    <t>Description</t>
  </si>
  <si>
    <t>Quantity</t>
  </si>
  <si>
    <t>Group</t>
  </si>
  <si>
    <t>Id</t>
  </si>
  <si>
    <t>Unit</t>
  </si>
  <si>
    <t>Material</t>
  </si>
  <si>
    <t>Labor</t>
  </si>
  <si>
    <t>Unit Cost</t>
  </si>
  <si>
    <t xml:space="preserve"> Total Cost </t>
  </si>
  <si>
    <t>Terminals, cabinets, splitters</t>
  </si>
  <si>
    <t>SP-A-D</t>
  </si>
  <si>
    <t>Splice Case Aerial</t>
  </si>
  <si>
    <t>count</t>
  </si>
  <si>
    <t>FDH-A-144</t>
  </si>
  <si>
    <t>Fiber Distribution Hub 144</t>
  </si>
  <si>
    <t>FDH-A-256</t>
  </si>
  <si>
    <t>Fiber Distribution Hub 256</t>
  </si>
  <si>
    <t>FDH-A-432</t>
  </si>
  <si>
    <t>Fiber Distribution Hub 432</t>
  </si>
  <si>
    <t>FDH-A-576</t>
  </si>
  <si>
    <t>Fiber Distribution Hub 576</t>
  </si>
  <si>
    <t>FDH-A-720</t>
  </si>
  <si>
    <t>Fiber Distribution Hub 720</t>
  </si>
  <si>
    <t>FDH-A-864</t>
  </si>
  <si>
    <t>Fiber Distribution Hub 864</t>
  </si>
  <si>
    <t>SPL-32</t>
  </si>
  <si>
    <t>Splitter 1x32</t>
  </si>
  <si>
    <t>TH-A-4</t>
  </si>
  <si>
    <t>Aerial Drop Terminal Hub 4</t>
  </si>
  <si>
    <t>TH-A-2</t>
  </si>
  <si>
    <t>Aerial Drop Terminal Hub 2</t>
  </si>
  <si>
    <t>TH-A-6</t>
  </si>
  <si>
    <t>Aerial Drop Terminal Hub 6</t>
  </si>
  <si>
    <t>TH-A-8</t>
  </si>
  <si>
    <t>Aerial Drop Terminal Hub 8</t>
  </si>
  <si>
    <t>TH-A-12</t>
  </si>
  <si>
    <t>Aerial Drop Terminal Hub 12</t>
  </si>
  <si>
    <t>TH-U-2</t>
  </si>
  <si>
    <t>Underground Drop Terminal Hub 2</t>
  </si>
  <si>
    <t>TH-U-4</t>
  </si>
  <si>
    <t>Underground Drop Terminal Hub 4</t>
  </si>
  <si>
    <t>TH-U-6</t>
  </si>
  <si>
    <t>Underground Drop Terminal Hub 6</t>
  </si>
  <si>
    <t>TH-U-8</t>
  </si>
  <si>
    <t>Underground Drop Terminal Hub 8</t>
  </si>
  <si>
    <t>TH-U-12</t>
  </si>
  <si>
    <t>Underground Drop Terminal Hub 12</t>
  </si>
  <si>
    <t>FH-512</t>
  </si>
  <si>
    <t>Feeder Hub</t>
  </si>
  <si>
    <t>SP-U-D</t>
  </si>
  <si>
    <t>Splice Case Underground</t>
  </si>
  <si>
    <t>FH-1024</t>
  </si>
  <si>
    <t>FH-1536</t>
  </si>
  <si>
    <t>FH-19456</t>
  </si>
  <si>
    <t>Cables</t>
  </si>
  <si>
    <t>F-TU-2</t>
  </si>
  <si>
    <t>Underground Fiber Drop Terminal 1</t>
  </si>
  <si>
    <t>feet</t>
  </si>
  <si>
    <t>F-TA-2</t>
  </si>
  <si>
    <t>Aerial Fiber Drop Terminal 1</t>
  </si>
  <si>
    <t>F-TT-2</t>
  </si>
  <si>
    <t>Transitional Fiber Drop Terminal 1</t>
  </si>
  <si>
    <t>F-DA-12</t>
  </si>
  <si>
    <t>Aerial Fiber Distribution 12</t>
  </si>
  <si>
    <t>F-DA-24</t>
  </si>
  <si>
    <t>Aerial Fiber Distribution 24</t>
  </si>
  <si>
    <t>F-DA-48</t>
  </si>
  <si>
    <t>Aerial Fiber Distribution 48</t>
  </si>
  <si>
    <t>F-DA-96</t>
  </si>
  <si>
    <t>Aerial Fiber Distribution 96</t>
  </si>
  <si>
    <t>F-DA-144</t>
  </si>
  <si>
    <t>Aerial Fiber Distribution 144</t>
  </si>
  <si>
    <t>F-DA-288</t>
  </si>
  <si>
    <t>Aerial Fiber Distribution 288</t>
  </si>
  <si>
    <t>F-FA-288</t>
  </si>
  <si>
    <t>Aerial Fiber Feeder 288</t>
  </si>
  <si>
    <t>F-FA-144</t>
  </si>
  <si>
    <t>Aerial Fiber Feeder 144</t>
  </si>
  <si>
    <t>F-FU-144</t>
  </si>
  <si>
    <t>Underground Fiber Feeder 144</t>
  </si>
  <si>
    <t>F-FU-288</t>
  </si>
  <si>
    <t>Underground Fiber Feeder 288</t>
  </si>
  <si>
    <t>F-DU-12</t>
  </si>
  <si>
    <t>Underground Fiber Distribution 12</t>
  </si>
  <si>
    <t>F-DU-24</t>
  </si>
  <si>
    <t>Underground Fiber Distribution 24</t>
  </si>
  <si>
    <t>F-DU-48</t>
  </si>
  <si>
    <t>Underground Fiber Distribution 48</t>
  </si>
  <si>
    <t>F-DU-96</t>
  </si>
  <si>
    <t>Underground Fiber Distribution 96</t>
  </si>
  <si>
    <t>F-DU-144</t>
  </si>
  <si>
    <t>Underground Fiber Distribution 144</t>
  </si>
  <si>
    <t>F-DU-288</t>
  </si>
  <si>
    <t>Underground Fiber Distribution 288</t>
  </si>
  <si>
    <t>F-FA-96</t>
  </si>
  <si>
    <t>Aerial Fiber Feeder 48</t>
  </si>
  <si>
    <t>F-FU-96</t>
  </si>
  <si>
    <t>Underground Fiber Feeder 96</t>
  </si>
  <si>
    <t>Miscellaneous</t>
  </si>
  <si>
    <t>Rock</t>
  </si>
  <si>
    <t>Rock Excavation</t>
  </si>
  <si>
    <t>Bore</t>
  </si>
  <si>
    <t>Drive/Road Bore</t>
  </si>
  <si>
    <t>Splices</t>
  </si>
  <si>
    <t>All Fiber Splices</t>
  </si>
  <si>
    <t>Poles</t>
  </si>
  <si>
    <t>PL-FDH</t>
  </si>
  <si>
    <t>All Utility Poles with Distribution Hubs</t>
  </si>
  <si>
    <t>PL-DT</t>
  </si>
  <si>
    <t>All Utility Poles with Drop Terminal</t>
  </si>
  <si>
    <t>Slackloops</t>
  </si>
  <si>
    <t>SL-A</t>
  </si>
  <si>
    <t>Slack Aerial</t>
  </si>
  <si>
    <t>SL-U</t>
  </si>
  <si>
    <t>Slack Underground</t>
  </si>
  <si>
    <t>MP</t>
  </si>
  <si>
    <t>Buried Fiber Marker Post</t>
  </si>
  <si>
    <t>Subscriber count</t>
  </si>
  <si>
    <t>SUB</t>
  </si>
  <si>
    <t>Subscriber Count</t>
  </si>
  <si>
    <t>Pedestals, flowerpots, pits, vaults etc</t>
  </si>
  <si>
    <t>HH-24x36</t>
  </si>
  <si>
    <t>Handhole</t>
  </si>
  <si>
    <t>RR</t>
  </si>
  <si>
    <t>Railroad Crossing</t>
  </si>
  <si>
    <t>Cable installation - Aerial</t>
  </si>
  <si>
    <t>AER-PATH</t>
  </si>
  <si>
    <t>Total Fiber Path - non drop</t>
  </si>
  <si>
    <t>Cable installation - Underground</t>
  </si>
  <si>
    <t>U-PATH</t>
  </si>
  <si>
    <t>Conduit</t>
  </si>
  <si>
    <t>Material And Labor</t>
  </si>
  <si>
    <t>ISP</t>
  </si>
  <si>
    <t>Engineering</t>
  </si>
  <si>
    <t>Contingency</t>
  </si>
  <si>
    <t>GRAND TOTAL</t>
  </si>
  <si>
    <t>Material Cost</t>
  </si>
  <si>
    <t>Labor Cost</t>
  </si>
  <si>
    <t>OSP Material and Labor</t>
  </si>
  <si>
    <t>ISP Equipment and Services</t>
  </si>
  <si>
    <t>Equipment</t>
  </si>
  <si>
    <t>Software and Services</t>
  </si>
  <si>
    <t>All Utility Poles - Locate/Attach Cost</t>
  </si>
  <si>
    <t>PL-A</t>
  </si>
  <si>
    <t>Fiber Drop Terminal 2</t>
  </si>
  <si>
    <t>Vaults</t>
  </si>
  <si>
    <t>FP-8</t>
  </si>
  <si>
    <t>Handholes</t>
  </si>
  <si>
    <t>Mainline Vault</t>
  </si>
  <si>
    <t>Distribution Handholes</t>
  </si>
  <si>
    <t xml:space="preserve">Adtran XGS PON </t>
  </si>
  <si>
    <t>1442420G1</t>
  </si>
  <si>
    <t>Adtran 10Gbps SFP+</t>
  </si>
  <si>
    <t>XGS PON Subscriber ONT</t>
  </si>
  <si>
    <t>XGS PON Subscriber Gateway</t>
  </si>
  <si>
    <t>17600023F1S</t>
  </si>
  <si>
    <t>1287930F1</t>
  </si>
  <si>
    <t xml:space="preserve">SDX631 XGS 10GBE Indoor XGS ONT </t>
  </si>
  <si>
    <t>834-V6 SOS (NA)
SDG with 2 FXS, 1 WAN, and 4 LAN Ports.</t>
  </si>
  <si>
    <t xml:space="preserve">Router </t>
  </si>
  <si>
    <t>DC Plant</t>
  </si>
  <si>
    <t>41971310F1</t>
  </si>
  <si>
    <t>Adtran SDX 6312-4 AC/DC</t>
  </si>
  <si>
    <t>NID</t>
  </si>
  <si>
    <t>Outdoor NID</t>
  </si>
  <si>
    <t>STRAND</t>
  </si>
  <si>
    <t>6mm Strand/Preforms /etc</t>
  </si>
  <si>
    <t xml:space="preserve">25% Match </t>
  </si>
  <si>
    <t>Drops</t>
  </si>
  <si>
    <t>Cabinet</t>
  </si>
  <si>
    <t>IOIOBox</t>
  </si>
  <si>
    <t>IOIOBox HVAC 300</t>
  </si>
  <si>
    <t>ROUTER</t>
  </si>
  <si>
    <t>Field Hardened Router</t>
  </si>
  <si>
    <t>DC Power, Alpha UPS, Batteries</t>
  </si>
  <si>
    <t>DC-PLANT</t>
  </si>
  <si>
    <t>Fiber Distribution 24 Count</t>
  </si>
  <si>
    <t>Fiber Distribution 48 Count</t>
  </si>
  <si>
    <t>BROADWATER FTTH BUDGET</t>
  </si>
  <si>
    <t>Passing count</t>
  </si>
  <si>
    <t>Passing Count</t>
  </si>
  <si>
    <t>Backhaul</t>
  </si>
  <si>
    <t>LIC-2G</t>
  </si>
  <si>
    <t>Licensed Backhaul</t>
  </si>
  <si>
    <t>Grant Request</t>
  </si>
  <si>
    <t>Matching Funds</t>
  </si>
  <si>
    <t>Drops Labor</t>
  </si>
  <si>
    <t>Cash Match</t>
  </si>
  <si>
    <t>Labor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</si>
</sst>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51"/>
    <xf numFmtId="164" fontId="1" fillId="0" borderId="0" xfId="51" applyNumberFormat="1"/>
    <xf numFmtId="44" fontId="0" fillId="0" borderId="0" xfId="52" applyFont="1"/>
    <xf numFmtId="8" fontId="1" fillId="0" borderId="0" xfId="51" applyNumberFormat="1"/>
    <xf numFmtId="0" fontId="1" fillId="33" borderId="0" xfId="51" applyFill="1"/>
    <xf numFmtId="0" fontId="1" fillId="34" borderId="0" xfId="51" applyFill="1"/>
    <xf numFmtId="0" fontId="1" fillId="35" borderId="0" xfId="51" applyFill="1"/>
    <xf numFmtId="0" fontId="1" fillId="36" borderId="0" xfId="51" applyFill="1"/>
    <xf numFmtId="164" fontId="0" fillId="0" borderId="0" xfId="52" applyNumberFormat="1" applyFont="1"/>
    <xf numFmtId="44" fontId="1" fillId="0" borderId="0" xfId="51" applyNumberFormat="1"/>
    <xf numFmtId="44" fontId="20" fillId="0" borderId="0" xfId="52" applyFont="1"/>
    <xf numFmtId="44" fontId="16" fillId="0" borderId="0" xfId="1" applyFont="1"/>
    <xf numFmtId="44" fontId="20" fillId="0" borderId="0" xfId="1" applyFont="1"/>
    <xf numFmtId="164" fontId="16" fillId="0" borderId="0" xfId="51" applyNumberFormat="1" applyFont="1"/>
    <xf numFmtId="44" fontId="0" fillId="0" borderId="0" xfId="0" applyNumberFormat="1"/>
    <xf numFmtId="44" fontId="0" fillId="0" borderId="0" xfId="1" applyFont="1"/>
    <xf numFmtId="0" fontId="20" fillId="0" borderId="15" xfId="0" applyFont="1" applyBorder="1"/>
    <xf numFmtId="0" fontId="20" fillId="0" borderId="0" xfId="0" applyFont="1"/>
    <xf numFmtId="0" fontId="0" fillId="0" borderId="15" xfId="0" applyBorder="1"/>
    <xf numFmtId="0" fontId="13" fillId="37" borderId="16" xfId="0" applyFont="1" applyFill="1" applyBorder="1"/>
    <xf numFmtId="0" fontId="13" fillId="37" borderId="10" xfId="0" applyFont="1" applyFill="1" applyBorder="1"/>
    <xf numFmtId="44" fontId="13" fillId="37" borderId="17" xfId="1" applyFont="1" applyFill="1" applyBorder="1"/>
    <xf numFmtId="44" fontId="20" fillId="0" borderId="0" xfId="1" applyFont="1" applyBorder="1"/>
    <xf numFmtId="44" fontId="0" fillId="0" borderId="0" xfId="1" applyFont="1" applyBorder="1"/>
    <xf numFmtId="0" fontId="0" fillId="38" borderId="15" xfId="0" applyFill="1" applyBorder="1"/>
    <xf numFmtId="0" fontId="0" fillId="38" borderId="0" xfId="0" applyFill="1"/>
    <xf numFmtId="44" fontId="0" fillId="38" borderId="11" xfId="1" applyFont="1" applyFill="1" applyBorder="1"/>
    <xf numFmtId="44" fontId="0" fillId="38" borderId="0" xfId="1" applyFont="1" applyFill="1" applyBorder="1"/>
    <xf numFmtId="0" fontId="13" fillId="37" borderId="14" xfId="0" applyFont="1" applyFill="1" applyBorder="1" applyAlignment="1">
      <alignment horizontal="center"/>
    </xf>
    <xf numFmtId="44" fontId="13" fillId="37" borderId="10" xfId="1" applyFont="1" applyFill="1" applyBorder="1"/>
    <xf numFmtId="44" fontId="20" fillId="0" borderId="0" xfId="1" applyFont="1" applyFill="1" applyBorder="1"/>
    <xf numFmtId="44" fontId="0" fillId="0" borderId="11" xfId="1" applyFont="1" applyFill="1" applyBorder="1"/>
    <xf numFmtId="44" fontId="20" fillId="0" borderId="11" xfId="1" applyFont="1" applyFill="1" applyBorder="1"/>
    <xf numFmtId="1" fontId="1" fillId="0" borderId="0" xfId="51" applyNumberFormat="1"/>
    <xf numFmtId="1" fontId="0" fillId="0" borderId="0" xfId="0" applyNumberFormat="1"/>
    <xf numFmtId="44" fontId="1" fillId="0" borderId="0" xfId="1"/>
    <xf numFmtId="7" fontId="16" fillId="0" borderId="0" xfId="1" applyNumberFormat="1" applyFont="1"/>
    <xf numFmtId="0" fontId="0" fillId="33" borderId="0" xfId="51" applyFont="1" applyFill="1"/>
    <xf numFmtId="0" fontId="0" fillId="36" borderId="0" xfId="51" applyFont="1" applyFill="1"/>
    <xf numFmtId="0" fontId="0" fillId="0" borderId="0" xfId="51" applyFont="1"/>
    <xf numFmtId="0" fontId="0" fillId="0" borderId="0" xfId="51" applyFont="1" applyAlignment="1">
      <alignment wrapText="1"/>
    </xf>
    <xf numFmtId="0" fontId="13" fillId="37" borderId="12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7" xfId="52" xr:uid="{00000000-0005-0000-0000-00001D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51" xr:uid="{00000000-0005-0000-0000-000028000000}"/>
    <cellStyle name="Normal 10 2" xfId="46" xr:uid="{00000000-0005-0000-0000-000029000000}"/>
    <cellStyle name="Normal 2" xfId="45" xr:uid="{00000000-0005-0000-0000-00002A000000}"/>
    <cellStyle name="Normal 2 2" xfId="48" xr:uid="{00000000-0005-0000-0000-00002B000000}"/>
    <cellStyle name="Normal 3 19 2" xfId="47" xr:uid="{00000000-0005-0000-0000-00002C000000}"/>
    <cellStyle name="Normal 3 2" xfId="44" xr:uid="{00000000-0005-0000-0000-00002D000000}"/>
    <cellStyle name="Normal 4 2" xfId="49" xr:uid="{00000000-0005-0000-0000-00002E000000}"/>
    <cellStyle name="Normal 76" xfId="50" xr:uid="{00000000-0005-0000-0000-00002F000000}"/>
    <cellStyle name="Normal 8" xfId="43" xr:uid="{00000000-0005-0000-0000-000030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</dxf>
    <dxf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-my.sharepoint.com/C:/C:/C:/C:/Users/Tommy/Library/Mail%20Downloads/audal154/data/custserv/svcmkt/PRICING/QUOTES/ARCHIVE/2006/0706/07061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-my.sharepoint.com/C:/C:/C:/C:/Documents%20and%20Settings/saslamya/My%20Documents/Customers/DCN/Quote/Completed%20for%20POs%20-%20DCN%20Final%20Pricing%20-%20SFM4%20-%20Feb%2021-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nam-my.sharepoint.com/Users/gamiller/Desktop/7360%20Configurator%20v9.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kia-my.sharepoint.com/C:/C:/C:/C:/Documents%20and%20Settings/denisp/Desktop/Data/1%20ProService/1%20new%20partnumbers/Request%20IPD%20for%20Services%20Quotation%20Templates/Request%20IPD%20NDE%20Quotation%20template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ables"/>
      <sheetName val="INPUT"/>
      <sheetName val="Comments"/>
      <sheetName val="EF&amp;I P&amp;L Sheet"/>
      <sheetName val="RFQ Info"/>
      <sheetName val="RFQ BID Request"/>
      <sheetName val="Revision History"/>
      <sheetName val="0706128"/>
      <sheetName val="PATHLOSS"/>
      <sheetName val="PRESENTATION"/>
      <sheetName val="Inputs general"/>
      <sheetName val="G"/>
      <sheetName val="OH"/>
      <sheetName val="W1"/>
      <sheetName val="RO"/>
      <sheetName val="Tracking"/>
      <sheetName val="Changes"/>
      <sheetName val="PFAS(Val)"/>
      <sheetName val="IPIS"/>
      <sheetName val="Sum"/>
      <sheetName val="PCFS"/>
      <sheetName val="Inputs"/>
      <sheetName val="MS"/>
      <sheetName val="OWC"/>
      <sheetName val="ROC"/>
      <sheetName val="Sim"/>
      <sheetName val="Main Numerical Analysis"/>
      <sheetName val="Sheet1"/>
      <sheetName val="MAIN"/>
      <sheetName val="3600+ Matrix Group 1"/>
      <sheetName val="Contract"/>
    </sheetNames>
    <sheetDataSet>
      <sheetData sheetId="0" refreshError="1"/>
      <sheetData sheetId="1">
        <row r="18">
          <cell r="G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IS Inpu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 Inputs"/>
      <sheetName val="Summary"/>
      <sheetName val="Price List"/>
      <sheetName val="Release Notes"/>
      <sheetName val="ONT Master Table"/>
      <sheetName val="ALU ONT UPS Matrix"/>
      <sheetName val="ODM UPS Matrix"/>
      <sheetName val="Maintenance"/>
      <sheetName val="Workspace"/>
      <sheetName val="Status Definitions"/>
      <sheetName val="For CSV Export"/>
    </sheetNames>
    <sheetDataSet>
      <sheetData sheetId="0" refreshError="1"/>
      <sheetData sheetId="1">
        <row r="23">
          <cell r="A23" t="str">
            <v>5520 AMS</v>
          </cell>
        </row>
      </sheetData>
      <sheetData sheetId="2" refreshError="1"/>
      <sheetData sheetId="3">
        <row r="1">
          <cell r="A1" t="str">
            <v>CODE / PN</v>
          </cell>
        </row>
        <row r="944">
          <cell r="D944" t="str">
            <v>MDF Braidless Cable LSZH for ISAM FD 48port (incl 24port)  48pair 3m (26 AWG)</v>
          </cell>
        </row>
        <row r="945">
          <cell r="D945" t="str">
            <v>MDF Braidless Cable LSZH for ISAM FD 48port (incl 24port)  48pair 15m (26 AWG)</v>
          </cell>
        </row>
        <row r="946">
          <cell r="D946" t="str">
            <v>MDF Braidless Cable LSZH for ISAM FD 48port (incl 24port)  48pair 30m (26 AWG)</v>
          </cell>
        </row>
        <row r="947">
          <cell r="D947" t="str">
            <v>MDF Braidless Cable LSZH for ISAM FD 48port (incl 24port)  48pair 40m (26 AWG)</v>
          </cell>
        </row>
        <row r="948">
          <cell r="D948" t="str">
            <v>MDF Braidless Cable LSZH for ISAM FD 48port (incl 24port)  48pair 50m (26 AWG)</v>
          </cell>
        </row>
        <row r="949">
          <cell r="D949" t="str">
            <v>MDF Braidless Cable LSZH for ISAM FD 48port (incl 24port)  48pair 75,5m (26 AWG)</v>
          </cell>
        </row>
        <row r="950">
          <cell r="D950" t="str">
            <v>MDF Braidless Cable LSZH for ISAM FD 48port (incl 24port)  48pair 100m (26 AWG)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F14">
            <v>0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2 - SMALL&amp;Medium  Network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J29" totalsRowShown="0" headerRowDxfId="16" dataDxfId="15" headerRowCellStyle="Currency" dataCellStyle="Currency">
  <autoFilter ref="A1:J29" xr:uid="{00000000-0009-0000-0100-000004000000}"/>
  <sortState xmlns:xlrd2="http://schemas.microsoft.com/office/spreadsheetml/2017/richdata2" ref="A2:J29">
    <sortCondition ref="A1:A29"/>
  </sortState>
  <tableColumns count="10">
    <tableColumn id="1" xr3:uid="{00000000-0010-0000-0000-000001000000}" name="Group" dataCellStyle="Normal 10"/>
    <tableColumn id="2" xr3:uid="{00000000-0010-0000-0000-000002000000}" name="Id" dataCellStyle="Normal 10"/>
    <tableColumn id="3" xr3:uid="{00000000-0010-0000-0000-000003000000}" name="Description" dataCellStyle="Normal 10"/>
    <tableColumn id="4" xr3:uid="{00000000-0010-0000-0000-000004000000}" name="Unit" dataCellStyle="Normal 10"/>
    <tableColumn id="5" xr3:uid="{00000000-0010-0000-0000-000005000000}" name="Quantity" dataDxfId="14" dataCellStyle="Normal 10"/>
    <tableColumn id="6" xr3:uid="{00000000-0010-0000-0000-000006000000}" name="Material" dataCellStyle="Currency"/>
    <tableColumn id="7" xr3:uid="{00000000-0010-0000-0000-000007000000}" name="Labor" dataDxfId="13" dataCellStyle="Currency"/>
    <tableColumn id="9" xr3:uid="{00000000-0010-0000-0000-000009000000}" name="Material Cost" dataDxfId="12" dataCellStyle="Currency">
      <calculatedColumnFormula>Table4[[#This Row],[Quantity]]*Table4[[#This Row],[Material]]</calculatedColumnFormula>
    </tableColumn>
    <tableColumn id="10" xr3:uid="{00000000-0010-0000-0000-00000A000000}" name="Labor Cost" dataDxfId="11" dataCellStyle="Currency"/>
    <tableColumn id="11" xr3:uid="{00000000-0010-0000-0000-00000B000000}" name=" Total Cost " dataDxfId="10" dataCellStyle="Currency">
      <calculatedColumnFormula>Table4[[#This Row],[Labor Cost]]+Table4[[#This Row],[Material Cost]]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E8931E-0B4A-6143-9B3A-EB306625047A}" name="Table42" displayName="Table42" ref="A1:J8" totalsRowShown="0" headerRowDxfId="9" dataDxfId="8" headerRowCellStyle="Currency" dataCellStyle="Currency">
  <autoFilter ref="A1:J8" xr:uid="{00000000-0009-0000-0100-000004000000}"/>
  <sortState xmlns:xlrd2="http://schemas.microsoft.com/office/spreadsheetml/2017/richdata2" ref="A2:J8">
    <sortCondition ref="A1:A8"/>
  </sortState>
  <tableColumns count="10">
    <tableColumn id="1" xr3:uid="{4A9EACCF-6BFC-004C-A884-749B1F8818E0}" name="Group" dataCellStyle="Normal 10"/>
    <tableColumn id="2" xr3:uid="{5BE281D2-101C-EB48-9DBF-93BF27159B87}" name="Id" dataCellStyle="Normal 10"/>
    <tableColumn id="3" xr3:uid="{FD84A482-A140-DB4D-84EA-C2B612D6E94D}" name="Description" dataCellStyle="Normal 10"/>
    <tableColumn id="4" xr3:uid="{CBAE2899-4D5A-F24B-A4F9-7AFA6D8DC6F3}" name="Unit" dataCellStyle="Normal 10"/>
    <tableColumn id="5" xr3:uid="{3A40F869-9602-C44E-B3D7-3AF47D6E141E}" name="Quantity" dataDxfId="7" dataCellStyle="Normal 10"/>
    <tableColumn id="6" xr3:uid="{DC2DCA94-E381-6B40-B5C7-87BFB88A5BEE}" name="Material" dataCellStyle="Currency"/>
    <tableColumn id="7" xr3:uid="{BD358DB9-382A-1947-86A6-22D1E1BF950B}" name="Labor" dataDxfId="6" dataCellStyle="Currency"/>
    <tableColumn id="9" xr3:uid="{4AE28E3E-2FA3-3D4D-A604-0D34F90BD155}" name="Material Cost" dataDxfId="5" dataCellStyle="Currency">
      <calculatedColumnFormula>Table42[[#This Row],[Quantity]]*Table42[[#This Row],[Material]]</calculatedColumnFormula>
    </tableColumn>
    <tableColumn id="10" xr3:uid="{64207E0E-0B44-6744-9E78-588388D376EE}" name="Labor Cost" dataDxfId="4" dataCellStyle="Currency">
      <calculatedColumnFormula>Table42[[#This Row],[Quantity]]*Table42[[#This Row],[Labor]]</calculatedColumnFormula>
    </tableColumn>
    <tableColumn id="11" xr3:uid="{41C75455-52EA-1A44-8A40-24638D7C68B7}" name=" Total Cost " dataDxfId="3" dataCellStyle="Currency">
      <calculatedColumnFormula>Table42[[#This Row],[Labor Cost]]+Table42[[#This Row],[Material Cost]]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3" displayName="Table13" ref="A1:K59" totalsRowShown="0">
  <autoFilter ref="A1:K59" xr:uid="{00000000-0009-0000-0100-000002000000}">
    <filterColumn colId="4">
      <filters>
        <filter val="1"/>
        <filter val="10"/>
        <filter val="1046"/>
        <filter val="1056.29"/>
        <filter val="11569"/>
        <filter val="13950"/>
        <filter val="15"/>
        <filter val="1771"/>
        <filter val="19"/>
        <filter val="2"/>
        <filter val="23"/>
        <filter val="2331.3"/>
        <filter val="24"/>
        <filter val="2551"/>
        <filter val="274"/>
        <filter val="3050"/>
        <filter val="3055"/>
        <filter val="30722"/>
        <filter val="3800"/>
        <filter val="394"/>
        <filter val="42"/>
        <filter val="5"/>
        <filter val="5630"/>
        <filter val="6"/>
        <filter val="612"/>
        <filter val="6935"/>
        <filter val="7"/>
        <filter val="7087"/>
        <filter val="777.1"/>
        <filter val="86380"/>
        <filter val="8668"/>
        <filter val="87"/>
      </filters>
    </filterColumn>
  </autoFilter>
  <tableColumns count="11">
    <tableColumn id="1" xr3:uid="{00000000-0010-0000-0200-000001000000}" name="Group"/>
    <tableColumn id="2" xr3:uid="{00000000-0010-0000-0200-000002000000}" name="Id"/>
    <tableColumn id="3" xr3:uid="{00000000-0010-0000-0200-000003000000}" name="Description"/>
    <tableColumn id="4" xr3:uid="{00000000-0010-0000-0200-000004000000}" name="Unit"/>
    <tableColumn id="5" xr3:uid="{00000000-0010-0000-0200-000005000000}" name="Quantity"/>
    <tableColumn id="6" xr3:uid="{00000000-0010-0000-0200-000006000000}" name="Material"/>
    <tableColumn id="8" xr3:uid="{00000000-0010-0000-0200-000008000000}" name="Labor"/>
    <tableColumn id="9" xr3:uid="{00000000-0010-0000-0200-000009000000}" name="Unit Cost" dataDxfId="2">
      <calculatedColumnFormula>SUM(Table13[[#This Row],[Material]:[Labor]])</calculatedColumnFormula>
    </tableColumn>
    <tableColumn id="11" xr3:uid="{00000000-0010-0000-0200-00000B000000}" name="Material Cost" dataDxfId="1" dataCellStyle="Currency 7">
      <calculatedColumnFormula>Table13[[#This Row],[Material]]*Table13[[#This Row],[Quantity]]</calculatedColumnFormula>
    </tableColumn>
    <tableColumn id="10" xr3:uid="{00000000-0010-0000-0200-00000A000000}" name="Labor Cost" dataDxfId="0" dataCellStyle="Currency 7">
      <calculatedColumnFormula>Table13[[#This Row],[Labor]]*Table13[[#This Row],[Quantity]]</calculatedColumnFormula>
    </tableColumn>
    <tableColumn id="7" xr3:uid="{00000000-0010-0000-0200-000007000000}" name=" Total Cost ">
      <calculatedColumnFormula>Table13[[#This Row],[Unit Cost]]*Table13[[#This Row],[Quantity]]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8"/>
  <sheetViews>
    <sheetView workbookViewId="0">
      <selection activeCell="E19" sqref="E19"/>
    </sheetView>
  </sheetViews>
  <sheetFormatPr defaultColWidth="8.85546875" defaultRowHeight="15" x14ac:dyDescent="0.25"/>
  <cols>
    <col min="2" max="2" width="28.42578125" customWidth="1"/>
    <col min="3" max="3" width="27.28515625" customWidth="1"/>
    <col min="4" max="4" width="1.28515625" style="16" customWidth="1"/>
    <col min="5" max="5" width="19.7109375" style="16" customWidth="1"/>
  </cols>
  <sheetData>
    <row r="1" spans="2:5" ht="15.75" thickBot="1" x14ac:dyDescent="0.3"/>
    <row r="2" spans="2:5" x14ac:dyDescent="0.25">
      <c r="B2" s="42" t="s">
        <v>179</v>
      </c>
      <c r="C2" s="43"/>
      <c r="D2" s="43"/>
      <c r="E2" s="29"/>
    </row>
    <row r="3" spans="2:5" x14ac:dyDescent="0.25">
      <c r="B3" s="25" t="s">
        <v>139</v>
      </c>
      <c r="C3" s="26"/>
      <c r="D3" s="28">
        <f>'OSP BOM'!J31</f>
        <v>281457.16333333333</v>
      </c>
      <c r="E3" s="27">
        <f>ROUNDUP(D3,-1)</f>
        <v>281460</v>
      </c>
    </row>
    <row r="4" spans="2:5" x14ac:dyDescent="0.25">
      <c r="B4" s="17" t="s">
        <v>6</v>
      </c>
      <c r="C4" s="18"/>
      <c r="D4" s="31">
        <f>'OSP BOM'!J32</f>
        <v>139085.91333333333</v>
      </c>
      <c r="E4" s="33">
        <f t="shared" ref="E4:E5" si="0">ROUNDUP(D4,-1)</f>
        <v>139090</v>
      </c>
    </row>
    <row r="5" spans="2:5" x14ac:dyDescent="0.25">
      <c r="B5" s="17" t="s">
        <v>7</v>
      </c>
      <c r="C5" s="18"/>
      <c r="D5" s="31">
        <f>'OSP BOM'!J33</f>
        <v>142371.25</v>
      </c>
      <c r="E5" s="33">
        <f t="shared" si="0"/>
        <v>142380</v>
      </c>
    </row>
    <row r="6" spans="2:5" x14ac:dyDescent="0.25">
      <c r="B6" s="25" t="s">
        <v>140</v>
      </c>
      <c r="C6" s="26"/>
      <c r="D6" s="28" t="e">
        <f>#REF!</f>
        <v>#REF!</v>
      </c>
      <c r="E6" s="27">
        <f>'ISP BOM'!J10</f>
        <v>43568</v>
      </c>
    </row>
    <row r="7" spans="2:5" x14ac:dyDescent="0.25">
      <c r="B7" s="17" t="s">
        <v>141</v>
      </c>
      <c r="C7" s="18"/>
      <c r="D7" s="23" t="e">
        <f>SUM(#REF!)</f>
        <v>#REF!</v>
      </c>
      <c r="E7" s="33">
        <f>'ISP BOM'!J11</f>
        <v>29568</v>
      </c>
    </row>
    <row r="8" spans="2:5" x14ac:dyDescent="0.25">
      <c r="B8" s="17" t="s">
        <v>142</v>
      </c>
      <c r="C8" s="18"/>
      <c r="D8" s="23" t="e">
        <f>SUM(#REF!)</f>
        <v>#REF!</v>
      </c>
      <c r="E8" s="33">
        <f>'ISP BOM'!J12</f>
        <v>14000</v>
      </c>
    </row>
    <row r="9" spans="2:5" x14ac:dyDescent="0.25">
      <c r="B9" s="25" t="s">
        <v>134</v>
      </c>
      <c r="C9" s="26"/>
      <c r="D9" s="28">
        <f>D3*0.15</f>
        <v>42218.574499999995</v>
      </c>
      <c r="E9" s="27">
        <f>'OSP BOM'!J35</f>
        <v>20600</v>
      </c>
    </row>
    <row r="10" spans="2:5" x14ac:dyDescent="0.25">
      <c r="B10" s="19"/>
      <c r="D10" s="24"/>
      <c r="E10" s="32"/>
    </row>
    <row r="11" spans="2:5" x14ac:dyDescent="0.25">
      <c r="B11" s="25" t="s">
        <v>135</v>
      </c>
      <c r="C11" s="26"/>
      <c r="D11" s="28" t="e">
        <f>(D3+D6+D9)*0.15</f>
        <v>#REF!</v>
      </c>
      <c r="E11" s="27">
        <f>'OSP BOM'!J36</f>
        <v>34562.516333333333</v>
      </c>
    </row>
    <row r="12" spans="2:5" x14ac:dyDescent="0.25">
      <c r="B12" s="19"/>
      <c r="D12" s="24"/>
      <c r="E12" s="32"/>
    </row>
    <row r="13" spans="2:5" ht="15.75" thickBot="1" x14ac:dyDescent="0.3">
      <c r="B13" s="20" t="s">
        <v>0</v>
      </c>
      <c r="C13" s="21"/>
      <c r="D13" s="30" t="e">
        <f>D3+D6+D9+D11</f>
        <v>#REF!</v>
      </c>
      <c r="E13" s="22">
        <f>E3+E6+E9+E11</f>
        <v>380190.51633333333</v>
      </c>
    </row>
    <row r="14" spans="2:5" x14ac:dyDescent="0.25">
      <c r="C14" t="s">
        <v>185</v>
      </c>
      <c r="E14" s="16">
        <f>E13*0.75</f>
        <v>285142.88725000003</v>
      </c>
    </row>
    <row r="15" spans="2:5" x14ac:dyDescent="0.25">
      <c r="C15" t="s">
        <v>186</v>
      </c>
      <c r="E15" s="16">
        <f>E13-E14</f>
        <v>95047.629083333304</v>
      </c>
    </row>
    <row r="17" spans="3:5" x14ac:dyDescent="0.25">
      <c r="C17" t="s">
        <v>188</v>
      </c>
      <c r="E17" s="16">
        <f>'OSP BOM'!J49</f>
        <v>31246.919916666666</v>
      </c>
    </row>
    <row r="18" spans="3:5" x14ac:dyDescent="0.25">
      <c r="C18" t="s">
        <v>189</v>
      </c>
      <c r="E18" s="16">
        <f>'OSP BOM'!J47</f>
        <v>63800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1"/>
  <sheetViews>
    <sheetView tabSelected="1" topLeftCell="A16" workbookViewId="0">
      <selection activeCell="K50" sqref="K50"/>
    </sheetView>
  </sheetViews>
  <sheetFormatPr defaultColWidth="8.85546875" defaultRowHeight="15" x14ac:dyDescent="0.25"/>
  <cols>
    <col min="1" max="1" width="35.7109375" customWidth="1"/>
    <col min="2" max="2" width="14.28515625" customWidth="1"/>
    <col min="3" max="3" width="37.42578125" customWidth="1"/>
    <col min="5" max="5" width="11.42578125" style="35" customWidth="1"/>
    <col min="6" max="6" width="16.7109375" style="16" customWidth="1"/>
    <col min="7" max="7" width="13.7109375" style="16" customWidth="1"/>
    <col min="8" max="8" width="15.7109375" style="16" customWidth="1"/>
    <col min="9" max="9" width="13.7109375" style="16" customWidth="1"/>
    <col min="10" max="10" width="15" style="16" customWidth="1"/>
    <col min="11" max="11" width="11.140625" bestFit="1" customWidth="1"/>
    <col min="12" max="12" width="10.140625" bestFit="1" customWidth="1"/>
    <col min="13" max="13" width="14.140625" customWidth="1"/>
    <col min="14" max="14" width="12.85546875" bestFit="1" customWidth="1"/>
    <col min="15" max="15" width="11.85546875" bestFit="1" customWidth="1"/>
  </cols>
  <sheetData>
    <row r="1" spans="1:15" x14ac:dyDescent="0.25">
      <c r="A1" s="1" t="s">
        <v>3</v>
      </c>
      <c r="B1" s="1" t="s">
        <v>4</v>
      </c>
      <c r="C1" s="1" t="s">
        <v>1</v>
      </c>
      <c r="D1" s="1" t="s">
        <v>5</v>
      </c>
      <c r="E1" s="34" t="s">
        <v>2</v>
      </c>
      <c r="F1" s="36" t="s">
        <v>6</v>
      </c>
      <c r="G1" s="16" t="s">
        <v>7</v>
      </c>
      <c r="H1" s="16" t="s">
        <v>137</v>
      </c>
      <c r="I1" s="16" t="s">
        <v>138</v>
      </c>
      <c r="J1" s="16" t="s">
        <v>9</v>
      </c>
    </row>
    <row r="2" spans="1:15" x14ac:dyDescent="0.25">
      <c r="A2" s="1" t="s">
        <v>126</v>
      </c>
      <c r="B2" s="1" t="s">
        <v>127</v>
      </c>
      <c r="C2" s="1" t="s">
        <v>128</v>
      </c>
      <c r="D2" s="1" t="s">
        <v>58</v>
      </c>
      <c r="E2" s="34">
        <v>0</v>
      </c>
      <c r="F2" s="36">
        <v>0</v>
      </c>
      <c r="H2" s="16">
        <f>Table4[[#This Row],[Quantity]]*Table4[[#This Row],[Material]]</f>
        <v>0</v>
      </c>
      <c r="I2" s="16">
        <f>Table4[[#This Row],[Quantity]]*Table4[[#This Row],[Labor]]</f>
        <v>0</v>
      </c>
      <c r="J2" s="16">
        <f>Table4[[#This Row],[Labor Cost]]+Table4[[#This Row],[Material Cost]]</f>
        <v>0</v>
      </c>
    </row>
    <row r="3" spans="1:15" x14ac:dyDescent="0.25">
      <c r="A3" s="1" t="s">
        <v>129</v>
      </c>
      <c r="B3" s="1" t="s">
        <v>130</v>
      </c>
      <c r="C3" s="1" t="s">
        <v>131</v>
      </c>
      <c r="D3" s="1" t="s">
        <v>58</v>
      </c>
      <c r="E3" s="34">
        <f>(E9*1.5)</f>
        <v>6570</v>
      </c>
      <c r="F3" s="36">
        <v>0.75</v>
      </c>
      <c r="H3" s="16">
        <f>Table4[[#This Row],[Quantity]]*Table4[[#This Row],[Material]]</f>
        <v>4927.5</v>
      </c>
      <c r="I3" s="16">
        <f>Table4[[#This Row],[Quantity]]*Table4[[#This Row],[Labor]]</f>
        <v>0</v>
      </c>
      <c r="J3" s="16">
        <f>Table4[[#This Row],[Labor Cost]]+Table4[[#This Row],[Material Cost]]</f>
        <v>4927.5</v>
      </c>
    </row>
    <row r="4" spans="1:15" x14ac:dyDescent="0.25">
      <c r="A4" s="1" t="s">
        <v>55</v>
      </c>
      <c r="B4" s="1" t="s">
        <v>56</v>
      </c>
      <c r="C4" s="38" t="s">
        <v>145</v>
      </c>
      <c r="D4" s="1" t="s">
        <v>58</v>
      </c>
      <c r="E4" s="34">
        <f>E20*0.8*150</f>
        <v>15600</v>
      </c>
      <c r="F4" s="36">
        <v>0.35</v>
      </c>
      <c r="G4" s="16">
        <v>3</v>
      </c>
      <c r="H4" s="16">
        <f>Table4[[#This Row],[Quantity]]*Table4[[#This Row],[Material]]</f>
        <v>5460</v>
      </c>
      <c r="I4" s="16">
        <f>Table4[[#This Row],[Quantity]]*Table4[[#This Row],[Labor]]</f>
        <v>46800</v>
      </c>
      <c r="J4" s="16">
        <f>Table4[[#This Row],[Labor Cost]]+Table4[[#This Row],[Material Cost]]</f>
        <v>52260</v>
      </c>
    </row>
    <row r="5" spans="1:15" x14ac:dyDescent="0.25">
      <c r="A5" s="1" t="s">
        <v>55</v>
      </c>
      <c r="B5" s="1" t="s">
        <v>85</v>
      </c>
      <c r="C5" s="39" t="s">
        <v>177</v>
      </c>
      <c r="D5" s="1" t="s">
        <v>58</v>
      </c>
      <c r="E5" s="34">
        <f>(E9+E7)</f>
        <v>16060</v>
      </c>
      <c r="F5" s="36">
        <v>0.6</v>
      </c>
      <c r="G5" s="16">
        <v>1.75</v>
      </c>
      <c r="H5" s="16">
        <f>Table4[[#This Row],[Quantity]]*Table4[[#This Row],[Material]]</f>
        <v>9636</v>
      </c>
      <c r="I5" s="16">
        <f>Table4[[#This Row],[Quantity]]*Table4[[#This Row],[Labor]]</f>
        <v>28105</v>
      </c>
      <c r="J5" s="16">
        <f>Table4[[#This Row],[Labor Cost]]+Table4[[#This Row],[Material Cost]]</f>
        <v>37741</v>
      </c>
    </row>
    <row r="6" spans="1:15" x14ac:dyDescent="0.25">
      <c r="A6" s="1" t="s">
        <v>55</v>
      </c>
      <c r="B6" s="1" t="s">
        <v>87</v>
      </c>
      <c r="C6" s="39" t="s">
        <v>178</v>
      </c>
      <c r="D6" s="1" t="s">
        <v>58</v>
      </c>
      <c r="E6" s="34">
        <f>(E9+E7)*0</f>
        <v>0</v>
      </c>
      <c r="F6" s="36">
        <v>0.6</v>
      </c>
      <c r="G6" s="16">
        <v>1.75</v>
      </c>
      <c r="H6" s="16">
        <f>Table4[[#This Row],[Quantity]]*Table4[[#This Row],[Material]]</f>
        <v>0</v>
      </c>
      <c r="I6" s="16">
        <f>Table4[[#This Row],[Quantity]]*Table4[[#This Row],[Labor]]</f>
        <v>0</v>
      </c>
      <c r="J6" s="16">
        <f>Table4[[#This Row],[Labor Cost]]+Table4[[#This Row],[Material Cost]]</f>
        <v>0</v>
      </c>
      <c r="N6" s="15"/>
      <c r="O6" s="15"/>
    </row>
    <row r="7" spans="1:15" x14ac:dyDescent="0.25">
      <c r="A7" s="1" t="s">
        <v>55</v>
      </c>
      <c r="B7" s="1" t="s">
        <v>166</v>
      </c>
      <c r="C7" s="39" t="s">
        <v>167</v>
      </c>
      <c r="D7" s="1" t="s">
        <v>58</v>
      </c>
      <c r="E7" s="34">
        <f>14600*0.8</f>
        <v>11680</v>
      </c>
      <c r="F7" s="36">
        <v>0.45</v>
      </c>
      <c r="G7" s="16">
        <v>1.25</v>
      </c>
      <c r="H7" s="16">
        <f>Table4[[#This Row],[Quantity]]*Table4[[#This Row],[Material]]</f>
        <v>5256</v>
      </c>
      <c r="I7" s="16">
        <f>Table4[[#This Row],[Quantity]]*Table4[[#This Row],[Labor]]</f>
        <v>14600</v>
      </c>
      <c r="J7" s="16">
        <f>Table4[[#This Row],[Labor Cost]]+Table4[[#This Row],[Material Cost]]</f>
        <v>19856</v>
      </c>
      <c r="N7" s="15"/>
      <c r="O7" s="15"/>
    </row>
    <row r="8" spans="1:15" x14ac:dyDescent="0.25">
      <c r="A8" s="1" t="s">
        <v>99</v>
      </c>
      <c r="B8" s="1" t="s">
        <v>100</v>
      </c>
      <c r="C8" s="1" t="s">
        <v>101</v>
      </c>
      <c r="D8" s="1" t="s">
        <v>58</v>
      </c>
      <c r="E8" s="34">
        <f>E9*0.15</f>
        <v>657</v>
      </c>
      <c r="F8" s="36">
        <v>11</v>
      </c>
      <c r="H8" s="16">
        <f>Table4[[#This Row],[Quantity]]*Table4[[#This Row],[Material]]</f>
        <v>7227</v>
      </c>
      <c r="I8" s="16">
        <f>Table4[[#This Row],[Quantity]]*Table4[[#This Row],[Labor]]</f>
        <v>0</v>
      </c>
      <c r="J8" s="16">
        <f>Table4[[#This Row],[Labor Cost]]+Table4[[#This Row],[Material Cost]]</f>
        <v>7227</v>
      </c>
    </row>
    <row r="9" spans="1:15" x14ac:dyDescent="0.25">
      <c r="A9" s="1" t="s">
        <v>99</v>
      </c>
      <c r="B9" s="1" t="s">
        <v>102</v>
      </c>
      <c r="C9" s="40" t="s">
        <v>102</v>
      </c>
      <c r="D9" s="1" t="s">
        <v>58</v>
      </c>
      <c r="E9" s="34">
        <f>14600*0.3</f>
        <v>4380</v>
      </c>
      <c r="F9" s="36">
        <v>16</v>
      </c>
      <c r="H9" s="16">
        <f>Table4[[#This Row],[Quantity]]*Table4[[#This Row],[Material]]</f>
        <v>70080</v>
      </c>
      <c r="I9" s="16">
        <f>Table4[[#This Row],[Quantity]]*Table4[[#This Row],[Labor]]</f>
        <v>0</v>
      </c>
      <c r="J9" s="16">
        <f>Table4[[#This Row],[Labor Cost]]+Table4[[#This Row],[Material Cost]]</f>
        <v>70080</v>
      </c>
    </row>
    <row r="10" spans="1:15" x14ac:dyDescent="0.25">
      <c r="A10" s="1" t="s">
        <v>99</v>
      </c>
      <c r="B10" s="1" t="s">
        <v>104</v>
      </c>
      <c r="C10" s="1" t="s">
        <v>105</v>
      </c>
      <c r="D10" s="1" t="s">
        <v>13</v>
      </c>
      <c r="E10" s="34">
        <f>(E24*6)+(E27*4)+(E17*4)</f>
        <v>298</v>
      </c>
      <c r="F10" s="36">
        <v>1</v>
      </c>
      <c r="G10" s="16">
        <v>30</v>
      </c>
      <c r="H10" s="16">
        <f>Table4[[#This Row],[Quantity]]*Table4[[#This Row],[Material]]</f>
        <v>298</v>
      </c>
      <c r="I10" s="16">
        <f>Table4[[#This Row],[Quantity]]*Table4[[#This Row],[Labor]]</f>
        <v>8940</v>
      </c>
      <c r="J10" s="16">
        <f>Table4[[#This Row],[Labor Cost]]+Table4[[#This Row],[Material Cost]]</f>
        <v>9238</v>
      </c>
    </row>
    <row r="11" spans="1:15" x14ac:dyDescent="0.25">
      <c r="A11" s="1" t="s">
        <v>99</v>
      </c>
      <c r="B11" s="1" t="s">
        <v>116</v>
      </c>
      <c r="C11" s="1" t="s">
        <v>117</v>
      </c>
      <c r="D11" s="1" t="s">
        <v>13</v>
      </c>
      <c r="E11" s="34">
        <f>E13</f>
        <v>8</v>
      </c>
      <c r="F11" s="36">
        <v>39.479999999999997</v>
      </c>
      <c r="G11" s="16">
        <v>35</v>
      </c>
      <c r="H11" s="16">
        <f>Table4[[#This Row],[Quantity]]*Table4[[#This Row],[Material]]</f>
        <v>315.83999999999997</v>
      </c>
      <c r="I11" s="16">
        <f>Table4[[#This Row],[Quantity]]*Table4[[#This Row],[Labor]]</f>
        <v>280</v>
      </c>
      <c r="J11" s="16">
        <f>Table4[[#This Row],[Labor Cost]]+Table4[[#This Row],[Material Cost]]</f>
        <v>595.83999999999992</v>
      </c>
    </row>
    <row r="12" spans="1:15" x14ac:dyDescent="0.25">
      <c r="A12" s="1" t="s">
        <v>99</v>
      </c>
      <c r="B12" s="1" t="s">
        <v>124</v>
      </c>
      <c r="C12" s="1" t="s">
        <v>125</v>
      </c>
      <c r="D12" s="1" t="s">
        <v>13</v>
      </c>
      <c r="E12" s="34">
        <v>1</v>
      </c>
      <c r="F12" s="36"/>
      <c r="G12" s="16">
        <v>7500</v>
      </c>
      <c r="H12" s="16">
        <f>Table4[[#This Row],[Quantity]]*Table4[[#This Row],[Material]]</f>
        <v>0</v>
      </c>
      <c r="I12" s="16">
        <f>Table4[[#This Row],[Quantity]]*Table4[[#This Row],[Labor]]</f>
        <v>7500</v>
      </c>
      <c r="J12" s="16">
        <f>Table4[[#This Row],[Labor Cost]]+Table4[[#This Row],[Material Cost]]</f>
        <v>7500</v>
      </c>
    </row>
    <row r="13" spans="1:15" x14ac:dyDescent="0.25">
      <c r="A13" s="40" t="s">
        <v>146</v>
      </c>
      <c r="B13" s="1" t="s">
        <v>122</v>
      </c>
      <c r="C13" s="40" t="s">
        <v>149</v>
      </c>
      <c r="D13" s="1" t="s">
        <v>13</v>
      </c>
      <c r="E13" s="34">
        <v>8</v>
      </c>
      <c r="F13" s="36">
        <v>450</v>
      </c>
      <c r="G13" s="16">
        <v>300</v>
      </c>
      <c r="H13" s="16">
        <f>Table4[[#This Row],[Quantity]]*Table4[[#This Row],[Material]]</f>
        <v>3600</v>
      </c>
      <c r="I13" s="16">
        <f>Table4[[#This Row],[Quantity]]*Table4[[#This Row],[Labor]]</f>
        <v>2400</v>
      </c>
      <c r="J13" s="16">
        <f>Table4[[#This Row],[Labor Cost]]+Table4[[#This Row],[Material Cost]]</f>
        <v>6000</v>
      </c>
    </row>
    <row r="14" spans="1:15" x14ac:dyDescent="0.25">
      <c r="A14" s="40" t="s">
        <v>148</v>
      </c>
      <c r="B14" s="40" t="s">
        <v>147</v>
      </c>
      <c r="C14" s="40" t="s">
        <v>150</v>
      </c>
      <c r="D14" s="1" t="s">
        <v>13</v>
      </c>
      <c r="E14" s="34">
        <f>(E20/3)*0.2+1</f>
        <v>9.6666666666666679</v>
      </c>
      <c r="F14" s="36">
        <v>50</v>
      </c>
      <c r="G14" s="16">
        <v>85</v>
      </c>
      <c r="H14" s="16">
        <f>Table4[[#This Row],[Quantity]]*Table4[[#This Row],[Material]]</f>
        <v>483.33333333333337</v>
      </c>
      <c r="I14" s="16">
        <f>Table4[[#This Row],[Quantity]]*Table4[[#This Row],[Labor]]</f>
        <v>821.66666666666674</v>
      </c>
      <c r="J14" s="16">
        <f>Table4[[#This Row],[Labor Cost]]+Table4[[#This Row],[Material Cost]]</f>
        <v>1305</v>
      </c>
    </row>
    <row r="15" spans="1:15" x14ac:dyDescent="0.25">
      <c r="A15" s="1" t="s">
        <v>106</v>
      </c>
      <c r="B15" s="1" t="s">
        <v>144</v>
      </c>
      <c r="C15" s="1" t="s">
        <v>143</v>
      </c>
      <c r="D15" s="1" t="s">
        <v>13</v>
      </c>
      <c r="E15" s="34">
        <f>E16*3</f>
        <v>104.00000000000001</v>
      </c>
      <c r="F15" s="36">
        <v>25</v>
      </c>
      <c r="G15" s="16">
        <v>150</v>
      </c>
      <c r="H15" s="16">
        <f>Table4[[#This Row],[Quantity]]*Table4[[#This Row],[Material]]</f>
        <v>2600.0000000000005</v>
      </c>
      <c r="I15" s="16">
        <f>Table4[[#This Row],[Quantity]]*Table4[[#This Row],[Labor]]</f>
        <v>15600.000000000002</v>
      </c>
      <c r="J15" s="16">
        <f>Table4[[#This Row],[Labor Cost]]+Table4[[#This Row],[Material Cost]]</f>
        <v>18200.000000000004</v>
      </c>
    </row>
    <row r="16" spans="1:15" x14ac:dyDescent="0.25">
      <c r="A16" s="1" t="s">
        <v>106</v>
      </c>
      <c r="B16" s="1" t="s">
        <v>107</v>
      </c>
      <c r="C16" s="1" t="s">
        <v>108</v>
      </c>
      <c r="D16" s="1" t="s">
        <v>13</v>
      </c>
      <c r="E16" s="34">
        <f>(E20/3)*0.8</f>
        <v>34.666666666666671</v>
      </c>
      <c r="F16" s="36"/>
      <c r="H16" s="16">
        <f>Table4[[#This Row],[Quantity]]*Table4[[#This Row],[Material]]</f>
        <v>0</v>
      </c>
      <c r="I16" s="16">
        <f>Table4[[#This Row],[Quantity]]*Table4[[#This Row],[Labor]]</f>
        <v>0</v>
      </c>
      <c r="J16" s="16">
        <f>Table4[[#This Row],[Labor Cost]]+Table4[[#This Row],[Material Cost]]</f>
        <v>0</v>
      </c>
    </row>
    <row r="17" spans="1:10" x14ac:dyDescent="0.25">
      <c r="A17" s="1" t="s">
        <v>106</v>
      </c>
      <c r="B17" s="1" t="s">
        <v>109</v>
      </c>
      <c r="C17" s="1" t="s">
        <v>110</v>
      </c>
      <c r="D17" s="1" t="s">
        <v>13</v>
      </c>
      <c r="E17" s="34">
        <f>E15/2</f>
        <v>52.000000000000007</v>
      </c>
      <c r="F17" s="36">
        <v>275</v>
      </c>
      <c r="G17" s="16">
        <v>75</v>
      </c>
      <c r="H17" s="16">
        <f>Table4[[#This Row],[Quantity]]*Table4[[#This Row],[Material]]</f>
        <v>14300.000000000002</v>
      </c>
      <c r="I17" s="16">
        <f>Table4[[#This Row],[Quantity]]*Table4[[#This Row],[Labor]]</f>
        <v>3900.0000000000005</v>
      </c>
      <c r="J17" s="16">
        <f>Table4[[#This Row],[Labor Cost]]+Table4[[#This Row],[Material Cost]]</f>
        <v>18200.000000000004</v>
      </c>
    </row>
    <row r="18" spans="1:10" x14ac:dyDescent="0.25">
      <c r="A18" s="1" t="s">
        <v>111</v>
      </c>
      <c r="B18" s="1" t="s">
        <v>112</v>
      </c>
      <c r="C18" s="1" t="s">
        <v>113</v>
      </c>
      <c r="D18" s="1" t="s">
        <v>58</v>
      </c>
      <c r="E18" s="34">
        <f>(E16+E17)*35</f>
        <v>3033.3333333333339</v>
      </c>
      <c r="F18" s="36">
        <v>0.5</v>
      </c>
      <c r="G18" s="16">
        <f>G6</f>
        <v>1.75</v>
      </c>
      <c r="H18" s="16">
        <f>Table4[[#This Row],[Quantity]]*Table4[[#This Row],[Material]]</f>
        <v>1516.666666666667</v>
      </c>
      <c r="I18" s="16">
        <f>Table4[[#This Row],[Quantity]]*Table4[[#This Row],[Labor]]</f>
        <v>5308.3333333333339</v>
      </c>
      <c r="J18" s="16">
        <f>Table4[[#This Row],[Labor Cost]]+Table4[[#This Row],[Material Cost]]</f>
        <v>6825.0000000000009</v>
      </c>
    </row>
    <row r="19" spans="1:10" x14ac:dyDescent="0.25">
      <c r="A19" s="1" t="s">
        <v>111</v>
      </c>
      <c r="B19" s="1" t="s">
        <v>114</v>
      </c>
      <c r="C19" s="1" t="s">
        <v>115</v>
      </c>
      <c r="D19" s="1" t="s">
        <v>58</v>
      </c>
      <c r="E19" s="34">
        <f>(E13*100)+(E14*25)</f>
        <v>1041.6666666666667</v>
      </c>
      <c r="F19" s="36">
        <f>AVERAGE(F5:F6)</f>
        <v>0.6</v>
      </c>
      <c r="G19" s="16">
        <v>1.75</v>
      </c>
      <c r="H19" s="16">
        <f>Table4[[#This Row],[Quantity]]*Table4[[#This Row],[Material]]</f>
        <v>625</v>
      </c>
      <c r="I19" s="16">
        <f>Table4[[#This Row],[Quantity]]*Table4[[#This Row],[Labor]]</f>
        <v>1822.9166666666667</v>
      </c>
      <c r="J19" s="16">
        <f>Table4[[#This Row],[Labor Cost]]+Table4[[#This Row],[Material Cost]]</f>
        <v>2447.916666666667</v>
      </c>
    </row>
    <row r="20" spans="1:10" x14ac:dyDescent="0.25">
      <c r="A20" s="1" t="s">
        <v>180</v>
      </c>
      <c r="B20" s="1" t="s">
        <v>119</v>
      </c>
      <c r="C20" s="1" t="s">
        <v>181</v>
      </c>
      <c r="D20" s="1" t="s">
        <v>13</v>
      </c>
      <c r="E20" s="34">
        <v>130</v>
      </c>
      <c r="F20" s="36"/>
      <c r="H20" s="16">
        <f>Table4[[#This Row],[Quantity]]*Table4[[#This Row],[Material]]</f>
        <v>0</v>
      </c>
      <c r="I20" s="16">
        <f>Table4[[#This Row],[Quantity]]*Table4[[#This Row],[Labor]]</f>
        <v>0</v>
      </c>
      <c r="J20" s="16">
        <f>Table4[[#This Row],[Labor Cost]]+Table4[[#This Row],[Material Cost]]</f>
        <v>0</v>
      </c>
    </row>
    <row r="21" spans="1:10" x14ac:dyDescent="0.25">
      <c r="A21" s="1" t="s">
        <v>10</v>
      </c>
      <c r="B21" s="1" t="s">
        <v>164</v>
      </c>
      <c r="C21" s="1" t="s">
        <v>165</v>
      </c>
      <c r="D21" s="1" t="s">
        <v>13</v>
      </c>
      <c r="E21" s="34">
        <f>'ISP BOM'!E7</f>
        <v>40</v>
      </c>
      <c r="F21" s="36">
        <v>26</v>
      </c>
      <c r="G21" s="16">
        <v>75</v>
      </c>
      <c r="H21" s="16">
        <f>Table4[[#This Row],[Quantity]]*Table4[[#This Row],[Material]]</f>
        <v>1040</v>
      </c>
      <c r="I21" s="16">
        <f>Table4[[#This Row],[Quantity]]*Table4[[#This Row],[Labor]]</f>
        <v>3000</v>
      </c>
      <c r="J21" s="16">
        <f>Table4[[#This Row],[Labor Cost]]+Table4[[#This Row],[Material Cost]]</f>
        <v>4040</v>
      </c>
    </row>
    <row r="22" spans="1:10" x14ac:dyDescent="0.25">
      <c r="A22" s="1" t="s">
        <v>10</v>
      </c>
      <c r="B22" s="40" t="s">
        <v>14</v>
      </c>
      <c r="C22" s="40" t="s">
        <v>15</v>
      </c>
      <c r="D22" s="1" t="s">
        <v>13</v>
      </c>
      <c r="E22" s="34">
        <v>0</v>
      </c>
      <c r="F22" s="36">
        <v>4500</v>
      </c>
      <c r="G22" s="16">
        <v>2100</v>
      </c>
      <c r="H22" s="16">
        <f>Table4[[#This Row],[Quantity]]*Table4[[#This Row],[Material]]</f>
        <v>0</v>
      </c>
      <c r="I22" s="16">
        <f>Table4[[#This Row],[Quantity]]*Table4[[#This Row],[Labor]]</f>
        <v>0</v>
      </c>
      <c r="J22" s="16">
        <f>Table4[[#This Row],[Labor Cost]]+Table4[[#This Row],[Material Cost]]</f>
        <v>0</v>
      </c>
    </row>
    <row r="23" spans="1:10" x14ac:dyDescent="0.25">
      <c r="A23" s="1" t="s">
        <v>10</v>
      </c>
      <c r="B23" s="1" t="s">
        <v>38</v>
      </c>
      <c r="C23" s="1" t="s">
        <v>39</v>
      </c>
      <c r="D23" s="1" t="s">
        <v>13</v>
      </c>
      <c r="E23" s="34">
        <v>0</v>
      </c>
      <c r="F23" s="36">
        <v>164.42</v>
      </c>
      <c r="G23" s="16">
        <v>20</v>
      </c>
      <c r="H23" s="16">
        <f>Table4[[#This Row],[Quantity]]*Table4[[#This Row],[Material]]</f>
        <v>0</v>
      </c>
      <c r="I23" s="16">
        <f>Table4[[#This Row],[Quantity]]*Table4[[#This Row],[Labor]]</f>
        <v>0</v>
      </c>
      <c r="J23" s="16">
        <f>Table4[[#This Row],[Labor Cost]]+Table4[[#This Row],[Material Cost]]</f>
        <v>0</v>
      </c>
    </row>
    <row r="24" spans="1:10" x14ac:dyDescent="0.25">
      <c r="A24" s="1" t="s">
        <v>10</v>
      </c>
      <c r="B24" s="1" t="s">
        <v>40</v>
      </c>
      <c r="C24" s="1" t="s">
        <v>41</v>
      </c>
      <c r="D24" s="1" t="s">
        <v>13</v>
      </c>
      <c r="E24" s="34">
        <f>E14</f>
        <v>9.6666666666666679</v>
      </c>
      <c r="F24" s="36">
        <v>198.68</v>
      </c>
      <c r="G24" s="16">
        <v>20</v>
      </c>
      <c r="H24" s="16">
        <f>Table4[[#This Row],[Quantity]]*Table4[[#This Row],[Material]]</f>
        <v>1920.5733333333337</v>
      </c>
      <c r="I24" s="16">
        <f>Table4[[#This Row],[Quantity]]*Table4[[#This Row],[Labor]]</f>
        <v>193.33333333333337</v>
      </c>
      <c r="J24" s="16">
        <f>Table4[[#This Row],[Labor Cost]]+Table4[[#This Row],[Material Cost]]</f>
        <v>2113.9066666666672</v>
      </c>
    </row>
    <row r="25" spans="1:10" x14ac:dyDescent="0.25">
      <c r="A25" s="1" t="s">
        <v>10</v>
      </c>
      <c r="B25" s="1" t="s">
        <v>42</v>
      </c>
      <c r="C25" s="1" t="s">
        <v>43</v>
      </c>
      <c r="D25" s="1" t="s">
        <v>13</v>
      </c>
      <c r="E25" s="34">
        <v>0</v>
      </c>
      <c r="F25" s="36">
        <v>238.416</v>
      </c>
      <c r="G25" s="16">
        <v>20</v>
      </c>
      <c r="H25" s="16">
        <f>Table4[[#This Row],[Quantity]]*Table4[[#This Row],[Material]]</f>
        <v>0</v>
      </c>
      <c r="I25" s="16">
        <f>Table4[[#This Row],[Quantity]]*Table4[[#This Row],[Labor]]</f>
        <v>0</v>
      </c>
      <c r="J25" s="16">
        <f>Table4[[#This Row],[Labor Cost]]+Table4[[#This Row],[Material Cost]]</f>
        <v>0</v>
      </c>
    </row>
    <row r="26" spans="1:10" x14ac:dyDescent="0.25">
      <c r="A26" s="1" t="s">
        <v>10</v>
      </c>
      <c r="B26" s="1" t="s">
        <v>44</v>
      </c>
      <c r="C26" s="1" t="s">
        <v>45</v>
      </c>
      <c r="D26" s="1" t="s">
        <v>13</v>
      </c>
      <c r="E26" s="34">
        <v>0</v>
      </c>
      <c r="F26" s="36">
        <v>320</v>
      </c>
      <c r="G26" s="16">
        <v>20</v>
      </c>
      <c r="H26" s="16">
        <f>Table4[[#This Row],[Quantity]]*Table4[[#This Row],[Material]]</f>
        <v>0</v>
      </c>
      <c r="I26" s="16">
        <f>Table4[[#This Row],[Quantity]]*Table4[[#This Row],[Labor]]</f>
        <v>0</v>
      </c>
      <c r="J26" s="16">
        <f>Table4[[#This Row],[Labor Cost]]+Table4[[#This Row],[Material Cost]]</f>
        <v>0</v>
      </c>
    </row>
    <row r="27" spans="1:10" x14ac:dyDescent="0.25">
      <c r="A27" s="1" t="s">
        <v>10</v>
      </c>
      <c r="B27" s="1" t="s">
        <v>50</v>
      </c>
      <c r="C27" s="1" t="s">
        <v>51</v>
      </c>
      <c r="D27" s="1" t="s">
        <v>13</v>
      </c>
      <c r="E27" s="34">
        <f>E13</f>
        <v>8</v>
      </c>
      <c r="F27" s="36">
        <v>600</v>
      </c>
      <c r="G27" s="16">
        <v>75</v>
      </c>
      <c r="H27" s="16">
        <f>Table4[[#This Row],[Quantity]]*Table4[[#This Row],[Material]]</f>
        <v>4800</v>
      </c>
      <c r="I27" s="16">
        <f>Table4[[#This Row],[Quantity]]*Table4[[#This Row],[Labor]]</f>
        <v>600</v>
      </c>
      <c r="J27" s="16">
        <f>Table4[[#This Row],[Labor Cost]]+Table4[[#This Row],[Material Cost]]</f>
        <v>5400</v>
      </c>
    </row>
    <row r="28" spans="1:10" x14ac:dyDescent="0.25">
      <c r="A28" s="1" t="s">
        <v>10</v>
      </c>
      <c r="B28" s="1" t="s">
        <v>52</v>
      </c>
      <c r="C28" s="1" t="s">
        <v>49</v>
      </c>
      <c r="D28" s="1" t="s">
        <v>13</v>
      </c>
      <c r="E28" s="34">
        <v>0</v>
      </c>
      <c r="F28" s="36">
        <v>0</v>
      </c>
      <c r="H28" s="16">
        <f>Table4[[#This Row],[Quantity]]*Table4[[#This Row],[Material]]</f>
        <v>0</v>
      </c>
      <c r="I28" s="16">
        <f>Table4[[#This Row],[Quantity]]*Table4[[#This Row],[Labor]]</f>
        <v>0</v>
      </c>
      <c r="J28" s="16">
        <f>Table4[[#This Row],[Labor Cost]]+Table4[[#This Row],[Material Cost]]</f>
        <v>0</v>
      </c>
    </row>
    <row r="29" spans="1:10" x14ac:dyDescent="0.25">
      <c r="A29" s="1" t="s">
        <v>182</v>
      </c>
      <c r="B29" s="1" t="s">
        <v>183</v>
      </c>
      <c r="C29" s="1" t="s">
        <v>184</v>
      </c>
      <c r="D29" s="1" t="s">
        <v>13</v>
      </c>
      <c r="E29" s="34">
        <v>1</v>
      </c>
      <c r="F29" s="36">
        <v>5000</v>
      </c>
      <c r="G29" s="16">
        <v>2500</v>
      </c>
      <c r="H29" s="16">
        <f>Table4[[#This Row],[Quantity]]*Table4[[#This Row],[Material]]</f>
        <v>5000</v>
      </c>
      <c r="I29" s="16">
        <f>Table4[[#This Row],[Quantity]]*Table4[[#This Row],[Labor]]</f>
        <v>2500</v>
      </c>
      <c r="J29" s="16">
        <f>Table4[[#This Row],[Labor Cost]]+Table4[[#This Row],[Material Cost]]</f>
        <v>7500</v>
      </c>
    </row>
    <row r="30" spans="1:10" x14ac:dyDescent="0.25">
      <c r="A30" s="1"/>
      <c r="B30" s="1"/>
      <c r="C30" s="1"/>
      <c r="D30" s="1"/>
      <c r="E30" s="34"/>
      <c r="F30" s="36"/>
    </row>
    <row r="31" spans="1:10" x14ac:dyDescent="0.25">
      <c r="A31" s="1"/>
      <c r="B31" s="1"/>
      <c r="C31" s="1"/>
      <c r="D31" s="1"/>
      <c r="E31" s="34"/>
      <c r="F31" s="36"/>
      <c r="G31" s="36"/>
      <c r="H31" s="12" t="s">
        <v>132</v>
      </c>
      <c r="J31" s="12">
        <f>SUM(Table4[[ Total Cost ]])</f>
        <v>281457.16333333333</v>
      </c>
    </row>
    <row r="32" spans="1:10" x14ac:dyDescent="0.25">
      <c r="A32" s="1"/>
      <c r="B32" s="1"/>
      <c r="C32" s="1"/>
      <c r="D32" s="1"/>
      <c r="E32" s="34"/>
      <c r="F32" s="36"/>
      <c r="G32" s="36"/>
      <c r="H32" s="12"/>
      <c r="I32" s="13" t="s">
        <v>6</v>
      </c>
      <c r="J32" s="13">
        <f>SUM(Table4[Material Cost])</f>
        <v>139085.91333333333</v>
      </c>
    </row>
    <row r="33" spans="1:12" x14ac:dyDescent="0.25">
      <c r="A33" s="1"/>
      <c r="B33" s="1"/>
      <c r="C33" s="1"/>
      <c r="D33" s="1"/>
      <c r="E33" s="34"/>
      <c r="F33" s="36"/>
      <c r="G33" s="36"/>
      <c r="H33" s="12"/>
      <c r="I33" s="13" t="s">
        <v>7</v>
      </c>
      <c r="J33" s="13">
        <f>SUM(Table4[Labor Cost])</f>
        <v>142371.25</v>
      </c>
    </row>
    <row r="34" spans="1:12" x14ac:dyDescent="0.25">
      <c r="A34" s="1"/>
      <c r="B34" s="1"/>
      <c r="C34" s="1"/>
      <c r="D34" s="1"/>
      <c r="E34" s="34"/>
      <c r="F34" s="36"/>
      <c r="G34" s="36"/>
      <c r="H34" s="12" t="s">
        <v>133</v>
      </c>
      <c r="J34" s="12">
        <f>'ISP BOM'!J10</f>
        <v>43568</v>
      </c>
    </row>
    <row r="35" spans="1:12" x14ac:dyDescent="0.25">
      <c r="A35" s="1"/>
      <c r="B35" s="1"/>
      <c r="C35" s="1"/>
      <c r="D35" s="1"/>
      <c r="E35" s="34"/>
      <c r="F35" s="36"/>
      <c r="G35" s="36"/>
      <c r="H35" s="12" t="s">
        <v>134</v>
      </c>
      <c r="J35" s="12">
        <f>E20*120+5000</f>
        <v>20600</v>
      </c>
    </row>
    <row r="36" spans="1:12" x14ac:dyDescent="0.25">
      <c r="A36" s="1"/>
      <c r="B36" s="1"/>
      <c r="C36" s="1"/>
      <c r="D36" s="1"/>
      <c r="E36" s="34"/>
      <c r="F36" s="36"/>
      <c r="G36" s="36"/>
      <c r="H36" s="12" t="s">
        <v>135</v>
      </c>
      <c r="J36" s="12">
        <f>(J31+J34+J35)*0.1</f>
        <v>34562.516333333333</v>
      </c>
    </row>
    <row r="37" spans="1:12" x14ac:dyDescent="0.25">
      <c r="A37" s="1"/>
      <c r="B37" s="1"/>
      <c r="C37" s="1"/>
      <c r="D37" s="1"/>
      <c r="E37" s="34"/>
      <c r="F37" s="36"/>
      <c r="H37" s="12"/>
      <c r="J37" s="12"/>
    </row>
    <row r="38" spans="1:12" x14ac:dyDescent="0.25">
      <c r="A38" s="1"/>
      <c r="B38" s="1"/>
      <c r="C38" s="1"/>
      <c r="D38" s="1"/>
      <c r="E38" s="34"/>
      <c r="F38" s="36"/>
      <c r="G38" s="36"/>
      <c r="H38" s="12" t="s">
        <v>136</v>
      </c>
      <c r="J38" s="12">
        <f>J31+J34+J35+J36</f>
        <v>380187.67966666666</v>
      </c>
      <c r="K38" s="15"/>
      <c r="L38" s="15"/>
    </row>
    <row r="39" spans="1:12" x14ac:dyDescent="0.25">
      <c r="K39" s="15"/>
    </row>
    <row r="40" spans="1:12" x14ac:dyDescent="0.25">
      <c r="K40" s="15"/>
    </row>
    <row r="41" spans="1:12" x14ac:dyDescent="0.25">
      <c r="I41" s="16" t="s">
        <v>168</v>
      </c>
      <c r="J41" s="16">
        <f>J38*0.25</f>
        <v>95046.919916666666</v>
      </c>
    </row>
    <row r="43" spans="1:12" x14ac:dyDescent="0.25">
      <c r="I43" s="16" t="s">
        <v>169</v>
      </c>
      <c r="J43" s="16">
        <f>I4</f>
        <v>46800</v>
      </c>
    </row>
    <row r="44" spans="1:12" x14ac:dyDescent="0.25">
      <c r="I44" s="16" t="s">
        <v>164</v>
      </c>
      <c r="J44" s="16">
        <f>I21</f>
        <v>3000</v>
      </c>
    </row>
    <row r="45" spans="1:12" x14ac:dyDescent="0.25">
      <c r="I45" s="16" t="s">
        <v>133</v>
      </c>
      <c r="J45" s="16">
        <f>'ISP BOM'!J12</f>
        <v>14000</v>
      </c>
    </row>
    <row r="47" spans="1:12" x14ac:dyDescent="0.25">
      <c r="I47" s="16" t="s">
        <v>187</v>
      </c>
      <c r="J47" s="16">
        <f>SUM(J43:J45)</f>
        <v>63800</v>
      </c>
      <c r="K47">
        <f>J47/J41</f>
        <v>0.67124742238819823</v>
      </c>
    </row>
    <row r="49" spans="9:11" x14ac:dyDescent="0.25">
      <c r="I49" s="16" t="s">
        <v>188</v>
      </c>
      <c r="J49" s="16">
        <f>J41-J47</f>
        <v>31246.919916666666</v>
      </c>
      <c r="K49">
        <f>J49/J41</f>
        <v>0.32875257761180177</v>
      </c>
    </row>
    <row r="51" spans="9:11" x14ac:dyDescent="0.25">
      <c r="J51" s="16">
        <f>J49/J41</f>
        <v>0.32875257761180177</v>
      </c>
    </row>
  </sheetData>
  <pageMargins left="0.25" right="0.25" top="0.75" bottom="0.75" header="0.3" footer="0.3"/>
  <pageSetup scale="68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9FE0-0575-8548-8D0A-28EA4FD42499}">
  <sheetPr>
    <pageSetUpPr fitToPage="1"/>
  </sheetPr>
  <dimension ref="A1:O17"/>
  <sheetViews>
    <sheetView workbookViewId="0">
      <selection activeCell="B41" sqref="B41"/>
    </sheetView>
  </sheetViews>
  <sheetFormatPr defaultColWidth="8.85546875" defaultRowHeight="15" x14ac:dyDescent="0.25"/>
  <cols>
    <col min="1" max="1" width="35.7109375" customWidth="1"/>
    <col min="2" max="2" width="16" bestFit="1" customWidth="1"/>
    <col min="3" max="3" width="37.42578125" customWidth="1"/>
    <col min="5" max="5" width="11.42578125" style="35" customWidth="1"/>
    <col min="6" max="6" width="16.7109375" style="16" customWidth="1"/>
    <col min="7" max="7" width="13.7109375" style="16" customWidth="1"/>
    <col min="8" max="8" width="15.7109375" style="16" customWidth="1"/>
    <col min="9" max="9" width="13.7109375" style="16" customWidth="1"/>
    <col min="10" max="10" width="15" style="16" customWidth="1"/>
    <col min="13" max="13" width="14.140625" customWidth="1"/>
    <col min="14" max="14" width="12.85546875" bestFit="1" customWidth="1"/>
    <col min="15" max="15" width="11.85546875" bestFit="1" customWidth="1"/>
  </cols>
  <sheetData>
    <row r="1" spans="1:15" x14ac:dyDescent="0.25">
      <c r="A1" s="1" t="s">
        <v>3</v>
      </c>
      <c r="B1" s="1" t="s">
        <v>4</v>
      </c>
      <c r="C1" s="1" t="s">
        <v>1</v>
      </c>
      <c r="D1" s="1" t="s">
        <v>5</v>
      </c>
      <c r="E1" s="34" t="s">
        <v>2</v>
      </c>
      <c r="F1" s="36" t="s">
        <v>6</v>
      </c>
      <c r="G1" s="16" t="s">
        <v>7</v>
      </c>
      <c r="H1" s="16" t="s">
        <v>137</v>
      </c>
      <c r="I1" s="16" t="s">
        <v>138</v>
      </c>
      <c r="J1" s="16" t="s">
        <v>9</v>
      </c>
    </row>
    <row r="2" spans="1:15" x14ac:dyDescent="0.25">
      <c r="A2" s="40" t="s">
        <v>151</v>
      </c>
      <c r="B2" s="40" t="s">
        <v>162</v>
      </c>
      <c r="C2" s="40" t="s">
        <v>163</v>
      </c>
      <c r="D2" s="1" t="s">
        <v>13</v>
      </c>
      <c r="E2" s="34">
        <v>1</v>
      </c>
      <c r="F2" s="36">
        <v>10459</v>
      </c>
      <c r="G2" s="16">
        <v>1000</v>
      </c>
      <c r="H2" s="16">
        <f>Table42[[#This Row],[Quantity]]*Table42[[#This Row],[Material]]</f>
        <v>10459</v>
      </c>
      <c r="I2" s="16">
        <f>Table42[[#This Row],[Quantity]]*Table42[[#This Row],[Labor]]</f>
        <v>1000</v>
      </c>
      <c r="J2" s="16">
        <f>Table42[[#This Row],[Labor Cost]]+Table42[[#This Row],[Material Cost]]</f>
        <v>11459</v>
      </c>
    </row>
    <row r="3" spans="1:15" x14ac:dyDescent="0.25">
      <c r="A3" s="40" t="s">
        <v>151</v>
      </c>
      <c r="B3" s="40" t="s">
        <v>152</v>
      </c>
      <c r="C3" s="40" t="s">
        <v>153</v>
      </c>
      <c r="D3" s="1" t="s">
        <v>13</v>
      </c>
      <c r="E3" s="34">
        <v>4</v>
      </c>
      <c r="F3" s="36">
        <v>135</v>
      </c>
      <c r="G3" s="16">
        <v>500</v>
      </c>
      <c r="H3" s="16">
        <f>Table42[[#This Row],[Quantity]]*Table42[[#This Row],[Material]]</f>
        <v>540</v>
      </c>
      <c r="I3" s="16">
        <f>Table42[[#This Row],[Quantity]]*Table42[[#This Row],[Labor]]</f>
        <v>2000</v>
      </c>
      <c r="J3" s="16">
        <f>Table42[[#This Row],[Labor Cost]]+Table42[[#This Row],[Material Cost]]</f>
        <v>2540</v>
      </c>
    </row>
    <row r="4" spans="1:15" x14ac:dyDescent="0.25">
      <c r="A4" s="1" t="s">
        <v>170</v>
      </c>
      <c r="B4" s="1" t="s">
        <v>171</v>
      </c>
      <c r="C4" s="1" t="s">
        <v>172</v>
      </c>
      <c r="D4" s="1" t="s">
        <v>13</v>
      </c>
      <c r="E4" s="34">
        <v>1</v>
      </c>
      <c r="F4" s="36">
        <v>2819</v>
      </c>
      <c r="G4" s="16">
        <v>2000</v>
      </c>
      <c r="H4" s="16">
        <f>Table42[[#This Row],[Quantity]]*Table42[[#This Row],[Material]]</f>
        <v>2819</v>
      </c>
      <c r="I4" s="16">
        <f>Table42[[#This Row],[Quantity]]*Table42[[#This Row],[Labor]]</f>
        <v>2000</v>
      </c>
      <c r="J4" s="16">
        <f>Table42[[#This Row],[Labor Cost]]+Table42[[#This Row],[Material Cost]]</f>
        <v>4819</v>
      </c>
    </row>
    <row r="5" spans="1:15" x14ac:dyDescent="0.25">
      <c r="A5" s="40" t="s">
        <v>160</v>
      </c>
      <c r="B5" s="1" t="s">
        <v>173</v>
      </c>
      <c r="C5" s="1" t="s">
        <v>174</v>
      </c>
      <c r="D5" s="1" t="s">
        <v>13</v>
      </c>
      <c r="E5" s="34">
        <v>1</v>
      </c>
      <c r="F5" s="36">
        <v>2500</v>
      </c>
      <c r="G5" s="16">
        <v>500</v>
      </c>
      <c r="H5" s="16">
        <f>Table42[[#This Row],[Quantity]]*Table42[[#This Row],[Material]]</f>
        <v>2500</v>
      </c>
      <c r="I5" s="16">
        <f>Table42[[#This Row],[Quantity]]*Table42[[#This Row],[Labor]]</f>
        <v>500</v>
      </c>
      <c r="J5" s="16">
        <f>Table42[[#This Row],[Labor Cost]]+Table42[[#This Row],[Material Cost]]</f>
        <v>3000</v>
      </c>
    </row>
    <row r="6" spans="1:15" x14ac:dyDescent="0.25">
      <c r="A6" s="40" t="s">
        <v>161</v>
      </c>
      <c r="B6" s="1" t="s">
        <v>176</v>
      </c>
      <c r="C6" s="1" t="s">
        <v>175</v>
      </c>
      <c r="D6" s="1" t="s">
        <v>13</v>
      </c>
      <c r="E6" s="34">
        <v>1</v>
      </c>
      <c r="F6" s="36">
        <v>4250</v>
      </c>
      <c r="G6" s="16">
        <v>500</v>
      </c>
      <c r="H6" s="16">
        <f>Table42[[#This Row],[Quantity]]*Table42[[#This Row],[Material]]</f>
        <v>4250</v>
      </c>
      <c r="I6" s="16">
        <f>Table42[[#This Row],[Quantity]]*Table42[[#This Row],[Labor]]</f>
        <v>500</v>
      </c>
      <c r="J6" s="16">
        <f>Table42[[#This Row],[Labor Cost]]+Table42[[#This Row],[Material Cost]]</f>
        <v>4750</v>
      </c>
    </row>
    <row r="7" spans="1:15" x14ac:dyDescent="0.25">
      <c r="A7" s="40" t="s">
        <v>154</v>
      </c>
      <c r="B7" s="40" t="s">
        <v>157</v>
      </c>
      <c r="C7" s="40" t="s">
        <v>158</v>
      </c>
      <c r="D7" s="1" t="s">
        <v>13</v>
      </c>
      <c r="E7" s="34">
        <v>40</v>
      </c>
      <c r="F7" s="36">
        <v>118</v>
      </c>
      <c r="G7" s="16">
        <v>125</v>
      </c>
      <c r="H7" s="16">
        <f>Table42[[#This Row],[Quantity]]*Table42[[#This Row],[Material]]</f>
        <v>4720</v>
      </c>
      <c r="I7" s="16">
        <f>Table42[[#This Row],[Quantity]]*Table42[[#This Row],[Labor]]</f>
        <v>5000</v>
      </c>
      <c r="J7" s="16">
        <f>Table42[[#This Row],[Labor Cost]]+Table42[[#This Row],[Material Cost]]</f>
        <v>9720</v>
      </c>
      <c r="N7" s="15"/>
      <c r="O7" s="15"/>
    </row>
    <row r="8" spans="1:15" ht="30" x14ac:dyDescent="0.25">
      <c r="A8" s="40" t="s">
        <v>155</v>
      </c>
      <c r="B8" s="40" t="s">
        <v>156</v>
      </c>
      <c r="C8" s="41" t="s">
        <v>159</v>
      </c>
      <c r="D8" s="1" t="s">
        <v>13</v>
      </c>
      <c r="E8" s="34">
        <v>40</v>
      </c>
      <c r="F8" s="36">
        <v>107</v>
      </c>
      <c r="G8" s="16">
        <v>75</v>
      </c>
      <c r="H8" s="16">
        <f>Table42[[#This Row],[Quantity]]*Table42[[#This Row],[Material]]</f>
        <v>4280</v>
      </c>
      <c r="I8" s="16">
        <f>Table42[[#This Row],[Quantity]]*Table42[[#This Row],[Labor]]</f>
        <v>3000</v>
      </c>
      <c r="J8" s="16">
        <f>Table42[[#This Row],[Labor Cost]]+Table42[[#This Row],[Material Cost]]</f>
        <v>7280</v>
      </c>
    </row>
    <row r="9" spans="1:15" x14ac:dyDescent="0.25">
      <c r="A9" s="1"/>
      <c r="B9" s="1"/>
      <c r="C9" s="1"/>
      <c r="D9" s="1"/>
      <c r="E9" s="34"/>
      <c r="F9" s="36"/>
    </row>
    <row r="10" spans="1:15" x14ac:dyDescent="0.25">
      <c r="A10" s="1"/>
      <c r="B10" s="1"/>
      <c r="C10" s="1"/>
      <c r="D10" s="1"/>
      <c r="E10" s="34"/>
      <c r="F10" s="36"/>
      <c r="G10" s="36"/>
      <c r="H10" s="12" t="s">
        <v>132</v>
      </c>
      <c r="J10" s="12">
        <f>SUM(Table42[[ Total Cost ]])</f>
        <v>43568</v>
      </c>
    </row>
    <row r="11" spans="1:15" x14ac:dyDescent="0.25">
      <c r="A11" s="1"/>
      <c r="B11" s="1"/>
      <c r="C11" s="1"/>
      <c r="D11" s="1"/>
      <c r="E11" s="34"/>
      <c r="F11" s="36"/>
      <c r="G11" s="36"/>
      <c r="H11" s="12"/>
      <c r="I11" s="13" t="s">
        <v>6</v>
      </c>
      <c r="J11" s="13">
        <f>SUM(Table42[Material Cost])</f>
        <v>29568</v>
      </c>
    </row>
    <row r="12" spans="1:15" x14ac:dyDescent="0.25">
      <c r="A12" s="1"/>
      <c r="B12" s="1"/>
      <c r="C12" s="1"/>
      <c r="D12" s="1"/>
      <c r="E12" s="34"/>
      <c r="F12" s="36"/>
      <c r="G12" s="36"/>
      <c r="H12" s="12"/>
      <c r="I12" s="13" t="s">
        <v>7</v>
      </c>
      <c r="J12" s="13">
        <f>SUM(Table42[Labor Cost])</f>
        <v>14000</v>
      </c>
    </row>
    <row r="13" spans="1:15" x14ac:dyDescent="0.25">
      <c r="A13" s="1"/>
      <c r="B13" s="1"/>
      <c r="C13" s="1"/>
      <c r="D13" s="1"/>
      <c r="E13" s="34"/>
      <c r="F13" s="36"/>
      <c r="G13" s="36"/>
      <c r="H13" s="12"/>
      <c r="J13" s="37"/>
    </row>
    <row r="14" spans="1:15" x14ac:dyDescent="0.25">
      <c r="A14" s="1"/>
      <c r="B14" s="1"/>
      <c r="C14" s="1"/>
      <c r="D14" s="1"/>
      <c r="E14" s="34"/>
      <c r="F14" s="36"/>
      <c r="G14" s="36"/>
      <c r="H14" s="12"/>
      <c r="J14" s="12"/>
    </row>
    <row r="15" spans="1:15" x14ac:dyDescent="0.25">
      <c r="A15" s="1"/>
      <c r="B15" s="1"/>
      <c r="C15" s="1"/>
      <c r="D15" s="1"/>
      <c r="E15" s="34"/>
      <c r="F15" s="36"/>
      <c r="G15" s="36"/>
      <c r="H15" s="12"/>
      <c r="J15" s="12"/>
    </row>
    <row r="16" spans="1:15" x14ac:dyDescent="0.25">
      <c r="A16" s="1"/>
      <c r="B16" s="1"/>
      <c r="C16" s="1"/>
      <c r="D16" s="1"/>
      <c r="E16" s="34"/>
      <c r="F16" s="36"/>
      <c r="H16" s="12"/>
      <c r="J16" s="12"/>
    </row>
    <row r="17" spans="1:10" x14ac:dyDescent="0.25">
      <c r="A17" s="1"/>
      <c r="B17" s="1"/>
      <c r="C17" s="1"/>
      <c r="D17" s="1"/>
      <c r="E17" s="34"/>
      <c r="F17" s="36"/>
      <c r="G17" s="36"/>
      <c r="H17" s="12"/>
      <c r="J17" s="12"/>
    </row>
  </sheetData>
  <pageMargins left="0.25" right="0.25" top="0.75" bottom="0.75" header="0.3" footer="0.3"/>
  <pageSetup scale="68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N68"/>
  <sheetViews>
    <sheetView topLeftCell="A43" zoomScaleNormal="100" workbookViewId="0">
      <selection activeCell="B77" sqref="B77"/>
    </sheetView>
  </sheetViews>
  <sheetFormatPr defaultColWidth="9.140625" defaultRowHeight="15" x14ac:dyDescent="0.25"/>
  <cols>
    <col min="1" max="1" width="33.140625" style="1" customWidth="1"/>
    <col min="2" max="2" width="14.140625" style="1" customWidth="1"/>
    <col min="3" max="3" width="35.28515625" style="1" customWidth="1"/>
    <col min="4" max="4" width="9.140625" style="1"/>
    <col min="5" max="5" width="10.42578125" style="1" customWidth="1"/>
    <col min="6" max="6" width="11.7109375" style="2" customWidth="1"/>
    <col min="7" max="8" width="12.42578125" style="3" customWidth="1"/>
    <col min="9" max="9" width="14.140625" style="3" customWidth="1"/>
    <col min="10" max="10" width="11.42578125" style="3" customWidth="1"/>
    <col min="11" max="11" width="18.85546875" style="3" customWidth="1"/>
    <col min="12" max="13" width="9.140625" style="1"/>
    <col min="14" max="14" width="14.42578125" style="1" customWidth="1"/>
    <col min="15" max="15" width="9.140625" style="1"/>
    <col min="16" max="16" width="12" style="1" bestFit="1" customWidth="1"/>
    <col min="17" max="16384" width="9.140625" style="1"/>
  </cols>
  <sheetData>
    <row r="1" spans="1:11" x14ac:dyDescent="0.25">
      <c r="A1" s="1" t="s">
        <v>3</v>
      </c>
      <c r="B1" s="1" t="s">
        <v>4</v>
      </c>
      <c r="C1" s="1" t="s">
        <v>1</v>
      </c>
      <c r="D1" s="1" t="s">
        <v>5</v>
      </c>
      <c r="E1" s="1" t="s">
        <v>2</v>
      </c>
      <c r="F1" s="2" t="s">
        <v>6</v>
      </c>
      <c r="G1" s="3" t="s">
        <v>7</v>
      </c>
      <c r="H1" s="3" t="s">
        <v>8</v>
      </c>
      <c r="I1" s="3" t="s">
        <v>137</v>
      </c>
      <c r="J1" s="3" t="s">
        <v>138</v>
      </c>
      <c r="K1" s="3" t="s">
        <v>9</v>
      </c>
    </row>
    <row r="2" spans="1:11" x14ac:dyDescent="0.25">
      <c r="A2" s="1" t="s">
        <v>10</v>
      </c>
      <c r="B2" s="1" t="s">
        <v>11</v>
      </c>
      <c r="C2" s="1" t="s">
        <v>12</v>
      </c>
      <c r="D2" s="1" t="s">
        <v>13</v>
      </c>
      <c r="E2" s="1">
        <v>6</v>
      </c>
      <c r="F2" s="2">
        <v>600</v>
      </c>
      <c r="H2" s="3">
        <f>SUM(Table13[[#This Row],[Material]:[Labor]])</f>
        <v>600</v>
      </c>
      <c r="I2" s="9">
        <f>Table13[[#This Row],[Material]]*Table13[[#This Row],[Quantity]]</f>
        <v>3600</v>
      </c>
      <c r="J2" s="3">
        <f>Table13[[#This Row],[Labor]]*Table13[[#This Row],[Quantity]]</f>
        <v>0</v>
      </c>
      <c r="K2" s="3">
        <f>Table13[[#This Row],[Unit Cost]]*Table13[[#This Row],[Quantity]]</f>
        <v>3600</v>
      </c>
    </row>
    <row r="3" spans="1:11" hidden="1" x14ac:dyDescent="0.25">
      <c r="A3" s="1" t="s">
        <v>10</v>
      </c>
      <c r="B3" s="1" t="s">
        <v>14</v>
      </c>
      <c r="C3" s="1" t="s">
        <v>15</v>
      </c>
      <c r="D3" s="1" t="s">
        <v>13</v>
      </c>
      <c r="E3" s="1">
        <v>0</v>
      </c>
      <c r="F3" s="2">
        <v>3000</v>
      </c>
      <c r="G3" s="1"/>
      <c r="H3" s="4">
        <f>SUM(Table13[[#This Row],[Material]:[Labor]])</f>
        <v>3000</v>
      </c>
      <c r="I3" s="4">
        <f>Table13[[#This Row],[Material]]*Table13[[#This Row],[Quantity]]</f>
        <v>0</v>
      </c>
      <c r="J3" s="10">
        <f>Table13[[#This Row],[Labor]]*Table13[[#This Row],[Quantity]]</f>
        <v>0</v>
      </c>
      <c r="K3" s="4">
        <f>Table13[[#This Row],[Unit Cost]]*Table13[[#This Row],[Quantity]]</f>
        <v>0</v>
      </c>
    </row>
    <row r="4" spans="1:11" hidden="1" x14ac:dyDescent="0.25">
      <c r="A4" s="1" t="s">
        <v>10</v>
      </c>
      <c r="B4" s="1" t="s">
        <v>16</v>
      </c>
      <c r="C4" s="1" t="s">
        <v>17</v>
      </c>
      <c r="D4" s="1" t="s">
        <v>13</v>
      </c>
      <c r="E4" s="1">
        <v>0</v>
      </c>
      <c r="F4" s="2">
        <v>5000</v>
      </c>
      <c r="G4" s="1"/>
      <c r="H4" s="4">
        <f>SUM(Table13[[#This Row],[Material]:[Labor]])</f>
        <v>5000</v>
      </c>
      <c r="I4" s="4">
        <f>Table13[[#This Row],[Material]]*Table13[[#This Row],[Quantity]]</f>
        <v>0</v>
      </c>
      <c r="J4" s="10">
        <f>Table13[[#This Row],[Labor]]*Table13[[#This Row],[Quantity]]</f>
        <v>0</v>
      </c>
      <c r="K4" s="4">
        <f>Table13[[#This Row],[Unit Cost]]*Table13[[#This Row],[Quantity]]</f>
        <v>0</v>
      </c>
    </row>
    <row r="5" spans="1:11" hidden="1" x14ac:dyDescent="0.25">
      <c r="A5" s="1" t="s">
        <v>10</v>
      </c>
      <c r="B5" s="1" t="s">
        <v>18</v>
      </c>
      <c r="C5" s="1" t="s">
        <v>19</v>
      </c>
      <c r="D5" s="1" t="s">
        <v>13</v>
      </c>
      <c r="E5" s="1">
        <v>0</v>
      </c>
      <c r="F5" s="2">
        <v>8000</v>
      </c>
      <c r="G5" s="1"/>
      <c r="H5" s="4">
        <f>SUM(Table13[[#This Row],[Material]:[Labor]])</f>
        <v>8000</v>
      </c>
      <c r="I5" s="4">
        <f>Table13[[#This Row],[Material]]*Table13[[#This Row],[Quantity]]</f>
        <v>0</v>
      </c>
      <c r="J5" s="10">
        <f>Table13[[#This Row],[Labor]]*Table13[[#This Row],[Quantity]]</f>
        <v>0</v>
      </c>
      <c r="K5" s="4">
        <f>Table13[[#This Row],[Unit Cost]]*Table13[[#This Row],[Quantity]]</f>
        <v>0</v>
      </c>
    </row>
    <row r="6" spans="1:11" hidden="1" x14ac:dyDescent="0.25">
      <c r="A6" s="1" t="s">
        <v>10</v>
      </c>
      <c r="B6" s="1" t="s">
        <v>20</v>
      </c>
      <c r="C6" s="1" t="s">
        <v>21</v>
      </c>
      <c r="D6" s="1" t="s">
        <v>13</v>
      </c>
      <c r="E6" s="1">
        <v>0</v>
      </c>
      <c r="F6" s="2">
        <v>13000</v>
      </c>
      <c r="G6" s="1"/>
      <c r="H6" s="4">
        <f>SUM(Table13[[#This Row],[Material]:[Labor]])</f>
        <v>13000</v>
      </c>
      <c r="I6" s="4">
        <f>Table13[[#This Row],[Material]]*Table13[[#This Row],[Quantity]]</f>
        <v>0</v>
      </c>
      <c r="J6" s="10">
        <f>Table13[[#This Row],[Labor]]*Table13[[#This Row],[Quantity]]</f>
        <v>0</v>
      </c>
      <c r="K6" s="4">
        <f>Table13[[#This Row],[Unit Cost]]*Table13[[#This Row],[Quantity]]</f>
        <v>0</v>
      </c>
    </row>
    <row r="7" spans="1:11" x14ac:dyDescent="0.25">
      <c r="A7" s="1" t="s">
        <v>10</v>
      </c>
      <c r="B7" s="1" t="s">
        <v>22</v>
      </c>
      <c r="C7" s="1" t="s">
        <v>23</v>
      </c>
      <c r="D7" s="1" t="s">
        <v>13</v>
      </c>
      <c r="E7" s="1">
        <v>1</v>
      </c>
      <c r="F7" s="2">
        <v>16000</v>
      </c>
      <c r="G7" s="3">
        <v>2100</v>
      </c>
      <c r="H7" s="3">
        <f>SUM(Table13[[#This Row],[Material]:[Labor]])</f>
        <v>18100</v>
      </c>
      <c r="I7" s="9">
        <f>Table13[[#This Row],[Material]]*Table13[[#This Row],[Quantity]]</f>
        <v>16000</v>
      </c>
      <c r="J7" s="3">
        <f>Table13[[#This Row],[Labor]]*Table13[[#This Row],[Quantity]]</f>
        <v>2100</v>
      </c>
      <c r="K7" s="3">
        <f>Table13[[#This Row],[Unit Cost]]*Table13[[#This Row],[Quantity]]</f>
        <v>18100</v>
      </c>
    </row>
    <row r="8" spans="1:11" hidden="1" x14ac:dyDescent="0.25">
      <c r="A8" s="1" t="s">
        <v>10</v>
      </c>
      <c r="B8" s="1" t="s">
        <v>24</v>
      </c>
      <c r="C8" s="1" t="s">
        <v>25</v>
      </c>
      <c r="D8" s="1" t="s">
        <v>13</v>
      </c>
      <c r="E8" s="1">
        <v>0</v>
      </c>
      <c r="F8" s="2">
        <v>23000</v>
      </c>
      <c r="G8" s="1"/>
      <c r="H8" s="4">
        <f>SUM(Table13[[#This Row],[Material]:[Labor]])</f>
        <v>23000</v>
      </c>
      <c r="I8" s="4">
        <f>Table13[[#This Row],[Material]]*Table13[[#This Row],[Quantity]]</f>
        <v>0</v>
      </c>
      <c r="J8" s="10">
        <f>Table13[[#This Row],[Labor]]*Table13[[#This Row],[Quantity]]</f>
        <v>0</v>
      </c>
      <c r="K8" s="4">
        <f>Table13[[#This Row],[Unit Cost]]*Table13[[#This Row],[Quantity]]</f>
        <v>0</v>
      </c>
    </row>
    <row r="9" spans="1:11" x14ac:dyDescent="0.25">
      <c r="A9" s="1" t="s">
        <v>10</v>
      </c>
      <c r="B9" s="1" t="s">
        <v>26</v>
      </c>
      <c r="C9" s="1" t="s">
        <v>27</v>
      </c>
      <c r="D9" s="1" t="s">
        <v>13</v>
      </c>
      <c r="E9" s="1">
        <v>19</v>
      </c>
      <c r="F9" s="2">
        <v>150</v>
      </c>
      <c r="H9" s="3">
        <f>SUM(Table13[[#This Row],[Material]:[Labor]])</f>
        <v>150</v>
      </c>
      <c r="I9" s="9">
        <f>Table13[[#This Row],[Material]]*Table13[[#This Row],[Quantity]]</f>
        <v>2850</v>
      </c>
      <c r="J9" s="3">
        <f>Table13[[#This Row],[Labor]]*Table13[[#This Row],[Quantity]]</f>
        <v>0</v>
      </c>
      <c r="K9" s="3">
        <f>Table13[[#This Row],[Unit Cost]]*Table13[[#This Row],[Quantity]]</f>
        <v>2850</v>
      </c>
    </row>
    <row r="10" spans="1:11" x14ac:dyDescent="0.25">
      <c r="A10" s="1" t="s">
        <v>10</v>
      </c>
      <c r="B10" s="1" t="s">
        <v>28</v>
      </c>
      <c r="C10" s="1" t="s">
        <v>29</v>
      </c>
      <c r="D10" s="1" t="s">
        <v>13</v>
      </c>
      <c r="E10" s="1">
        <v>23</v>
      </c>
      <c r="F10" s="2">
        <f>F16</f>
        <v>198.68</v>
      </c>
      <c r="G10" s="3">
        <v>20</v>
      </c>
      <c r="H10" s="3">
        <f>SUM(Table13[[#This Row],[Material]:[Labor]])</f>
        <v>218.68</v>
      </c>
      <c r="I10" s="9">
        <f>Table13[[#This Row],[Material]]*Table13[[#This Row],[Quantity]]</f>
        <v>4569.6400000000003</v>
      </c>
      <c r="J10" s="3">
        <f>Table13[[#This Row],[Labor]]*Table13[[#This Row],[Quantity]]</f>
        <v>460</v>
      </c>
      <c r="K10" s="3">
        <f>Table13[[#This Row],[Unit Cost]]*Table13[[#This Row],[Quantity]]</f>
        <v>5029.6400000000003</v>
      </c>
    </row>
    <row r="11" spans="1:11" x14ac:dyDescent="0.25">
      <c r="A11" s="1" t="s">
        <v>10</v>
      </c>
      <c r="B11" s="1" t="s">
        <v>30</v>
      </c>
      <c r="C11" s="1" t="s">
        <v>31</v>
      </c>
      <c r="D11" s="1" t="s">
        <v>13</v>
      </c>
      <c r="E11" s="1">
        <v>7</v>
      </c>
      <c r="F11" s="2">
        <f>F15</f>
        <v>164.42</v>
      </c>
      <c r="G11" s="3">
        <v>20</v>
      </c>
      <c r="H11" s="3">
        <f>SUM(Table13[[#This Row],[Material]:[Labor]])</f>
        <v>184.42</v>
      </c>
      <c r="I11" s="9">
        <f>Table13[[#This Row],[Material]]*Table13[[#This Row],[Quantity]]</f>
        <v>1150.9399999999998</v>
      </c>
      <c r="J11" s="3">
        <f>Table13[[#This Row],[Labor]]*Table13[[#This Row],[Quantity]]</f>
        <v>140</v>
      </c>
      <c r="K11" s="3">
        <f>Table13[[#This Row],[Unit Cost]]*Table13[[#This Row],[Quantity]]</f>
        <v>1290.9399999999998</v>
      </c>
    </row>
    <row r="12" spans="1:11" x14ac:dyDescent="0.25">
      <c r="A12" s="1" t="s">
        <v>10</v>
      </c>
      <c r="B12" s="1" t="s">
        <v>32</v>
      </c>
      <c r="C12" s="1" t="s">
        <v>33</v>
      </c>
      <c r="D12" s="1" t="s">
        <v>13</v>
      </c>
      <c r="E12" s="1">
        <v>23</v>
      </c>
      <c r="F12" s="2">
        <f>F17</f>
        <v>238.416</v>
      </c>
      <c r="G12" s="3">
        <v>20</v>
      </c>
      <c r="H12" s="3">
        <f>SUM(Table13[[#This Row],[Material]:[Labor]])</f>
        <v>258.416</v>
      </c>
      <c r="I12" s="9">
        <f>Table13[[#This Row],[Material]]*Table13[[#This Row],[Quantity]]</f>
        <v>5483.5680000000002</v>
      </c>
      <c r="J12" s="3">
        <f>Table13[[#This Row],[Labor]]*Table13[[#This Row],[Quantity]]</f>
        <v>460</v>
      </c>
      <c r="K12" s="3">
        <f>Table13[[#This Row],[Unit Cost]]*Table13[[#This Row],[Quantity]]</f>
        <v>5943.5680000000002</v>
      </c>
    </row>
    <row r="13" spans="1:11" x14ac:dyDescent="0.25">
      <c r="A13" s="1" t="s">
        <v>10</v>
      </c>
      <c r="B13" s="1" t="s">
        <v>34</v>
      </c>
      <c r="C13" s="1" t="s">
        <v>35</v>
      </c>
      <c r="D13" s="1" t="s">
        <v>13</v>
      </c>
      <c r="E13" s="1">
        <v>15</v>
      </c>
      <c r="F13" s="2">
        <v>320</v>
      </c>
      <c r="G13" s="3">
        <v>20</v>
      </c>
      <c r="H13" s="3">
        <f>SUM(Table13[[#This Row],[Material]:[Labor]])</f>
        <v>340</v>
      </c>
      <c r="I13" s="9">
        <f>Table13[[#This Row],[Material]]*Table13[[#This Row],[Quantity]]</f>
        <v>4800</v>
      </c>
      <c r="J13" s="3">
        <f>Table13[[#This Row],[Labor]]*Table13[[#This Row],[Quantity]]</f>
        <v>300</v>
      </c>
      <c r="K13" s="3">
        <f>Table13[[#This Row],[Unit Cost]]*Table13[[#This Row],[Quantity]]</f>
        <v>5100</v>
      </c>
    </row>
    <row r="14" spans="1:11" x14ac:dyDescent="0.25">
      <c r="A14" s="1" t="s">
        <v>10</v>
      </c>
      <c r="B14" s="1" t="s">
        <v>36</v>
      </c>
      <c r="C14" s="1" t="s">
        <v>37</v>
      </c>
      <c r="D14" s="1" t="s">
        <v>13</v>
      </c>
      <c r="E14" s="1">
        <v>19</v>
      </c>
      <c r="F14" s="2">
        <f>F13*1.2</f>
        <v>384</v>
      </c>
      <c r="G14" s="3">
        <v>20</v>
      </c>
      <c r="H14" s="3">
        <f>SUM(Table13[[#This Row],[Material]:[Labor]])</f>
        <v>404</v>
      </c>
      <c r="I14" s="9">
        <f>Table13[[#This Row],[Material]]*Table13[[#This Row],[Quantity]]</f>
        <v>7296</v>
      </c>
      <c r="J14" s="3">
        <f>Table13[[#This Row],[Labor]]*Table13[[#This Row],[Quantity]]</f>
        <v>380</v>
      </c>
      <c r="K14" s="3">
        <f>Table13[[#This Row],[Unit Cost]]*Table13[[#This Row],[Quantity]]</f>
        <v>7676</v>
      </c>
    </row>
    <row r="15" spans="1:11" x14ac:dyDescent="0.25">
      <c r="A15" s="1" t="s">
        <v>10</v>
      </c>
      <c r="B15" s="1" t="s">
        <v>38</v>
      </c>
      <c r="C15" s="1" t="s">
        <v>39</v>
      </c>
      <c r="D15" s="1" t="s">
        <v>13</v>
      </c>
      <c r="E15" s="1">
        <v>24</v>
      </c>
      <c r="F15" s="2">
        <v>164.42</v>
      </c>
      <c r="G15" s="3">
        <v>20</v>
      </c>
      <c r="H15" s="3">
        <f>SUM(Table13[[#This Row],[Material]:[Labor]])</f>
        <v>184.42</v>
      </c>
      <c r="I15" s="9">
        <f>Table13[[#This Row],[Material]]*Table13[[#This Row],[Quantity]]</f>
        <v>3946.08</v>
      </c>
      <c r="J15" s="3">
        <f>Table13[[#This Row],[Labor]]*Table13[[#This Row],[Quantity]]</f>
        <v>480</v>
      </c>
      <c r="K15" s="3">
        <f>Table13[[#This Row],[Unit Cost]]*Table13[[#This Row],[Quantity]]</f>
        <v>4426.08</v>
      </c>
    </row>
    <row r="16" spans="1:11" x14ac:dyDescent="0.25">
      <c r="A16" s="1" t="s">
        <v>10</v>
      </c>
      <c r="B16" s="1" t="s">
        <v>40</v>
      </c>
      <c r="C16" s="1" t="s">
        <v>41</v>
      </c>
      <c r="D16" s="1" t="s">
        <v>13</v>
      </c>
      <c r="E16" s="1">
        <v>10</v>
      </c>
      <c r="F16" s="2">
        <v>198.68</v>
      </c>
      <c r="G16" s="3">
        <v>20</v>
      </c>
      <c r="H16" s="3">
        <f>SUM(Table13[[#This Row],[Material]:[Labor]])</f>
        <v>218.68</v>
      </c>
      <c r="I16" s="9">
        <f>Table13[[#This Row],[Material]]*Table13[[#This Row],[Quantity]]</f>
        <v>1986.8000000000002</v>
      </c>
      <c r="J16" s="3">
        <f>Table13[[#This Row],[Labor]]*Table13[[#This Row],[Quantity]]</f>
        <v>200</v>
      </c>
      <c r="K16" s="3">
        <f>Table13[[#This Row],[Unit Cost]]*Table13[[#This Row],[Quantity]]</f>
        <v>2186.8000000000002</v>
      </c>
    </row>
    <row r="17" spans="1:14" x14ac:dyDescent="0.25">
      <c r="A17" s="1" t="s">
        <v>10</v>
      </c>
      <c r="B17" s="1" t="s">
        <v>42</v>
      </c>
      <c r="C17" s="1" t="s">
        <v>43</v>
      </c>
      <c r="D17" s="1" t="s">
        <v>13</v>
      </c>
      <c r="E17" s="1">
        <v>2</v>
      </c>
      <c r="F17" s="2">
        <f>F16*1.2</f>
        <v>238.416</v>
      </c>
      <c r="G17" s="3">
        <v>20</v>
      </c>
      <c r="H17" s="3">
        <f>SUM(Table13[[#This Row],[Material]:[Labor]])</f>
        <v>258.416</v>
      </c>
      <c r="I17" s="9">
        <f>Table13[[#This Row],[Material]]*Table13[[#This Row],[Quantity]]</f>
        <v>476.83199999999999</v>
      </c>
      <c r="J17" s="3">
        <f>Table13[[#This Row],[Labor]]*Table13[[#This Row],[Quantity]]</f>
        <v>40</v>
      </c>
      <c r="K17" s="3">
        <f>Table13[[#This Row],[Unit Cost]]*Table13[[#This Row],[Quantity]]</f>
        <v>516.83199999999999</v>
      </c>
    </row>
    <row r="18" spans="1:14" x14ac:dyDescent="0.25">
      <c r="A18" s="1" t="s">
        <v>10</v>
      </c>
      <c r="B18" s="1" t="s">
        <v>44</v>
      </c>
      <c r="C18" s="1" t="s">
        <v>45</v>
      </c>
      <c r="D18" s="1" t="s">
        <v>13</v>
      </c>
      <c r="E18" s="1">
        <v>1</v>
      </c>
      <c r="F18" s="2">
        <f>F13</f>
        <v>320</v>
      </c>
      <c r="G18" s="3">
        <v>20</v>
      </c>
      <c r="H18" s="3">
        <f>SUM(Table13[[#This Row],[Material]:[Labor]])</f>
        <v>340</v>
      </c>
      <c r="I18" s="9">
        <f>Table13[[#This Row],[Material]]*Table13[[#This Row],[Quantity]]</f>
        <v>320</v>
      </c>
      <c r="J18" s="3">
        <f>Table13[[#This Row],[Labor]]*Table13[[#This Row],[Quantity]]</f>
        <v>20</v>
      </c>
      <c r="K18" s="3">
        <f>Table13[[#This Row],[Unit Cost]]*Table13[[#This Row],[Quantity]]</f>
        <v>340</v>
      </c>
    </row>
    <row r="19" spans="1:14" hidden="1" x14ac:dyDescent="0.25">
      <c r="A19" s="1" t="s">
        <v>10</v>
      </c>
      <c r="B19" s="1" t="s">
        <v>46</v>
      </c>
      <c r="C19" s="1" t="s">
        <v>47</v>
      </c>
      <c r="D19" s="1" t="s">
        <v>13</v>
      </c>
      <c r="E19" s="1">
        <v>0</v>
      </c>
      <c r="F19" s="2">
        <v>375</v>
      </c>
      <c r="G19" s="1"/>
      <c r="H19" s="4">
        <f>SUM(Table13[[#This Row],[Material]:[Labor]])</f>
        <v>375</v>
      </c>
      <c r="I19" s="4">
        <f>Table13[[#This Row],[Material]]*Table13[[#This Row],[Quantity]]</f>
        <v>0</v>
      </c>
      <c r="J19" s="10">
        <f>Table13[[#This Row],[Labor]]*Table13[[#This Row],[Quantity]]</f>
        <v>0</v>
      </c>
      <c r="K19" s="4">
        <f>Table13[[#This Row],[Unit Cost]]*Table13[[#This Row],[Quantity]]</f>
        <v>0</v>
      </c>
    </row>
    <row r="20" spans="1:14" hidden="1" x14ac:dyDescent="0.25">
      <c r="A20" s="1" t="s">
        <v>10</v>
      </c>
      <c r="B20" s="1" t="s">
        <v>48</v>
      </c>
      <c r="C20" s="1" t="s">
        <v>49</v>
      </c>
      <c r="D20" s="1" t="s">
        <v>13</v>
      </c>
      <c r="E20" s="1">
        <v>0</v>
      </c>
      <c r="F20" s="2">
        <v>24096</v>
      </c>
      <c r="G20" s="1"/>
      <c r="H20" s="4">
        <f>SUM(Table13[[#This Row],[Material]:[Labor]])</f>
        <v>24096</v>
      </c>
      <c r="I20" s="4">
        <f>Table13[[#This Row],[Material]]*Table13[[#This Row],[Quantity]]</f>
        <v>0</v>
      </c>
      <c r="J20" s="10">
        <f>Table13[[#This Row],[Labor]]*Table13[[#This Row],[Quantity]]</f>
        <v>0</v>
      </c>
      <c r="K20" s="4">
        <f>Table13[[#This Row],[Unit Cost]]*Table13[[#This Row],[Quantity]]</f>
        <v>0</v>
      </c>
    </row>
    <row r="21" spans="1:14" x14ac:dyDescent="0.25">
      <c r="A21" s="1" t="s">
        <v>10</v>
      </c>
      <c r="B21" s="1" t="s">
        <v>50</v>
      </c>
      <c r="C21" s="1" t="s">
        <v>51</v>
      </c>
      <c r="D21" s="1" t="s">
        <v>13</v>
      </c>
      <c r="E21" s="1">
        <v>1</v>
      </c>
      <c r="F21" s="2">
        <v>600</v>
      </c>
      <c r="H21" s="3">
        <f>SUM(Table13[[#This Row],[Material]:[Labor]])</f>
        <v>600</v>
      </c>
      <c r="I21" s="9">
        <f>Table13[[#This Row],[Material]]*Table13[[#This Row],[Quantity]]</f>
        <v>600</v>
      </c>
      <c r="J21" s="3">
        <f>Table13[[#This Row],[Labor]]*Table13[[#This Row],[Quantity]]</f>
        <v>0</v>
      </c>
      <c r="K21" s="3">
        <f>Table13[[#This Row],[Unit Cost]]*Table13[[#This Row],[Quantity]]</f>
        <v>600</v>
      </c>
    </row>
    <row r="22" spans="1:14" x14ac:dyDescent="0.25">
      <c r="A22" s="1" t="s">
        <v>10</v>
      </c>
      <c r="B22" s="1" t="s">
        <v>52</v>
      </c>
      <c r="C22" s="1" t="s">
        <v>49</v>
      </c>
      <c r="D22" s="1" t="s">
        <v>13</v>
      </c>
      <c r="E22" s="1">
        <v>1</v>
      </c>
      <c r="F22" s="2">
        <v>0</v>
      </c>
      <c r="H22" s="3">
        <f>SUM(Table13[[#This Row],[Material]:[Labor]])</f>
        <v>0</v>
      </c>
      <c r="I22" s="9">
        <f>Table13[[#This Row],[Material]]*Table13[[#This Row],[Quantity]]</f>
        <v>0</v>
      </c>
      <c r="J22" s="3">
        <f>Table13[[#This Row],[Labor]]*Table13[[#This Row],[Quantity]]</f>
        <v>0</v>
      </c>
      <c r="K22" s="3">
        <f>Table13[[#This Row],[Unit Cost]]*Table13[[#This Row],[Quantity]]</f>
        <v>0</v>
      </c>
    </row>
    <row r="23" spans="1:14" hidden="1" x14ac:dyDescent="0.25">
      <c r="A23" s="1" t="s">
        <v>10</v>
      </c>
      <c r="B23" s="1" t="s">
        <v>53</v>
      </c>
      <c r="C23" s="1" t="s">
        <v>49</v>
      </c>
      <c r="D23" s="1" t="s">
        <v>13</v>
      </c>
      <c r="E23" s="1">
        <v>0</v>
      </c>
      <c r="F23" s="2">
        <v>0</v>
      </c>
      <c r="G23" s="1"/>
      <c r="H23" s="4">
        <f>SUM(Table13[[#This Row],[Material]:[Labor]])</f>
        <v>0</v>
      </c>
      <c r="I23" s="4">
        <f>Table13[[#This Row],[Material]]*Table13[[#This Row],[Quantity]]</f>
        <v>0</v>
      </c>
      <c r="J23" s="10">
        <f>Table13[[#This Row],[Labor]]*Table13[[#This Row],[Quantity]]</f>
        <v>0</v>
      </c>
      <c r="K23" s="4">
        <f>Table13[[#This Row],[Unit Cost]]*Table13[[#This Row],[Quantity]]</f>
        <v>0</v>
      </c>
    </row>
    <row r="24" spans="1:14" hidden="1" x14ac:dyDescent="0.25">
      <c r="A24" s="1" t="s">
        <v>10</v>
      </c>
      <c r="B24" s="1" t="s">
        <v>54</v>
      </c>
      <c r="C24" s="1" t="s">
        <v>49</v>
      </c>
      <c r="D24" s="1" t="s">
        <v>13</v>
      </c>
      <c r="E24" s="1">
        <v>0</v>
      </c>
      <c r="F24" s="2">
        <v>0</v>
      </c>
      <c r="G24" s="1"/>
      <c r="H24" s="4">
        <f>SUM(Table13[[#This Row],[Material]:[Labor]])</f>
        <v>0</v>
      </c>
      <c r="I24" s="4">
        <f>Table13[[#This Row],[Material]]*Table13[[#This Row],[Quantity]]</f>
        <v>0</v>
      </c>
      <c r="J24" s="10">
        <f>Table13[[#This Row],[Labor]]*Table13[[#This Row],[Quantity]]</f>
        <v>0</v>
      </c>
      <c r="K24" s="4">
        <f>Table13[[#This Row],[Unit Cost]]*Table13[[#This Row],[Quantity]]</f>
        <v>0</v>
      </c>
    </row>
    <row r="25" spans="1:14" x14ac:dyDescent="0.25">
      <c r="A25" s="1" t="s">
        <v>55</v>
      </c>
      <c r="B25" s="1" t="s">
        <v>56</v>
      </c>
      <c r="C25" s="5" t="s">
        <v>57</v>
      </c>
      <c r="D25" s="1" t="s">
        <v>58</v>
      </c>
      <c r="E25" s="1">
        <v>7087</v>
      </c>
      <c r="F25" s="2">
        <v>0.3</v>
      </c>
      <c r="H25" s="3">
        <f>SUM(Table13[[#This Row],[Material]:[Labor]])</f>
        <v>0.3</v>
      </c>
      <c r="I25" s="9">
        <f>Table13[[#This Row],[Material]]*Table13[[#This Row],[Quantity]]</f>
        <v>2126.1</v>
      </c>
      <c r="J25" s="3">
        <f>Table13[[#This Row],[Labor]]*Table13[[#This Row],[Quantity]]</f>
        <v>0</v>
      </c>
      <c r="K25" s="3">
        <f>Table13[[#This Row],[Unit Cost]]*Table13[[#This Row],[Quantity]]</f>
        <v>2126.1</v>
      </c>
    </row>
    <row r="26" spans="1:14" x14ac:dyDescent="0.25">
      <c r="A26" s="1" t="s">
        <v>55</v>
      </c>
      <c r="B26" s="1" t="s">
        <v>59</v>
      </c>
      <c r="C26" s="6" t="s">
        <v>60</v>
      </c>
      <c r="D26" s="1" t="s">
        <v>58</v>
      </c>
      <c r="E26" s="1">
        <v>86380</v>
      </c>
      <c r="F26" s="2">
        <v>0.2</v>
      </c>
      <c r="H26" s="3">
        <f>SUM(Table13[[#This Row],[Material]:[Labor]])</f>
        <v>0.2</v>
      </c>
      <c r="I26" s="9">
        <f>Table13[[#This Row],[Material]]*Table13[[#This Row],[Quantity]]</f>
        <v>17276</v>
      </c>
      <c r="J26" s="3">
        <f>Table13[[#This Row],[Labor]]*Table13[[#This Row],[Quantity]]</f>
        <v>0</v>
      </c>
      <c r="K26" s="3">
        <f>Table13[[#This Row],[Unit Cost]]*Table13[[#This Row],[Quantity]]</f>
        <v>17276</v>
      </c>
    </row>
    <row r="27" spans="1:14" hidden="1" x14ac:dyDescent="0.25">
      <c r="A27" s="1" t="s">
        <v>55</v>
      </c>
      <c r="B27" s="1" t="s">
        <v>61</v>
      </c>
      <c r="C27" s="1" t="s">
        <v>62</v>
      </c>
      <c r="D27" s="1" t="s">
        <v>58</v>
      </c>
      <c r="E27" s="1">
        <v>0</v>
      </c>
      <c r="F27" s="2">
        <v>0.05</v>
      </c>
      <c r="G27" s="1"/>
      <c r="H27" s="4">
        <f>SUM(Table13[[#This Row],[Material]:[Labor]])</f>
        <v>0.05</v>
      </c>
      <c r="I27" s="4">
        <f>Table13[[#This Row],[Material]]*Table13[[#This Row],[Quantity]]</f>
        <v>0</v>
      </c>
      <c r="J27" s="10">
        <f>Table13[[#This Row],[Labor]]*Table13[[#This Row],[Quantity]]</f>
        <v>0</v>
      </c>
      <c r="K27" s="4">
        <f>Table13[[#This Row],[Unit Cost]]*Table13[[#This Row],[Quantity]]</f>
        <v>0</v>
      </c>
    </row>
    <row r="28" spans="1:14" x14ac:dyDescent="0.25">
      <c r="A28" s="1" t="s">
        <v>55</v>
      </c>
      <c r="B28" s="1" t="s">
        <v>63</v>
      </c>
      <c r="C28" s="7" t="s">
        <v>64</v>
      </c>
      <c r="D28" s="1" t="s">
        <v>58</v>
      </c>
      <c r="E28" s="1">
        <v>1046</v>
      </c>
      <c r="F28" s="2">
        <v>0.3</v>
      </c>
      <c r="G28" s="3">
        <v>3.5</v>
      </c>
      <c r="H28" s="3">
        <f>SUM(Table13[[#This Row],[Material]:[Labor]])</f>
        <v>3.8</v>
      </c>
      <c r="I28" s="9">
        <f>Table13[[#This Row],[Material]]*Table13[[#This Row],[Quantity]]</f>
        <v>313.8</v>
      </c>
      <c r="J28" s="3">
        <f>Table13[[#This Row],[Labor]]*Table13[[#This Row],[Quantity]]</f>
        <v>3661</v>
      </c>
      <c r="K28" s="3">
        <f>Table13[[#This Row],[Unit Cost]]*Table13[[#This Row],[Quantity]]</f>
        <v>3974.7999999999997</v>
      </c>
    </row>
    <row r="29" spans="1:14" hidden="1" x14ac:dyDescent="0.25">
      <c r="A29" s="1" t="s">
        <v>55</v>
      </c>
      <c r="B29" s="1" t="s">
        <v>65</v>
      </c>
      <c r="C29" s="1" t="s">
        <v>66</v>
      </c>
      <c r="D29" s="1" t="s">
        <v>58</v>
      </c>
      <c r="E29" s="1">
        <v>0</v>
      </c>
      <c r="F29" s="2">
        <v>0.19</v>
      </c>
      <c r="G29" s="1"/>
      <c r="H29" s="4">
        <f>SUM(Table13[[#This Row],[Material]:[Labor]])</f>
        <v>0.19</v>
      </c>
      <c r="I29" s="4">
        <f>Table13[[#This Row],[Material]]*Table13[[#This Row],[Quantity]]</f>
        <v>0</v>
      </c>
      <c r="J29" s="10">
        <f>Table13[[#This Row],[Labor]]*Table13[[#This Row],[Quantity]]</f>
        <v>0</v>
      </c>
      <c r="K29" s="4">
        <f>Table13[[#This Row],[Unit Cost]]*Table13[[#This Row],[Quantity]]</f>
        <v>0</v>
      </c>
      <c r="N29" s="4"/>
    </row>
    <row r="30" spans="1:14" x14ac:dyDescent="0.25">
      <c r="A30" s="1" t="s">
        <v>55</v>
      </c>
      <c r="B30" s="1" t="s">
        <v>67</v>
      </c>
      <c r="C30" s="7" t="s">
        <v>68</v>
      </c>
      <c r="D30" s="1" t="s">
        <v>58</v>
      </c>
      <c r="E30" s="1">
        <v>8668</v>
      </c>
      <c r="F30" s="2">
        <v>0.5</v>
      </c>
      <c r="G30" s="3">
        <v>3.5</v>
      </c>
      <c r="H30" s="3">
        <f>SUM(Table13[[#This Row],[Material]:[Labor]])</f>
        <v>4</v>
      </c>
      <c r="I30" s="9">
        <f>Table13[[#This Row],[Material]]*Table13[[#This Row],[Quantity]]</f>
        <v>4334</v>
      </c>
      <c r="J30" s="3">
        <f>Table13[[#This Row],[Labor]]*Table13[[#This Row],[Quantity]]</f>
        <v>30338</v>
      </c>
      <c r="K30" s="3">
        <f>Table13[[#This Row],[Unit Cost]]*Table13[[#This Row],[Quantity]]</f>
        <v>34672</v>
      </c>
    </row>
    <row r="31" spans="1:14" x14ac:dyDescent="0.25">
      <c r="A31" s="1" t="s">
        <v>55</v>
      </c>
      <c r="B31" s="1" t="s">
        <v>69</v>
      </c>
      <c r="C31" s="7" t="s">
        <v>70</v>
      </c>
      <c r="D31" s="1" t="s">
        <v>58</v>
      </c>
      <c r="E31" s="1">
        <v>11569</v>
      </c>
      <c r="F31" s="2">
        <v>1.06</v>
      </c>
      <c r="G31" s="3">
        <v>3.5</v>
      </c>
      <c r="H31" s="3">
        <f>SUM(Table13[[#This Row],[Material]:[Labor]])</f>
        <v>4.5600000000000005</v>
      </c>
      <c r="I31" s="9">
        <f>Table13[[#This Row],[Material]]*Table13[[#This Row],[Quantity]]</f>
        <v>12263.140000000001</v>
      </c>
      <c r="J31" s="3">
        <f>Table13[[#This Row],[Labor]]*Table13[[#This Row],[Quantity]]</f>
        <v>40491.5</v>
      </c>
      <c r="K31" s="3">
        <f>Table13[[#This Row],[Unit Cost]]*Table13[[#This Row],[Quantity]]</f>
        <v>52754.640000000007</v>
      </c>
      <c r="N31" s="4"/>
    </row>
    <row r="32" spans="1:14" x14ac:dyDescent="0.25">
      <c r="A32" s="1" t="s">
        <v>55</v>
      </c>
      <c r="B32" s="1" t="s">
        <v>71</v>
      </c>
      <c r="C32" s="7" t="s">
        <v>72</v>
      </c>
      <c r="D32" s="1" t="s">
        <v>58</v>
      </c>
      <c r="E32" s="1">
        <v>5630</v>
      </c>
      <c r="F32" s="2">
        <v>1.06</v>
      </c>
      <c r="G32" s="3">
        <v>3.5</v>
      </c>
      <c r="H32" s="3">
        <f>SUM(Table13[[#This Row],[Material]:[Labor]])</f>
        <v>4.5600000000000005</v>
      </c>
      <c r="I32" s="9">
        <f>Table13[[#This Row],[Material]]*Table13[[#This Row],[Quantity]]</f>
        <v>5967.8</v>
      </c>
      <c r="J32" s="3">
        <f>Table13[[#This Row],[Labor]]*Table13[[#This Row],[Quantity]]</f>
        <v>19705</v>
      </c>
      <c r="K32" s="3">
        <f>Table13[[#This Row],[Unit Cost]]*Table13[[#This Row],[Quantity]]</f>
        <v>25672.800000000003</v>
      </c>
    </row>
    <row r="33" spans="1:11" x14ac:dyDescent="0.25">
      <c r="A33" s="1" t="s">
        <v>55</v>
      </c>
      <c r="B33" s="1" t="s">
        <v>73</v>
      </c>
      <c r="C33" s="7" t="s">
        <v>74</v>
      </c>
      <c r="D33" s="1" t="s">
        <v>58</v>
      </c>
      <c r="E33" s="1">
        <v>5630</v>
      </c>
      <c r="F33" s="2">
        <v>2.0499999999999998</v>
      </c>
      <c r="G33" s="3">
        <v>3.5</v>
      </c>
      <c r="H33" s="3">
        <f>SUM(Table13[[#This Row],[Material]:[Labor]])</f>
        <v>5.55</v>
      </c>
      <c r="I33" s="9">
        <f>Table13[[#This Row],[Material]]*Table13[[#This Row],[Quantity]]</f>
        <v>11541.499999999998</v>
      </c>
      <c r="J33" s="3">
        <f>Table13[[#This Row],[Labor]]*Table13[[#This Row],[Quantity]]</f>
        <v>19705</v>
      </c>
      <c r="K33" s="3">
        <f>Table13[[#This Row],[Unit Cost]]*Table13[[#This Row],[Quantity]]</f>
        <v>31246.5</v>
      </c>
    </row>
    <row r="34" spans="1:11" hidden="1" x14ac:dyDescent="0.25">
      <c r="A34" s="1" t="s">
        <v>55</v>
      </c>
      <c r="B34" s="1" t="s">
        <v>75</v>
      </c>
      <c r="C34" s="1" t="s">
        <v>76</v>
      </c>
      <c r="D34" s="1" t="s">
        <v>58</v>
      </c>
      <c r="E34" s="1">
        <v>0</v>
      </c>
      <c r="F34" s="2">
        <v>0.9</v>
      </c>
      <c r="G34" s="1"/>
      <c r="H34" s="4">
        <f>SUM(Table13[[#This Row],[Material]:[Labor]])</f>
        <v>0.9</v>
      </c>
      <c r="I34" s="4">
        <f>Table13[[#This Row],[Material]]*Table13[[#This Row],[Quantity]]</f>
        <v>0</v>
      </c>
      <c r="J34" s="10">
        <f>Table13[[#This Row],[Labor]]*Table13[[#This Row],[Quantity]]</f>
        <v>0</v>
      </c>
      <c r="K34" s="4">
        <f>Table13[[#This Row],[Unit Cost]]*Table13[[#This Row],[Quantity]]</f>
        <v>0</v>
      </c>
    </row>
    <row r="35" spans="1:11" hidden="1" x14ac:dyDescent="0.25">
      <c r="A35" s="1" t="s">
        <v>55</v>
      </c>
      <c r="B35" s="1" t="s">
        <v>77</v>
      </c>
      <c r="C35" s="1" t="s">
        <v>78</v>
      </c>
      <c r="D35" s="1" t="s">
        <v>58</v>
      </c>
      <c r="E35" s="1">
        <v>0</v>
      </c>
      <c r="F35" s="2">
        <v>0.76</v>
      </c>
      <c r="G35" s="1"/>
      <c r="H35" s="4">
        <f>SUM(Table13[[#This Row],[Material]:[Labor]])</f>
        <v>0.76</v>
      </c>
      <c r="I35" s="4">
        <f>Table13[[#This Row],[Material]]*Table13[[#This Row],[Quantity]]</f>
        <v>0</v>
      </c>
      <c r="J35" s="10">
        <f>Table13[[#This Row],[Labor]]*Table13[[#This Row],[Quantity]]</f>
        <v>0</v>
      </c>
      <c r="K35" s="4">
        <f>Table13[[#This Row],[Unit Cost]]*Table13[[#This Row],[Quantity]]</f>
        <v>0</v>
      </c>
    </row>
    <row r="36" spans="1:11" hidden="1" x14ac:dyDescent="0.25">
      <c r="A36" s="1" t="s">
        <v>55</v>
      </c>
      <c r="B36" s="1" t="s">
        <v>79</v>
      </c>
      <c r="C36" s="1" t="s">
        <v>80</v>
      </c>
      <c r="D36" s="1" t="s">
        <v>58</v>
      </c>
      <c r="E36" s="1">
        <v>0</v>
      </c>
      <c r="F36" s="2">
        <v>0.76</v>
      </c>
      <c r="G36" s="1"/>
      <c r="H36" s="4">
        <f>SUM(Table13[[#This Row],[Material]:[Labor]])</f>
        <v>0.76</v>
      </c>
      <c r="I36" s="4">
        <f>Table13[[#This Row],[Material]]*Table13[[#This Row],[Quantity]]</f>
        <v>0</v>
      </c>
      <c r="J36" s="10">
        <f>Table13[[#This Row],[Labor]]*Table13[[#This Row],[Quantity]]</f>
        <v>0</v>
      </c>
      <c r="K36" s="4">
        <f>Table13[[#This Row],[Unit Cost]]*Table13[[#This Row],[Quantity]]</f>
        <v>0</v>
      </c>
    </row>
    <row r="37" spans="1:11" hidden="1" x14ac:dyDescent="0.25">
      <c r="A37" s="1" t="s">
        <v>55</v>
      </c>
      <c r="B37" s="1" t="s">
        <v>81</v>
      </c>
      <c r="C37" s="1" t="s">
        <v>82</v>
      </c>
      <c r="D37" s="1" t="s">
        <v>58</v>
      </c>
      <c r="E37" s="1">
        <v>0</v>
      </c>
      <c r="F37" s="2">
        <v>0.9</v>
      </c>
      <c r="G37" s="1"/>
      <c r="H37" s="4">
        <f>SUM(Table13[[#This Row],[Material]:[Labor]])</f>
        <v>0.9</v>
      </c>
      <c r="I37" s="4">
        <f>Table13[[#This Row],[Material]]*Table13[[#This Row],[Quantity]]</f>
        <v>0</v>
      </c>
      <c r="J37" s="10">
        <f>Table13[[#This Row],[Labor]]*Table13[[#This Row],[Quantity]]</f>
        <v>0</v>
      </c>
      <c r="K37" s="4">
        <f>Table13[[#This Row],[Unit Cost]]*Table13[[#This Row],[Quantity]]</f>
        <v>0</v>
      </c>
    </row>
    <row r="38" spans="1:11" x14ac:dyDescent="0.25">
      <c r="A38" s="1" t="s">
        <v>55</v>
      </c>
      <c r="B38" s="1" t="s">
        <v>83</v>
      </c>
      <c r="C38" s="8" t="s">
        <v>84</v>
      </c>
      <c r="D38" s="1" t="s">
        <v>58</v>
      </c>
      <c r="E38" s="1">
        <v>3055</v>
      </c>
      <c r="F38" s="2">
        <f>F28</f>
        <v>0.3</v>
      </c>
      <c r="G38" s="3">
        <v>5.5</v>
      </c>
      <c r="H38" s="3">
        <f>SUM(Table13[[#This Row],[Material]:[Labor]])</f>
        <v>5.8</v>
      </c>
      <c r="I38" s="9">
        <f>Table13[[#This Row],[Material]]*Table13[[#This Row],[Quantity]]</f>
        <v>916.5</v>
      </c>
      <c r="J38" s="3">
        <f>Table13[[#This Row],[Labor]]*Table13[[#This Row],[Quantity]]</f>
        <v>16802.5</v>
      </c>
      <c r="K38" s="3">
        <f>Table13[[#This Row],[Unit Cost]]*Table13[[#This Row],[Quantity]]</f>
        <v>17719</v>
      </c>
    </row>
    <row r="39" spans="1:11" x14ac:dyDescent="0.25">
      <c r="A39" s="1" t="s">
        <v>55</v>
      </c>
      <c r="B39" s="1" t="s">
        <v>85</v>
      </c>
      <c r="C39" s="8" t="s">
        <v>86</v>
      </c>
      <c r="D39" s="1" t="s">
        <v>58</v>
      </c>
      <c r="E39" s="1">
        <v>394</v>
      </c>
      <c r="F39" s="2">
        <f>0.4</f>
        <v>0.4</v>
      </c>
      <c r="G39" s="3">
        <v>5.5</v>
      </c>
      <c r="H39" s="3">
        <f>SUM(Table13[[#This Row],[Material]:[Labor]])</f>
        <v>5.9</v>
      </c>
      <c r="I39" s="9">
        <f>Table13[[#This Row],[Material]]*Table13[[#This Row],[Quantity]]</f>
        <v>157.60000000000002</v>
      </c>
      <c r="J39" s="3">
        <f>Table13[[#This Row],[Labor]]*Table13[[#This Row],[Quantity]]</f>
        <v>2167</v>
      </c>
      <c r="K39" s="3">
        <f>Table13[[#This Row],[Unit Cost]]*Table13[[#This Row],[Quantity]]</f>
        <v>2324.6000000000004</v>
      </c>
    </row>
    <row r="40" spans="1:11" x14ac:dyDescent="0.25">
      <c r="A40" s="1" t="s">
        <v>55</v>
      </c>
      <c r="B40" s="1" t="s">
        <v>87</v>
      </c>
      <c r="C40" s="8" t="s">
        <v>88</v>
      </c>
      <c r="D40" s="1" t="s">
        <v>58</v>
      </c>
      <c r="E40" s="1">
        <v>2551</v>
      </c>
      <c r="F40" s="2">
        <f>F30</f>
        <v>0.5</v>
      </c>
      <c r="G40" s="3">
        <v>5.5</v>
      </c>
      <c r="H40" s="3">
        <f>SUM(Table13[[#This Row],[Material]:[Labor]])</f>
        <v>6</v>
      </c>
      <c r="I40" s="9">
        <f>Table13[[#This Row],[Material]]*Table13[[#This Row],[Quantity]]</f>
        <v>1275.5</v>
      </c>
      <c r="J40" s="3">
        <f>Table13[[#This Row],[Labor]]*Table13[[#This Row],[Quantity]]</f>
        <v>14030.5</v>
      </c>
      <c r="K40" s="3">
        <f>Table13[[#This Row],[Unit Cost]]*Table13[[#This Row],[Quantity]]</f>
        <v>15306</v>
      </c>
    </row>
    <row r="41" spans="1:11" hidden="1" x14ac:dyDescent="0.25">
      <c r="A41" s="1" t="s">
        <v>55</v>
      </c>
      <c r="B41" s="1" t="s">
        <v>89</v>
      </c>
      <c r="C41" s="1" t="s">
        <v>90</v>
      </c>
      <c r="D41" s="1" t="s">
        <v>58</v>
      </c>
      <c r="E41" s="1">
        <v>0</v>
      </c>
      <c r="F41" s="2">
        <v>0.56000000000000005</v>
      </c>
      <c r="G41" s="1"/>
      <c r="H41" s="4">
        <f>SUM(Table13[[#This Row],[Material]:[Labor]])</f>
        <v>0.56000000000000005</v>
      </c>
      <c r="I41" s="4">
        <f>Table13[[#This Row],[Material]]*Table13[[#This Row],[Quantity]]</f>
        <v>0</v>
      </c>
      <c r="J41" s="10">
        <f>Table13[[#This Row],[Labor]]*Table13[[#This Row],[Quantity]]</f>
        <v>0</v>
      </c>
      <c r="K41" s="4">
        <f>Table13[[#This Row],[Unit Cost]]*Table13[[#This Row],[Quantity]]</f>
        <v>0</v>
      </c>
    </row>
    <row r="42" spans="1:11" hidden="1" x14ac:dyDescent="0.25">
      <c r="A42" s="1" t="s">
        <v>55</v>
      </c>
      <c r="B42" s="1" t="s">
        <v>91</v>
      </c>
      <c r="C42" s="1" t="s">
        <v>92</v>
      </c>
      <c r="D42" s="1" t="s">
        <v>58</v>
      </c>
      <c r="E42" s="1">
        <v>0</v>
      </c>
      <c r="F42" s="2">
        <v>0.76</v>
      </c>
      <c r="G42" s="1"/>
      <c r="H42" s="4">
        <f>SUM(Table13[[#This Row],[Material]:[Labor]])</f>
        <v>0.76</v>
      </c>
      <c r="I42" s="4">
        <f>Table13[[#This Row],[Material]]*Table13[[#This Row],[Quantity]]</f>
        <v>0</v>
      </c>
      <c r="J42" s="10">
        <f>Table13[[#This Row],[Labor]]*Table13[[#This Row],[Quantity]]</f>
        <v>0</v>
      </c>
      <c r="K42" s="4">
        <f>Table13[[#This Row],[Unit Cost]]*Table13[[#This Row],[Quantity]]</f>
        <v>0</v>
      </c>
    </row>
    <row r="43" spans="1:11" x14ac:dyDescent="0.25">
      <c r="A43" s="1" t="s">
        <v>55</v>
      </c>
      <c r="B43" s="1" t="s">
        <v>93</v>
      </c>
      <c r="C43" s="8" t="s">
        <v>94</v>
      </c>
      <c r="D43" s="1" t="s">
        <v>58</v>
      </c>
      <c r="E43" s="1">
        <v>1771</v>
      </c>
      <c r="F43" s="2">
        <f>F33</f>
        <v>2.0499999999999998</v>
      </c>
      <c r="G43" s="3">
        <v>5.5</v>
      </c>
      <c r="H43" s="3">
        <f>SUM(Table13[[#This Row],[Material]:[Labor]])</f>
        <v>7.55</v>
      </c>
      <c r="I43" s="9">
        <f>Table13[[#This Row],[Material]]*Table13[[#This Row],[Quantity]]</f>
        <v>3630.5499999999997</v>
      </c>
      <c r="J43" s="3">
        <f>Table13[[#This Row],[Labor]]*Table13[[#This Row],[Quantity]]</f>
        <v>9740.5</v>
      </c>
      <c r="K43" s="3">
        <f>Table13[[#This Row],[Unit Cost]]*Table13[[#This Row],[Quantity]]</f>
        <v>13371.05</v>
      </c>
    </row>
    <row r="44" spans="1:11" x14ac:dyDescent="0.25">
      <c r="A44" s="1" t="s">
        <v>55</v>
      </c>
      <c r="B44" s="1" t="s">
        <v>95</v>
      </c>
      <c r="C44" s="7" t="s">
        <v>96</v>
      </c>
      <c r="D44" s="1" t="s">
        <v>58</v>
      </c>
      <c r="E44" s="1">
        <v>1056.29</v>
      </c>
      <c r="F44" s="2">
        <f>F30</f>
        <v>0.5</v>
      </c>
      <c r="G44" s="3">
        <v>3.5</v>
      </c>
      <c r="H44" s="3">
        <f>SUM(Table13[[#This Row],[Material]:[Labor]])</f>
        <v>4</v>
      </c>
      <c r="I44" s="9">
        <f>Table13[[#This Row],[Material]]*Table13[[#This Row],[Quantity]]</f>
        <v>528.14499999999998</v>
      </c>
      <c r="J44" s="3">
        <f>Table13[[#This Row],[Labor]]*Table13[[#This Row],[Quantity]]</f>
        <v>3697.0149999999999</v>
      </c>
      <c r="K44" s="3">
        <f>Table13[[#This Row],[Unit Cost]]*Table13[[#This Row],[Quantity]]</f>
        <v>4225.16</v>
      </c>
    </row>
    <row r="45" spans="1:11" hidden="1" x14ac:dyDescent="0.25">
      <c r="A45" s="1" t="s">
        <v>55</v>
      </c>
      <c r="B45" s="1" t="s">
        <v>97</v>
      </c>
      <c r="C45" s="1" t="s">
        <v>98</v>
      </c>
      <c r="D45" s="1" t="s">
        <v>58</v>
      </c>
      <c r="E45" s="1">
        <v>0</v>
      </c>
      <c r="F45" s="2">
        <v>0.9</v>
      </c>
      <c r="G45" s="1"/>
      <c r="H45" s="4">
        <f>SUM(Table13[[#This Row],[Material]:[Labor]])</f>
        <v>0.9</v>
      </c>
      <c r="I45" s="4">
        <f>Table13[[#This Row],[Material]]*Table13[[#This Row],[Quantity]]</f>
        <v>0</v>
      </c>
      <c r="J45" s="10">
        <f>Table13[[#This Row],[Labor]]*Table13[[#This Row],[Quantity]]</f>
        <v>0</v>
      </c>
      <c r="K45" s="4">
        <f>Table13[[#This Row],[Unit Cost]]*Table13[[#This Row],[Quantity]]</f>
        <v>0</v>
      </c>
    </row>
    <row r="46" spans="1:11" x14ac:dyDescent="0.25">
      <c r="A46" s="1" t="s">
        <v>99</v>
      </c>
      <c r="B46" s="1" t="s">
        <v>100</v>
      </c>
      <c r="C46" s="1" t="s">
        <v>101</v>
      </c>
      <c r="D46" s="1" t="s">
        <v>58</v>
      </c>
      <c r="E46" s="1">
        <f>SUM(E36:E43)*0.1</f>
        <v>777.1</v>
      </c>
      <c r="F46" s="2">
        <v>11</v>
      </c>
      <c r="H46" s="3">
        <f>SUM(Table13[[#This Row],[Material]:[Labor]])</f>
        <v>11</v>
      </c>
      <c r="I46" s="9">
        <f>Table13[[#This Row],[Material]]*Table13[[#This Row],[Quantity]]</f>
        <v>8548.1</v>
      </c>
      <c r="J46" s="3">
        <f>Table13[[#This Row],[Labor]]*Table13[[#This Row],[Quantity]]</f>
        <v>0</v>
      </c>
      <c r="K46" s="3">
        <f>Table13[[#This Row],[Unit Cost]]*Table13[[#This Row],[Quantity]]</f>
        <v>8548.1</v>
      </c>
    </row>
    <row r="47" spans="1:11" x14ac:dyDescent="0.25">
      <c r="A47" s="1" t="s">
        <v>99</v>
      </c>
      <c r="B47" s="1" t="s">
        <v>102</v>
      </c>
      <c r="C47" s="1" t="s">
        <v>103</v>
      </c>
      <c r="D47" s="1" t="s">
        <v>58</v>
      </c>
      <c r="E47" s="1">
        <f>SUM(E36:E43)*0.15</f>
        <v>1165.6499999999999</v>
      </c>
      <c r="F47" s="1">
        <v>18</v>
      </c>
      <c r="H47" s="3">
        <f>SUM(Table13[[#This Row],[Material]:[Labor]])</f>
        <v>18</v>
      </c>
      <c r="I47" s="9">
        <f>Table13[[#This Row],[Material]]*Table13[[#This Row],[Quantity]]</f>
        <v>20981.699999999997</v>
      </c>
      <c r="J47" s="3">
        <f>Table13[[#This Row],[Labor]]*Table13[[#This Row],[Quantity]]</f>
        <v>0</v>
      </c>
      <c r="K47" s="3">
        <f>Table13[[#This Row],[Unit Cost]]*Table13[[#This Row],[Quantity]]</f>
        <v>20981.699999999997</v>
      </c>
    </row>
    <row r="48" spans="1:11" x14ac:dyDescent="0.25">
      <c r="A48" s="1" t="s">
        <v>99</v>
      </c>
      <c r="B48" s="1" t="s">
        <v>104</v>
      </c>
      <c r="C48" s="1" t="s">
        <v>105</v>
      </c>
      <c r="D48" s="1" t="s">
        <v>13</v>
      </c>
      <c r="E48" s="1" t="e">
        <f>GETPIVOTDATA("fibre_in",#REF!)</f>
        <v>#REF!</v>
      </c>
      <c r="G48" s="3">
        <v>30</v>
      </c>
      <c r="H48" s="3">
        <f>SUM(Table13[[#This Row],[Material]:[Labor]])</f>
        <v>30</v>
      </c>
      <c r="I48" s="9" t="e">
        <f>Table13[[#This Row],[Material]]*Table13[[#This Row],[Quantity]]</f>
        <v>#REF!</v>
      </c>
      <c r="J48" s="3" t="e">
        <f>Table13[[#This Row],[Labor]]*Table13[[#This Row],[Quantity]]</f>
        <v>#REF!</v>
      </c>
      <c r="K48" s="3" t="e">
        <f>Table13[[#This Row],[Unit Cost]]*Table13[[#This Row],[Quantity]]</f>
        <v>#REF!</v>
      </c>
    </row>
    <row r="49" spans="1:11" x14ac:dyDescent="0.25">
      <c r="A49" s="1" t="s">
        <v>106</v>
      </c>
      <c r="B49" s="1" t="s">
        <v>144</v>
      </c>
      <c r="C49" s="1" t="s">
        <v>143</v>
      </c>
      <c r="D49" s="1" t="s">
        <v>13</v>
      </c>
      <c r="E49" s="1">
        <v>274</v>
      </c>
      <c r="F49" s="2">
        <v>12</v>
      </c>
      <c r="H49" s="3">
        <f>SUM(Table13[[#This Row],[Material]:[Labor]])</f>
        <v>12</v>
      </c>
      <c r="I49" s="9">
        <f>Table13[[#This Row],[Material]]*Table13[[#This Row],[Quantity]]</f>
        <v>3288</v>
      </c>
      <c r="J49" s="3">
        <f>Table13[[#This Row],[Labor]]*Table13[[#This Row],[Quantity]]</f>
        <v>0</v>
      </c>
      <c r="K49" s="3">
        <f>Table13[[#This Row],[Unit Cost]]*Table13[[#This Row],[Quantity]]</f>
        <v>3288</v>
      </c>
    </row>
    <row r="50" spans="1:11" x14ac:dyDescent="0.25">
      <c r="A50" s="1" t="s">
        <v>106</v>
      </c>
      <c r="B50" s="1" t="s">
        <v>107</v>
      </c>
      <c r="C50" s="1" t="s">
        <v>108</v>
      </c>
      <c r="D50" s="1" t="s">
        <v>13</v>
      </c>
      <c r="E50" s="1">
        <v>1</v>
      </c>
      <c r="H50" s="3">
        <f>SUM(Table13[[#This Row],[Material]:[Labor]])</f>
        <v>0</v>
      </c>
      <c r="I50" s="9">
        <f>Table13[[#This Row],[Material]]*Table13[[#This Row],[Quantity]]</f>
        <v>0</v>
      </c>
      <c r="J50" s="3">
        <f>Table13[[#This Row],[Labor]]*Table13[[#This Row],[Quantity]]</f>
        <v>0</v>
      </c>
      <c r="K50" s="3">
        <f>Table13[[#This Row],[Unit Cost]]*Table13[[#This Row],[Quantity]]</f>
        <v>0</v>
      </c>
    </row>
    <row r="51" spans="1:11" x14ac:dyDescent="0.25">
      <c r="A51" s="1" t="s">
        <v>106</v>
      </c>
      <c r="B51" s="1" t="s">
        <v>109</v>
      </c>
      <c r="C51" s="1" t="s">
        <v>110</v>
      </c>
      <c r="D51" s="1" t="s">
        <v>13</v>
      </c>
      <c r="E51" s="1">
        <v>87</v>
      </c>
      <c r="H51" s="3">
        <f>SUM(Table13[[#This Row],[Material]:[Labor]])</f>
        <v>0</v>
      </c>
      <c r="I51" s="9">
        <f>Table13[[#This Row],[Material]]*Table13[[#This Row],[Quantity]]</f>
        <v>0</v>
      </c>
      <c r="J51" s="3">
        <f>Table13[[#This Row],[Labor]]*Table13[[#This Row],[Quantity]]</f>
        <v>0</v>
      </c>
      <c r="K51" s="3">
        <f>Table13[[#This Row],[Unit Cost]]*Table13[[#This Row],[Quantity]]</f>
        <v>0</v>
      </c>
    </row>
    <row r="52" spans="1:11" x14ac:dyDescent="0.25">
      <c r="A52" s="1" t="s">
        <v>111</v>
      </c>
      <c r="B52" s="1" t="s">
        <v>112</v>
      </c>
      <c r="C52" s="1" t="s">
        <v>113</v>
      </c>
      <c r="D52" s="1" t="s">
        <v>58</v>
      </c>
      <c r="E52" s="1">
        <v>13950</v>
      </c>
      <c r="F52" s="2">
        <v>0.5</v>
      </c>
      <c r="H52" s="3">
        <f>SUM(Table13[[#This Row],[Material]:[Labor]])</f>
        <v>0.5</v>
      </c>
      <c r="I52" s="9">
        <f>Table13[[#This Row],[Material]]*Table13[[#This Row],[Quantity]]</f>
        <v>6975</v>
      </c>
      <c r="J52" s="3">
        <f>Table13[[#This Row],[Labor]]*Table13[[#This Row],[Quantity]]</f>
        <v>0</v>
      </c>
      <c r="K52" s="3">
        <f>Table13[[#This Row],[Unit Cost]]*Table13[[#This Row],[Quantity]]</f>
        <v>6975</v>
      </c>
    </row>
    <row r="53" spans="1:11" x14ac:dyDescent="0.25">
      <c r="A53" s="1" t="s">
        <v>111</v>
      </c>
      <c r="B53" s="1" t="s">
        <v>114</v>
      </c>
      <c r="C53" s="1" t="s">
        <v>115</v>
      </c>
      <c r="D53" s="1" t="s">
        <v>58</v>
      </c>
      <c r="E53" s="1">
        <v>3800</v>
      </c>
      <c r="F53" s="2">
        <v>0.5</v>
      </c>
      <c r="H53" s="3">
        <f>SUM(Table13[[#This Row],[Material]:[Labor]])</f>
        <v>0.5</v>
      </c>
      <c r="I53" s="9">
        <f>Table13[[#This Row],[Material]]*Table13[[#This Row],[Quantity]]</f>
        <v>1900</v>
      </c>
      <c r="J53" s="3">
        <f>Table13[[#This Row],[Labor]]*Table13[[#This Row],[Quantity]]</f>
        <v>0</v>
      </c>
      <c r="K53" s="3">
        <f>Table13[[#This Row],[Unit Cost]]*Table13[[#This Row],[Quantity]]</f>
        <v>1900</v>
      </c>
    </row>
    <row r="54" spans="1:11" x14ac:dyDescent="0.25">
      <c r="A54" s="1" t="s">
        <v>99</v>
      </c>
      <c r="B54" s="1" t="s">
        <v>116</v>
      </c>
      <c r="C54" s="1" t="s">
        <v>117</v>
      </c>
      <c r="D54" s="1" t="s">
        <v>13</v>
      </c>
      <c r="E54" s="1">
        <v>5</v>
      </c>
      <c r="F54" s="2">
        <v>39.479999999999997</v>
      </c>
      <c r="H54" s="3">
        <f>SUM(Table13[[#This Row],[Material]:[Labor]])</f>
        <v>39.479999999999997</v>
      </c>
      <c r="I54" s="9">
        <f>Table13[[#This Row],[Material]]*Table13[[#This Row],[Quantity]]</f>
        <v>197.39999999999998</v>
      </c>
      <c r="J54" s="3">
        <f>Table13[[#This Row],[Labor]]*Table13[[#This Row],[Quantity]]</f>
        <v>0</v>
      </c>
      <c r="K54" s="3">
        <f>Table13[[#This Row],[Unit Cost]]*Table13[[#This Row],[Quantity]]</f>
        <v>197.39999999999998</v>
      </c>
    </row>
    <row r="55" spans="1:11" x14ac:dyDescent="0.25">
      <c r="A55" s="1" t="s">
        <v>118</v>
      </c>
      <c r="B55" s="1" t="s">
        <v>119</v>
      </c>
      <c r="C55" s="1" t="s">
        <v>120</v>
      </c>
      <c r="D55" s="1" t="s">
        <v>13</v>
      </c>
      <c r="E55" s="1">
        <v>612</v>
      </c>
      <c r="H55" s="3">
        <f>SUM(Table13[[#This Row],[Material]:[Labor]])</f>
        <v>0</v>
      </c>
      <c r="I55" s="9">
        <f>Table13[[#This Row],[Material]]*Table13[[#This Row],[Quantity]]</f>
        <v>0</v>
      </c>
      <c r="J55" s="3">
        <f>Table13[[#This Row],[Labor]]*Table13[[#This Row],[Quantity]]</f>
        <v>0</v>
      </c>
      <c r="K55" s="3">
        <f>Table13[[#This Row],[Unit Cost]]*Table13[[#This Row],[Quantity]]</f>
        <v>0</v>
      </c>
    </row>
    <row r="56" spans="1:11" x14ac:dyDescent="0.25">
      <c r="A56" s="1" t="s">
        <v>121</v>
      </c>
      <c r="B56" s="1" t="s">
        <v>122</v>
      </c>
      <c r="C56" s="1" t="s">
        <v>123</v>
      </c>
      <c r="D56" s="1" t="s">
        <v>13</v>
      </c>
      <c r="E56" s="1">
        <f>ROUNDUP(SUM(E10:E19)/3,0)</f>
        <v>42</v>
      </c>
      <c r="F56" s="2">
        <v>450</v>
      </c>
      <c r="G56" s="3">
        <v>300</v>
      </c>
      <c r="H56" s="3">
        <f>SUM(Table13[[#This Row],[Material]:[Labor]])</f>
        <v>750</v>
      </c>
      <c r="I56" s="9">
        <f>Table13[[#This Row],[Material]]*Table13[[#This Row],[Quantity]]</f>
        <v>18900</v>
      </c>
      <c r="J56" s="3">
        <f>Table13[[#This Row],[Labor]]*Table13[[#This Row],[Quantity]]</f>
        <v>12600</v>
      </c>
      <c r="K56" s="3">
        <f>Table13[[#This Row],[Unit Cost]]*Table13[[#This Row],[Quantity]]</f>
        <v>31500</v>
      </c>
    </row>
    <row r="57" spans="1:11" x14ac:dyDescent="0.25">
      <c r="A57" s="1" t="s">
        <v>99</v>
      </c>
      <c r="B57" s="1" t="s">
        <v>124</v>
      </c>
      <c r="C57" s="1" t="s">
        <v>125</v>
      </c>
      <c r="D57" s="1" t="s">
        <v>13</v>
      </c>
      <c r="E57" s="1">
        <v>1</v>
      </c>
      <c r="G57" s="3">
        <v>3000</v>
      </c>
      <c r="H57" s="3">
        <f>SUM(Table13[[#This Row],[Material]:[Labor]])</f>
        <v>3000</v>
      </c>
      <c r="I57" s="9">
        <f>Table13[[#This Row],[Material]]*Table13[[#This Row],[Quantity]]</f>
        <v>0</v>
      </c>
      <c r="J57" s="3">
        <f>Table13[[#This Row],[Labor]]*Table13[[#This Row],[Quantity]]</f>
        <v>3000</v>
      </c>
      <c r="K57" s="3">
        <f>Table13[[#This Row],[Unit Cost]]*Table13[[#This Row],[Quantity]]</f>
        <v>3000</v>
      </c>
    </row>
    <row r="58" spans="1:11" x14ac:dyDescent="0.25">
      <c r="A58" s="1" t="s">
        <v>126</v>
      </c>
      <c r="B58" s="1" t="s">
        <v>127</v>
      </c>
      <c r="C58" s="1" t="s">
        <v>128</v>
      </c>
      <c r="D58" s="1" t="s">
        <v>58</v>
      </c>
      <c r="E58" s="1">
        <v>30722</v>
      </c>
      <c r="F58" s="2">
        <v>0</v>
      </c>
      <c r="H58" s="3">
        <f>SUM(Table13[[#This Row],[Material]:[Labor]])</f>
        <v>0</v>
      </c>
      <c r="I58" s="9">
        <f>Table13[[#This Row],[Material]]*Table13[[#This Row],[Quantity]]</f>
        <v>0</v>
      </c>
      <c r="J58" s="3">
        <f>Table13[[#This Row],[Labor]]*Table13[[#This Row],[Quantity]]</f>
        <v>0</v>
      </c>
      <c r="K58" s="3">
        <f>Table13[[#This Row],[Unit Cost]]*Table13[[#This Row],[Quantity]]</f>
        <v>0</v>
      </c>
    </row>
    <row r="59" spans="1:11" x14ac:dyDescent="0.25">
      <c r="A59" s="1" t="s">
        <v>129</v>
      </c>
      <c r="B59" s="1" t="s">
        <v>130</v>
      </c>
      <c r="C59" s="1" t="s">
        <v>131</v>
      </c>
      <c r="D59" s="1" t="s">
        <v>58</v>
      </c>
      <c r="E59" s="1">
        <v>6935</v>
      </c>
      <c r="F59" s="2">
        <v>1.2</v>
      </c>
      <c r="H59" s="3">
        <f>SUM(Table13[[#This Row],[Material]:[Labor]])</f>
        <v>1.2</v>
      </c>
      <c r="I59" s="9">
        <f>Table13[[#This Row],[Material]]*Table13[[#This Row],[Quantity]]</f>
        <v>8322</v>
      </c>
      <c r="J59" s="3">
        <f>Table13[[#This Row],[Labor]]*Table13[[#This Row],[Quantity]]</f>
        <v>0</v>
      </c>
      <c r="K59" s="3">
        <f>Table13[[#This Row],[Unit Cost]]*Table13[[#This Row],[Quantity]]</f>
        <v>8322</v>
      </c>
    </row>
    <row r="61" spans="1:11" x14ac:dyDescent="0.25">
      <c r="F61" s="1"/>
      <c r="G61" s="1"/>
      <c r="I61" s="14" t="s">
        <v>132</v>
      </c>
      <c r="K61" s="12" t="e">
        <f>SUM(Table13[[ Total Cost ]])</f>
        <v>#REF!</v>
      </c>
    </row>
    <row r="62" spans="1:11" x14ac:dyDescent="0.25">
      <c r="F62" s="1"/>
      <c r="G62" s="1"/>
      <c r="H62" s="11"/>
      <c r="I62" s="14"/>
      <c r="J62" s="11" t="s">
        <v>6</v>
      </c>
      <c r="K62" s="13" t="e">
        <f>SUM(Table13[Material Cost])</f>
        <v>#REF!</v>
      </c>
    </row>
    <row r="63" spans="1:11" x14ac:dyDescent="0.25">
      <c r="F63" s="1"/>
      <c r="G63" s="1"/>
      <c r="H63" s="11"/>
      <c r="I63" s="14"/>
      <c r="J63" s="11" t="s">
        <v>7</v>
      </c>
      <c r="K63" s="13" t="e">
        <f>SUM(Table13[Labor Cost])</f>
        <v>#REF!</v>
      </c>
    </row>
    <row r="64" spans="1:11" x14ac:dyDescent="0.25">
      <c r="F64" s="1"/>
      <c r="G64" s="1"/>
      <c r="I64" s="14" t="s">
        <v>133</v>
      </c>
      <c r="K64" s="12" t="e">
        <f>#REF!</f>
        <v>#REF!</v>
      </c>
    </row>
    <row r="65" spans="6:11" x14ac:dyDescent="0.25">
      <c r="F65" s="1"/>
      <c r="G65" s="1"/>
      <c r="I65" s="14" t="s">
        <v>134</v>
      </c>
      <c r="K65" s="12" t="e">
        <f>K61*0.25</f>
        <v>#REF!</v>
      </c>
    </row>
    <row r="66" spans="6:11" x14ac:dyDescent="0.25">
      <c r="F66" s="1"/>
      <c r="G66" s="1"/>
      <c r="I66" s="14" t="s">
        <v>135</v>
      </c>
      <c r="K66" s="12" t="e">
        <f>(K61+K64+K65)*0.15</f>
        <v>#REF!</v>
      </c>
    </row>
    <row r="67" spans="6:11" x14ac:dyDescent="0.25">
      <c r="I67" s="14"/>
      <c r="K67" s="12"/>
    </row>
    <row r="68" spans="6:11" x14ac:dyDescent="0.25">
      <c r="F68" s="1"/>
      <c r="G68" s="1"/>
      <c r="I68" s="14" t="s">
        <v>136</v>
      </c>
      <c r="K68" s="12" t="e">
        <f>K61+K64+K65+K66</f>
        <v>#REF!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OSP BOM</vt:lpstr>
      <vt:lpstr>ISP BOM</vt:lpstr>
      <vt:lpstr>OSP BOM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Van Meter</dc:creator>
  <cp:lastModifiedBy>Matt</cp:lastModifiedBy>
  <cp:lastPrinted>2022-07-08T19:23:58Z</cp:lastPrinted>
  <dcterms:created xsi:type="dcterms:W3CDTF">2021-09-29T20:37:08Z</dcterms:created>
  <dcterms:modified xsi:type="dcterms:W3CDTF">2023-07-11T19:36:55Z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86ce8fd12ee344e696a11c4686ce2d38</vt:lpwstr>
  </property>
</Properties>
</file>