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ates\BHE NE Combined Gas\Rate Cases\2020\Rate Design\Compliance Filing\"/>
    </mc:Choice>
  </mc:AlternateContent>
  <xr:revisionPtr revIDLastSave="0" documentId="13_ncr:1_{839A087C-731B-4DF4-AE93-1A331B6C4F4A}" xr6:coauthVersionLast="45" xr6:coauthVersionMax="45" xr10:uidLastSave="{00000000-0000-0000-0000-000000000000}"/>
  <bookViews>
    <workbookView xWindow="-120" yWindow="-120" windowWidth="29040" windowHeight="15840" tabRatio="756" firstSheet="1" activeTab="4" xr2:uid="{00000000-000D-0000-FFFF-FFFF00000000}"/>
  </bookViews>
  <sheets>
    <sheet name="Functional Allocators" sheetId="43" r:id="rId1"/>
    <sheet name="Functional" sheetId="4" r:id="rId2"/>
    <sheet name="Class Allocations" sheetId="8" r:id="rId3"/>
    <sheet name="FERC Accts by Customer Class" sheetId="36" r:id="rId4"/>
    <sheet name="Rate Design" sheetId="44" r:id="rId5"/>
    <sheet name="Revenue Proof" sheetId="46" r:id="rId6"/>
    <sheet name="Bill Impacts" sheetId="45" r:id="rId7"/>
    <sheet name="Section 3 Exhibit C" sheetId="42" r:id="rId8"/>
    <sheet name="COS Statement N" sheetId="38" r:id="rId9"/>
  </sheets>
  <externalReferences>
    <externalReference r:id="rId10"/>
    <externalReference r:id="rId11"/>
  </externalReferences>
  <definedNames>
    <definedName name="__123Graph_D" localSheetId="3" hidden="1">'[1]228.13'!#REF!</definedName>
    <definedName name="__123Graph_D" hidden="1">'[1]228.13'!#REF!</definedName>
    <definedName name="base_year">#REF!</definedName>
    <definedName name="company">#REF!</definedName>
    <definedName name="COMPRATE">[2]References!$B$7</definedName>
    <definedName name="DistComm">'Functional Allocators'!$D$13</definedName>
    <definedName name="DistCust">'Functional Allocators'!$E$13</definedName>
    <definedName name="DistDemand">'Functional Allocators'!$C$13</definedName>
    <definedName name="DistMains">'Functional Allocators'!$C$8</definedName>
    <definedName name="_xlnm.Print_Area" localSheetId="6">'Bill Impacts'!$A$1:$N$116</definedName>
    <definedName name="_xlnm.Print_Area" localSheetId="2">'Class Allocations'!$A$1:$P$240</definedName>
    <definedName name="_xlnm.Print_Area" localSheetId="8">'COS Statement N'!$A$1:$K$354</definedName>
    <definedName name="_xlnm.Print_Area" localSheetId="3">'FERC Accts by Customer Class'!$A$1:$P$309</definedName>
    <definedName name="_xlnm.Print_Area" localSheetId="1">Functional!$A$1:$S$307</definedName>
    <definedName name="_xlnm.Print_Area" localSheetId="4">'Rate Design'!$A$1:$E$37</definedName>
    <definedName name="_xlnm.Print_Area" localSheetId="5">'Revenue Proof'!$A$1:$E$29,'Revenue Proof'!$A$31:$E$66,'Revenue Proof'!$A$68:$E$103,'Revenue Proof'!$A$106:$E$137</definedName>
    <definedName name="_xlnm.Print_Area" localSheetId="7">'Section 3 Exhibit C'!$A$1:$M$108</definedName>
    <definedName name="_xlnm.Print_Titles" localSheetId="2">'Class Allocations'!$A:$B</definedName>
    <definedName name="_xlnm.Print_Titles" localSheetId="8">'COS Statement N'!$1:$7</definedName>
    <definedName name="ROR">#REF!</definedName>
    <definedName name="taxes">#REF!</definedName>
    <definedName name="test_year">#REF!</definedName>
    <definedName name="toggle">#REF!</definedName>
    <definedName name="TransComm">'Functional Allocators'!$G$13</definedName>
    <definedName name="TransDemand">'Functional Allocators'!$F$13</definedName>
    <definedName name="TransMains">'Functional Allocators'!$D$8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4" i="38" l="1"/>
  <c r="P124" i="38"/>
  <c r="P137" i="38"/>
  <c r="P150" i="38"/>
  <c r="P159" i="38"/>
  <c r="P161" i="38"/>
  <c r="P177" i="38"/>
  <c r="P180" i="38"/>
  <c r="P182" i="38"/>
  <c r="W70" i="38" l="1"/>
  <c r="W69" i="38"/>
  <c r="AF3" i="38" l="1"/>
  <c r="K352" i="38" l="1"/>
  <c r="K306" i="38"/>
  <c r="K312" i="38"/>
  <c r="G55" i="38"/>
  <c r="G224" i="38"/>
  <c r="K157" i="38"/>
  <c r="K341" i="38"/>
  <c r="G22" i="38"/>
  <c r="G64" i="38"/>
  <c r="G150" i="38"/>
  <c r="G239" i="38"/>
  <c r="K9" i="38"/>
  <c r="K81" i="38"/>
  <c r="K169" i="38"/>
  <c r="K255" i="38"/>
  <c r="K354" i="38"/>
  <c r="G23" i="38"/>
  <c r="G75" i="38"/>
  <c r="G161" i="38"/>
  <c r="G250" i="38"/>
  <c r="K18" i="38"/>
  <c r="K93" i="38"/>
  <c r="K179" i="38"/>
  <c r="K269" i="38"/>
  <c r="G30" i="38"/>
  <c r="G86" i="38"/>
  <c r="G172" i="38"/>
  <c r="G260" i="38"/>
  <c r="K27" i="38"/>
  <c r="K107" i="38"/>
  <c r="K191" i="38"/>
  <c r="K279" i="38"/>
  <c r="G110" i="38"/>
  <c r="G40" i="38"/>
  <c r="K52" i="38"/>
  <c r="K221" i="38"/>
  <c r="K318" i="38"/>
  <c r="G17" i="38"/>
  <c r="G142" i="38"/>
  <c r="G323" i="38"/>
  <c r="K72" i="38"/>
  <c r="K247" i="38"/>
  <c r="G31" i="38"/>
  <c r="G96" i="38"/>
  <c r="G182" i="38"/>
  <c r="G272" i="38"/>
  <c r="K35" i="38"/>
  <c r="K117" i="38"/>
  <c r="K199" i="38"/>
  <c r="K290" i="38"/>
  <c r="G39" i="38"/>
  <c r="G194" i="38"/>
  <c r="G282" i="38"/>
  <c r="K44" i="38"/>
  <c r="K128" i="38"/>
  <c r="K209" i="38"/>
  <c r="G12" i="38"/>
  <c r="G120" i="38"/>
  <c r="G204" i="38"/>
  <c r="G293" i="38"/>
  <c r="K136" i="38"/>
  <c r="G13" i="38"/>
  <c r="G47" i="38"/>
  <c r="G131" i="38"/>
  <c r="G212" i="38"/>
  <c r="G308" i="38"/>
  <c r="K60" i="38"/>
  <c r="K147" i="38"/>
  <c r="K232" i="38"/>
  <c r="G56" i="38"/>
  <c r="G87" i="38"/>
  <c r="G132" i="38"/>
  <c r="G165" i="38"/>
  <c r="G195" i="38"/>
  <c r="G228" i="38"/>
  <c r="G261" i="38"/>
  <c r="G310" i="38"/>
  <c r="K36" i="38"/>
  <c r="K61" i="38"/>
  <c r="K108" i="38"/>
  <c r="K158" i="38"/>
  <c r="K210" i="38"/>
  <c r="K256" i="38"/>
  <c r="K291" i="38"/>
  <c r="K319" i="38"/>
  <c r="G65" i="38"/>
  <c r="G98" i="38"/>
  <c r="G121" i="38"/>
  <c r="G153" i="38"/>
  <c r="G183" i="38"/>
  <c r="G213" i="38"/>
  <c r="G251" i="38"/>
  <c r="G273" i="38"/>
  <c r="G294" i="38"/>
  <c r="K10" i="38"/>
  <c r="K19" i="38"/>
  <c r="K45" i="38"/>
  <c r="K73" i="38"/>
  <c r="K94" i="38"/>
  <c r="K129" i="38"/>
  <c r="K148" i="38"/>
  <c r="K180" i="38"/>
  <c r="K192" i="38"/>
  <c r="K222" i="38"/>
  <c r="K234" i="38"/>
  <c r="K270" i="38"/>
  <c r="K342" i="38"/>
  <c r="N351" i="38" s="1"/>
  <c r="G15" i="38"/>
  <c r="G24" i="38"/>
  <c r="G32" i="38"/>
  <c r="G41" i="38"/>
  <c r="G49" i="38"/>
  <c r="G57" i="38"/>
  <c r="G66" i="38"/>
  <c r="G77" i="38"/>
  <c r="G88" i="38"/>
  <c r="G104" i="38"/>
  <c r="G112" i="38"/>
  <c r="G122" i="38"/>
  <c r="G133" i="38"/>
  <c r="G144" i="38"/>
  <c r="G154" i="38"/>
  <c r="G166" i="38"/>
  <c r="G176" i="38"/>
  <c r="G185" i="38"/>
  <c r="G196" i="38"/>
  <c r="G206" i="38"/>
  <c r="G215" i="38"/>
  <c r="G229" i="38"/>
  <c r="G241" i="38"/>
  <c r="G252" i="38"/>
  <c r="G263" i="38"/>
  <c r="G274" i="38"/>
  <c r="G284" i="38"/>
  <c r="G297" i="38"/>
  <c r="G312" i="38"/>
  <c r="G325" i="38"/>
  <c r="K11" i="38"/>
  <c r="K21" i="38"/>
  <c r="K29" i="38"/>
  <c r="K37" i="38"/>
  <c r="K46" i="38"/>
  <c r="K54" i="38"/>
  <c r="K62" i="38"/>
  <c r="K74" i="38"/>
  <c r="K85" i="38"/>
  <c r="K95" i="38"/>
  <c r="K109" i="38"/>
  <c r="K119" i="38"/>
  <c r="K130" i="38"/>
  <c r="K141" i="38"/>
  <c r="K149" i="38"/>
  <c r="K159" i="38"/>
  <c r="K171" i="38"/>
  <c r="K181" i="38"/>
  <c r="K193" i="38"/>
  <c r="K203" i="38"/>
  <c r="K211" i="38"/>
  <c r="K223" i="38"/>
  <c r="K238" i="38"/>
  <c r="K249" i="38"/>
  <c r="K257" i="38"/>
  <c r="K271" i="38"/>
  <c r="K281" i="38"/>
  <c r="K292" i="38"/>
  <c r="K307" i="38"/>
  <c r="K321" i="38"/>
  <c r="G48" i="38"/>
  <c r="G76" i="38"/>
  <c r="G111" i="38"/>
  <c r="G143" i="38"/>
  <c r="G173" i="38"/>
  <c r="G205" i="38"/>
  <c r="G240" i="38"/>
  <c r="G283" i="38"/>
  <c r="G324" i="38"/>
  <c r="K28" i="38"/>
  <c r="K53" i="38"/>
  <c r="K84" i="38"/>
  <c r="K118" i="38"/>
  <c r="K137" i="38"/>
  <c r="K170" i="38"/>
  <c r="K200" i="38"/>
  <c r="K248" i="38"/>
  <c r="K280" i="38"/>
  <c r="G16" i="38"/>
  <c r="G25" i="38"/>
  <c r="G33" i="38"/>
  <c r="G42" i="38"/>
  <c r="G50" i="38"/>
  <c r="G58" i="38"/>
  <c r="G68" i="38"/>
  <c r="G78" i="38"/>
  <c r="G89" i="38"/>
  <c r="G105" i="38"/>
  <c r="G113" i="38"/>
  <c r="G123" i="38"/>
  <c r="G134" i="38"/>
  <c r="G145" i="38"/>
  <c r="G155" i="38"/>
  <c r="G167" i="38"/>
  <c r="G177" i="38"/>
  <c r="G189" i="38"/>
  <c r="G197" i="38"/>
  <c r="G207" i="38"/>
  <c r="G219" i="38"/>
  <c r="G230" i="38"/>
  <c r="G242" i="38"/>
  <c r="G253" i="38"/>
  <c r="G265" i="38"/>
  <c r="G275" i="38"/>
  <c r="G286" i="38"/>
  <c r="G299" i="38"/>
  <c r="G313" i="38"/>
  <c r="G326" i="38"/>
  <c r="K12" i="38"/>
  <c r="K22" i="38"/>
  <c r="K30" i="38"/>
  <c r="K39" i="38"/>
  <c r="K47" i="38"/>
  <c r="K55" i="38"/>
  <c r="K64" i="38"/>
  <c r="K75" i="38"/>
  <c r="K86" i="38"/>
  <c r="K96" i="38"/>
  <c r="K110" i="38"/>
  <c r="K120" i="38"/>
  <c r="K131" i="38"/>
  <c r="K142" i="38"/>
  <c r="K150" i="38"/>
  <c r="K161" i="38"/>
  <c r="K172" i="38"/>
  <c r="K182" i="38"/>
  <c r="K194" i="38"/>
  <c r="K204" i="38"/>
  <c r="K212" i="38"/>
  <c r="K224" i="38"/>
  <c r="K239" i="38"/>
  <c r="K250" i="38"/>
  <c r="K260" i="38"/>
  <c r="K272" i="38"/>
  <c r="K282" i="38"/>
  <c r="K293" i="38"/>
  <c r="K308" i="38"/>
  <c r="K323" i="38"/>
  <c r="K345" i="38"/>
  <c r="G92" i="38"/>
  <c r="G156" i="38"/>
  <c r="G246" i="38"/>
  <c r="K13" i="38"/>
  <c r="K65" i="38"/>
  <c r="K132" i="38"/>
  <c r="K205" i="38"/>
  <c r="K251" i="38"/>
  <c r="K294" i="38"/>
  <c r="G43" i="38"/>
  <c r="G124" i="38"/>
  <c r="G190" i="38"/>
  <c r="G254" i="38"/>
  <c r="G314" i="38"/>
  <c r="K40" i="38"/>
  <c r="K87" i="38"/>
  <c r="K143" i="38"/>
  <c r="K195" i="38"/>
  <c r="K240" i="38"/>
  <c r="K283" i="38"/>
  <c r="G27" i="38"/>
  <c r="G52" i="38"/>
  <c r="G60" i="38"/>
  <c r="G72" i="38"/>
  <c r="G81" i="38"/>
  <c r="G93" i="38"/>
  <c r="G107" i="38"/>
  <c r="G117" i="38"/>
  <c r="G128" i="38"/>
  <c r="G136" i="38"/>
  <c r="G147" i="38"/>
  <c r="G157" i="38"/>
  <c r="G169" i="38"/>
  <c r="G179" i="38"/>
  <c r="G191" i="38"/>
  <c r="G199" i="38"/>
  <c r="G209" i="38"/>
  <c r="G221" i="38"/>
  <c r="G232" i="38"/>
  <c r="G247" i="38"/>
  <c r="G255" i="38"/>
  <c r="G269" i="38"/>
  <c r="G279" i="38"/>
  <c r="G290" i="38"/>
  <c r="G303" i="38"/>
  <c r="G318" i="38"/>
  <c r="G330" i="38"/>
  <c r="K15" i="38"/>
  <c r="K24" i="38"/>
  <c r="K32" i="38"/>
  <c r="K41" i="38"/>
  <c r="K49" i="38"/>
  <c r="K57" i="38"/>
  <c r="K66" i="38"/>
  <c r="K77" i="38"/>
  <c r="K88" i="38"/>
  <c r="K104" i="38"/>
  <c r="K112" i="38"/>
  <c r="K122" i="38"/>
  <c r="K133" i="38"/>
  <c r="K144" i="38"/>
  <c r="K154" i="38"/>
  <c r="K166" i="38"/>
  <c r="K176" i="38"/>
  <c r="K185" i="38"/>
  <c r="K196" i="38"/>
  <c r="K206" i="38"/>
  <c r="K215" i="38"/>
  <c r="K229" i="38"/>
  <c r="K241" i="38"/>
  <c r="K252" i="38"/>
  <c r="K263" i="38"/>
  <c r="K274" i="38"/>
  <c r="K284" i="38"/>
  <c r="K297" i="38"/>
  <c r="K325" i="38"/>
  <c r="K349" i="38"/>
  <c r="G26" i="38"/>
  <c r="G51" i="38"/>
  <c r="G71" i="38"/>
  <c r="G106" i="38"/>
  <c r="G135" i="38"/>
  <c r="G168" i="38"/>
  <c r="G198" i="38"/>
  <c r="G220" i="38"/>
  <c r="G268" i="38"/>
  <c r="G289" i="38"/>
  <c r="G328" i="38"/>
  <c r="K31" i="38"/>
  <c r="K56" i="38"/>
  <c r="K76" i="38"/>
  <c r="K111" i="38"/>
  <c r="K153" i="38"/>
  <c r="K173" i="38"/>
  <c r="K228" i="38"/>
  <c r="K273" i="38"/>
  <c r="K324" i="38"/>
  <c r="G9" i="38"/>
  <c r="G44" i="38"/>
  <c r="G10" i="38"/>
  <c r="G19" i="38"/>
  <c r="G28" i="38"/>
  <c r="G36" i="38"/>
  <c r="G45" i="38"/>
  <c r="G53" i="38"/>
  <c r="G61" i="38"/>
  <c r="G73" i="38"/>
  <c r="G84" i="38"/>
  <c r="G94" i="38"/>
  <c r="G108" i="38"/>
  <c r="G118" i="38"/>
  <c r="G129" i="38"/>
  <c r="G137" i="38"/>
  <c r="G148" i="38"/>
  <c r="G158" i="38"/>
  <c r="G170" i="38"/>
  <c r="G180" i="38"/>
  <c r="G192" i="38"/>
  <c r="G200" i="38"/>
  <c r="G210" i="38"/>
  <c r="G222" i="38"/>
  <c r="G234" i="38"/>
  <c r="G248" i="38"/>
  <c r="G256" i="38"/>
  <c r="G270" i="38"/>
  <c r="G280" i="38"/>
  <c r="G291" i="38"/>
  <c r="G306" i="38"/>
  <c r="G319" i="38"/>
  <c r="G331" i="38"/>
  <c r="K16" i="38"/>
  <c r="K25" i="38"/>
  <c r="K33" i="38"/>
  <c r="K42" i="38"/>
  <c r="K50" i="38"/>
  <c r="K58" i="38"/>
  <c r="K68" i="38"/>
  <c r="K78" i="38"/>
  <c r="K89" i="38"/>
  <c r="K105" i="38"/>
  <c r="K113" i="38"/>
  <c r="K123" i="38"/>
  <c r="K134" i="38"/>
  <c r="K145" i="38"/>
  <c r="K155" i="38"/>
  <c r="K167" i="38"/>
  <c r="K177" i="38"/>
  <c r="K189" i="38"/>
  <c r="K197" i="38"/>
  <c r="K207" i="38"/>
  <c r="K219" i="38"/>
  <c r="K230" i="38"/>
  <c r="K242" i="38"/>
  <c r="K253" i="38"/>
  <c r="K265" i="38"/>
  <c r="K275" i="38"/>
  <c r="K286" i="38"/>
  <c r="K299" i="38"/>
  <c r="K326" i="38"/>
  <c r="K339" i="38"/>
  <c r="G34" i="38"/>
  <c r="G59" i="38"/>
  <c r="G79" i="38"/>
  <c r="G114" i="38"/>
  <c r="G146" i="38"/>
  <c r="G178" i="38"/>
  <c r="G208" i="38"/>
  <c r="G231" i="38"/>
  <c r="G276" i="38"/>
  <c r="G301" i="38"/>
  <c r="K23" i="38"/>
  <c r="K48" i="38"/>
  <c r="K98" i="38"/>
  <c r="K121" i="38"/>
  <c r="K165" i="38"/>
  <c r="K183" i="38"/>
  <c r="K213" i="38"/>
  <c r="K261" i="38"/>
  <c r="K337" i="38"/>
  <c r="G18" i="38"/>
  <c r="G35" i="38"/>
  <c r="G11" i="38"/>
  <c r="G21" i="38"/>
  <c r="G29" i="38"/>
  <c r="G37" i="38"/>
  <c r="G46" i="38"/>
  <c r="G54" i="38"/>
  <c r="G62" i="38"/>
  <c r="G74" i="38"/>
  <c r="G85" i="38"/>
  <c r="G95" i="38"/>
  <c r="G109" i="38"/>
  <c r="G119" i="38"/>
  <c r="G130" i="38"/>
  <c r="G141" i="38"/>
  <c r="G149" i="38"/>
  <c r="G159" i="38"/>
  <c r="G171" i="38"/>
  <c r="G181" i="38"/>
  <c r="G193" i="38"/>
  <c r="G203" i="38"/>
  <c r="G211" i="38"/>
  <c r="G223" i="38"/>
  <c r="G238" i="38"/>
  <c r="G249" i="38"/>
  <c r="G257" i="38"/>
  <c r="G271" i="38"/>
  <c r="G281" i="38"/>
  <c r="G292" i="38"/>
  <c r="G307" i="38"/>
  <c r="G321" i="38"/>
  <c r="G332" i="38"/>
  <c r="K17" i="38"/>
  <c r="K26" i="38"/>
  <c r="K34" i="38"/>
  <c r="K43" i="38"/>
  <c r="K51" i="38"/>
  <c r="K59" i="38"/>
  <c r="K71" i="38"/>
  <c r="K79" i="38"/>
  <c r="K92" i="38"/>
  <c r="K106" i="38"/>
  <c r="K114" i="38"/>
  <c r="K124" i="38"/>
  <c r="K135" i="38"/>
  <c r="K146" i="38"/>
  <c r="K156" i="38"/>
  <c r="K168" i="38"/>
  <c r="K178" i="38"/>
  <c r="K190" i="38"/>
  <c r="K198" i="38"/>
  <c r="K208" i="38"/>
  <c r="K220" i="38"/>
  <c r="K231" i="38"/>
  <c r="K246" i="38"/>
  <c r="K254" i="38"/>
  <c r="K268" i="38"/>
  <c r="K276" i="38"/>
  <c r="K289" i="38"/>
  <c r="K328" i="38"/>
  <c r="K340" i="38"/>
  <c r="G28" i="44"/>
  <c r="G27" i="44"/>
  <c r="F28" i="44"/>
  <c r="F27" i="44"/>
  <c r="F33" i="44"/>
  <c r="F30" i="44"/>
  <c r="K336" i="38" l="1"/>
  <c r="K347" i="38"/>
  <c r="K338" i="38"/>
  <c r="K344" i="38"/>
  <c r="K351" i="38"/>
  <c r="K313" i="38"/>
  <c r="K331" i="38"/>
  <c r="K310" i="38"/>
  <c r="K303" i="38"/>
  <c r="K301" i="38"/>
  <c r="K330" i="38"/>
  <c r="A24" i="42"/>
  <c r="A65" i="42"/>
  <c r="A75" i="42"/>
  <c r="A77" i="42"/>
  <c r="A92" i="42"/>
  <c r="A94" i="42"/>
  <c r="A104" i="42"/>
  <c r="A16" i="42"/>
  <c r="A28" i="42"/>
  <c r="A34" i="42"/>
  <c r="A37" i="42"/>
  <c r="A43" i="42"/>
  <c r="A14" i="42"/>
  <c r="A9" i="42"/>
  <c r="A51" i="42"/>
  <c r="A50" i="42"/>
  <c r="M49" i="42"/>
  <c r="A49" i="42"/>
  <c r="K332" i="38" l="1"/>
  <c r="K314" i="38"/>
  <c r="A10" i="42"/>
  <c r="A11" i="42" l="1"/>
  <c r="A12" i="42" l="1"/>
  <c r="A13" i="42" s="1"/>
  <c r="A15" i="42" l="1"/>
  <c r="P169" i="8" l="1"/>
  <c r="P163" i="8"/>
  <c r="A17" i="42"/>
  <c r="A18" i="42" l="1"/>
  <c r="A19" i="42" l="1"/>
  <c r="A20" i="42" l="1"/>
  <c r="A21" i="42" l="1"/>
  <c r="A22" i="42" l="1"/>
  <c r="A23" i="42" l="1"/>
  <c r="P155" i="8" l="1"/>
  <c r="A25" i="42"/>
  <c r="A26" i="42" l="1"/>
  <c r="A27" i="42" l="1"/>
  <c r="A29" i="42" l="1"/>
  <c r="A30" i="42" l="1"/>
  <c r="G189" i="8"/>
  <c r="G129" i="8"/>
  <c r="G87" i="8"/>
  <c r="A31" i="42" l="1"/>
  <c r="G198" i="8"/>
  <c r="F198" i="8"/>
  <c r="E198" i="8"/>
  <c r="D198" i="8"/>
  <c r="G197" i="8"/>
  <c r="F197" i="8"/>
  <c r="E197" i="8"/>
  <c r="D197" i="8"/>
  <c r="A32" i="42" l="1"/>
  <c r="E10" i="46"/>
  <c r="D10" i="46"/>
  <c r="A33" i="42" l="1"/>
  <c r="J88" i="45"/>
  <c r="I88" i="45"/>
  <c r="I85" i="45"/>
  <c r="I82" i="45"/>
  <c r="J61" i="45"/>
  <c r="I61" i="45"/>
  <c r="I58" i="45"/>
  <c r="J56" i="45"/>
  <c r="I56" i="45"/>
  <c r="I55" i="45"/>
  <c r="J16" i="45"/>
  <c r="I16" i="45"/>
  <c r="A35" i="42" l="1"/>
  <c r="A36" i="42" s="1"/>
  <c r="A38" i="42" s="1"/>
  <c r="A39" i="42" s="1"/>
  <c r="A40" i="42" s="1"/>
  <c r="A41" i="42" s="1"/>
  <c r="A42" i="42" s="1"/>
  <c r="A44" i="42" s="1"/>
  <c r="A45" i="42" s="1"/>
  <c r="A57" i="42" s="1"/>
  <c r="A58" i="42" s="1"/>
  <c r="A59" i="42" s="1"/>
  <c r="A60" i="42" s="1"/>
  <c r="A61" i="42" s="1"/>
  <c r="A62" i="42" s="1"/>
  <c r="A63" i="42" s="1"/>
  <c r="A64" i="42" s="1"/>
  <c r="E33" i="44"/>
  <c r="A66" i="42" l="1"/>
  <c r="A67" i="42" s="1"/>
  <c r="A68" i="42" s="1"/>
  <c r="A69" i="42" s="1"/>
  <c r="A70" i="42" s="1"/>
  <c r="A71" i="42" s="1"/>
  <c r="A72" i="42" s="1"/>
  <c r="A73" i="42" s="1"/>
  <c r="A74" i="42" s="1"/>
  <c r="A76" i="42" s="1"/>
  <c r="A78" i="42" s="1"/>
  <c r="A79" i="42" s="1"/>
  <c r="P143" i="8"/>
  <c r="J86" i="45"/>
  <c r="I86" i="45"/>
  <c r="N289" i="38"/>
  <c r="A80" i="42" l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3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E30" i="44"/>
  <c r="A105" i="42" l="1"/>
  <c r="A106" i="42" s="1"/>
  <c r="A107" i="42" s="1"/>
  <c r="A108" i="42" s="1"/>
  <c r="P16" i="8" s="1"/>
  <c r="P18" i="8"/>
  <c r="J83" i="45"/>
  <c r="I83" i="45"/>
  <c r="E106" i="46"/>
  <c r="A107" i="46"/>
  <c r="N16" i="45" l="1"/>
  <c r="M16" i="45"/>
  <c r="N95" i="45" l="1"/>
  <c r="H86" i="45"/>
  <c r="K86" i="45"/>
  <c r="L86" i="45"/>
  <c r="K83" i="45"/>
  <c r="L83" i="45"/>
  <c r="H83" i="45"/>
  <c r="L88" i="45"/>
  <c r="H88" i="45"/>
  <c r="D88" i="45"/>
  <c r="E88" i="45"/>
  <c r="F88" i="45"/>
  <c r="D86" i="45"/>
  <c r="E86" i="45"/>
  <c r="F86" i="45"/>
  <c r="D83" i="45"/>
  <c r="E83" i="45"/>
  <c r="F83" i="45"/>
  <c r="M85" i="45"/>
  <c r="K85" i="45"/>
  <c r="M82" i="45"/>
  <c r="K82" i="45"/>
  <c r="E85" i="45"/>
  <c r="E82" i="45"/>
  <c r="H61" i="45"/>
  <c r="K61" i="45"/>
  <c r="L61" i="45"/>
  <c r="D61" i="45"/>
  <c r="E61" i="45"/>
  <c r="F61" i="45"/>
  <c r="H56" i="45"/>
  <c r="K56" i="45"/>
  <c r="L56" i="45"/>
  <c r="M56" i="45"/>
  <c r="N56" i="45"/>
  <c r="F56" i="45"/>
  <c r="D56" i="45"/>
  <c r="M58" i="45"/>
  <c r="K58" i="45"/>
  <c r="M55" i="45"/>
  <c r="K55" i="45"/>
  <c r="E58" i="45"/>
  <c r="E55" i="45"/>
  <c r="D16" i="45"/>
  <c r="F16" i="45"/>
  <c r="H16" i="45"/>
  <c r="L16" i="45"/>
  <c r="N88" i="45" l="1"/>
  <c r="N86" i="45"/>
  <c r="N83" i="45"/>
  <c r="N68" i="45"/>
  <c r="N61" i="45"/>
  <c r="N41" i="45"/>
  <c r="A234" i="8" l="1"/>
  <c r="A237" i="8"/>
  <c r="E24" i="44" l="1"/>
  <c r="D24" i="44"/>
  <c r="J59" i="45" l="1"/>
  <c r="I59" i="45"/>
  <c r="D59" i="45"/>
  <c r="E59" i="45"/>
  <c r="F59" i="45"/>
  <c r="N59" i="45"/>
  <c r="K59" i="45"/>
  <c r="H59" i="45"/>
  <c r="L59" i="45"/>
  <c r="M59" i="45"/>
  <c r="D37" i="44" l="1"/>
  <c r="D117" i="46" l="1"/>
  <c r="D109" i="45"/>
  <c r="E109" i="45"/>
  <c r="F109" i="45"/>
  <c r="C109" i="45"/>
  <c r="D76" i="42"/>
  <c r="E76" i="42"/>
  <c r="F63" i="42" l="1"/>
  <c r="F62" i="42"/>
  <c r="C63" i="42"/>
  <c r="C62" i="42"/>
  <c r="M64" i="42"/>
  <c r="L64" i="42"/>
  <c r="K64" i="42"/>
  <c r="J64" i="42"/>
  <c r="I64" i="42"/>
  <c r="H64" i="42"/>
  <c r="G64" i="42"/>
  <c r="E64" i="42"/>
  <c r="D64" i="42"/>
  <c r="M96" i="42" l="1"/>
  <c r="L96" i="42"/>
  <c r="K96" i="42"/>
  <c r="J96" i="42"/>
  <c r="I96" i="42"/>
  <c r="H96" i="42"/>
  <c r="G96" i="42"/>
  <c r="E96" i="42"/>
  <c r="D96" i="42"/>
  <c r="D101" i="42"/>
  <c r="E101" i="42"/>
  <c r="D99" i="42"/>
  <c r="E99" i="42"/>
  <c r="O159" i="38"/>
  <c r="O150" i="38"/>
  <c r="O137" i="38"/>
  <c r="O124" i="38"/>
  <c r="O114" i="38"/>
  <c r="N158" i="38"/>
  <c r="N157" i="38"/>
  <c r="N156" i="38"/>
  <c r="N155" i="38"/>
  <c r="N154" i="38"/>
  <c r="N153" i="38"/>
  <c r="N149" i="38"/>
  <c r="N148" i="38"/>
  <c r="N147" i="38"/>
  <c r="N146" i="38"/>
  <c r="N145" i="38"/>
  <c r="N144" i="38"/>
  <c r="N143" i="38"/>
  <c r="N142" i="38"/>
  <c r="N141" i="38"/>
  <c r="N136" i="38"/>
  <c r="N135" i="38"/>
  <c r="N134" i="38"/>
  <c r="N133" i="38"/>
  <c r="N132" i="38"/>
  <c r="N131" i="38"/>
  <c r="N130" i="38"/>
  <c r="N129" i="38"/>
  <c r="N128" i="38"/>
  <c r="N123" i="38"/>
  <c r="N122" i="38"/>
  <c r="N121" i="38"/>
  <c r="N120" i="38"/>
  <c r="N119" i="38"/>
  <c r="N118" i="38"/>
  <c r="N117" i="38"/>
  <c r="N113" i="38"/>
  <c r="N112" i="38"/>
  <c r="N111" i="38"/>
  <c r="N110" i="38"/>
  <c r="N109" i="38"/>
  <c r="N108" i="38"/>
  <c r="N107" i="38"/>
  <c r="N106" i="38"/>
  <c r="N105" i="38"/>
  <c r="N104" i="38"/>
  <c r="N93" i="38"/>
  <c r="N73" i="38"/>
  <c r="N72" i="38"/>
  <c r="O161" i="38" l="1"/>
  <c r="H77" i="8"/>
  <c r="I77" i="8"/>
  <c r="J77" i="8"/>
  <c r="K77" i="8"/>
  <c r="L77" i="8"/>
  <c r="M77" i="8"/>
  <c r="N77" i="8"/>
  <c r="D120" i="8"/>
  <c r="E91" i="42" l="1"/>
  <c r="M91" i="42"/>
  <c r="L91" i="42"/>
  <c r="K91" i="42"/>
  <c r="J91" i="42"/>
  <c r="I91" i="42"/>
  <c r="H91" i="42"/>
  <c r="G91" i="42"/>
  <c r="D91" i="42"/>
  <c r="F90" i="42"/>
  <c r="F101" i="42" s="1"/>
  <c r="F88" i="42"/>
  <c r="F99" i="42" s="1"/>
  <c r="F87" i="42"/>
  <c r="C90" i="42"/>
  <c r="C101" i="42" s="1"/>
  <c r="C88" i="42"/>
  <c r="C99" i="42" s="1"/>
  <c r="D100" i="42" l="1"/>
  <c r="E100" i="42"/>
  <c r="F89" i="42"/>
  <c r="F100" i="42" s="1"/>
  <c r="C89" i="42"/>
  <c r="C100" i="42" s="1"/>
  <c r="N270" i="38" l="1"/>
  <c r="N269" i="38"/>
  <c r="E166" i="4"/>
  <c r="E165" i="4"/>
  <c r="E164" i="4"/>
  <c r="E163" i="4"/>
  <c r="E162" i="4"/>
  <c r="E161" i="4"/>
  <c r="E160" i="4"/>
  <c r="E159" i="4"/>
  <c r="E140" i="4"/>
  <c r="O140" i="4" s="1"/>
  <c r="E139" i="4"/>
  <c r="E37" i="44" l="1"/>
  <c r="E11" i="46"/>
  <c r="E44" i="46"/>
  <c r="E43" i="46"/>
  <c r="E42" i="46"/>
  <c r="D44" i="46"/>
  <c r="D43" i="46"/>
  <c r="D42" i="46"/>
  <c r="J109" i="45" l="1"/>
  <c r="I109" i="45"/>
  <c r="E117" i="46"/>
  <c r="M109" i="45"/>
  <c r="L109" i="45"/>
  <c r="H109" i="45"/>
  <c r="N109" i="45"/>
  <c r="K109" i="45"/>
  <c r="G109" i="45"/>
  <c r="E161" i="36"/>
  <c r="M88" i="45" l="1"/>
  <c r="K88" i="45"/>
  <c r="G88" i="45"/>
  <c r="C88" i="45"/>
  <c r="G59" i="45"/>
  <c r="C59" i="45"/>
  <c r="G56" i="45"/>
  <c r="E56" i="45"/>
  <c r="C56" i="45"/>
  <c r="M86" i="45"/>
  <c r="G86" i="45"/>
  <c r="C86" i="45"/>
  <c r="G85" i="45"/>
  <c r="C85" i="45"/>
  <c r="M83" i="45"/>
  <c r="G83" i="45"/>
  <c r="C83" i="45"/>
  <c r="G82" i="45"/>
  <c r="C82" i="45"/>
  <c r="E80" i="46" l="1"/>
  <c r="D80" i="46"/>
  <c r="E79" i="46"/>
  <c r="D79" i="46"/>
  <c r="E68" i="46"/>
  <c r="A69" i="46"/>
  <c r="E81" i="46"/>
  <c r="D81" i="46"/>
  <c r="E299" i="4" l="1"/>
  <c r="E298" i="4"/>
  <c r="E297" i="4"/>
  <c r="E296" i="4"/>
  <c r="C260" i="36" l="1"/>
  <c r="A195" i="36"/>
  <c r="E173" i="36"/>
  <c r="E174" i="36"/>
  <c r="E284" i="4"/>
  <c r="E283" i="4"/>
  <c r="E283" i="36" s="1"/>
  <c r="E67" i="4"/>
  <c r="N283" i="4" l="1"/>
  <c r="L23" i="46" l="1"/>
  <c r="L24" i="46" s="1"/>
  <c r="K23" i="46"/>
  <c r="K22" i="46"/>
  <c r="L16" i="46"/>
  <c r="K16" i="46"/>
  <c r="K15" i="46"/>
  <c r="M16" i="46" l="1"/>
  <c r="L17" i="46"/>
  <c r="M22" i="46"/>
  <c r="K24" i="46"/>
  <c r="M15" i="46"/>
  <c r="K17" i="46"/>
  <c r="M23" i="46"/>
  <c r="M24" i="46" l="1"/>
  <c r="N22" i="46" s="1"/>
  <c r="N23" i="46" s="1"/>
  <c r="O23" i="46" s="1"/>
  <c r="E18" i="46" s="1"/>
  <c r="M17" i="46"/>
  <c r="N15" i="46" s="1"/>
  <c r="O15" i="46" s="1"/>
  <c r="E89" i="46" l="1"/>
  <c r="O22" i="46"/>
  <c r="E16" i="46" s="1"/>
  <c r="N16" i="46"/>
  <c r="O16" i="46" s="1"/>
  <c r="D18" i="46" s="1"/>
  <c r="D16" i="46"/>
  <c r="N24" i="46"/>
  <c r="E52" i="46"/>
  <c r="O24" i="46"/>
  <c r="D89" i="46" l="1"/>
  <c r="O17" i="46"/>
  <c r="D52" i="46"/>
  <c r="C52" i="46" s="1"/>
  <c r="N17" i="46"/>
  <c r="D50" i="46"/>
  <c r="D87" i="46"/>
  <c r="E50" i="46"/>
  <c r="E87" i="46"/>
  <c r="C89" i="46"/>
  <c r="N360" i="38"/>
  <c r="N359" i="38"/>
  <c r="O76" i="8"/>
  <c r="Q221" i="4"/>
  <c r="Q275" i="4"/>
  <c r="Q244" i="4"/>
  <c r="Q237" i="4"/>
  <c r="Q230" i="4"/>
  <c r="Q154" i="4"/>
  <c r="Q117" i="4"/>
  <c r="Q72" i="4"/>
  <c r="Q53" i="4"/>
  <c r="U174" i="4"/>
  <c r="Q37" i="4"/>
  <c r="P111" i="8"/>
  <c r="P65" i="8"/>
  <c r="N165" i="8"/>
  <c r="O77" i="8" l="1"/>
  <c r="C50" i="46"/>
  <c r="C87" i="46"/>
  <c r="N361" i="38"/>
  <c r="N362" i="38" l="1"/>
  <c r="N352" i="38"/>
  <c r="N353" i="38" s="1"/>
  <c r="E23" i="4" s="1"/>
  <c r="E107" i="42"/>
  <c r="D107" i="42"/>
  <c r="M102" i="42"/>
  <c r="L102" i="42"/>
  <c r="K102" i="42"/>
  <c r="J102" i="42"/>
  <c r="I102" i="42"/>
  <c r="H102" i="42"/>
  <c r="G102" i="42"/>
  <c r="E102" i="42"/>
  <c r="D102" i="42"/>
  <c r="M98" i="42"/>
  <c r="L98" i="42"/>
  <c r="K98" i="42"/>
  <c r="J98" i="42"/>
  <c r="I98" i="42"/>
  <c r="H98" i="42"/>
  <c r="G98" i="42"/>
  <c r="E98" i="42"/>
  <c r="D98" i="42"/>
  <c r="M97" i="42"/>
  <c r="L97" i="42"/>
  <c r="K97" i="42"/>
  <c r="J97" i="42"/>
  <c r="I97" i="42"/>
  <c r="H97" i="42"/>
  <c r="G97" i="42"/>
  <c r="E97" i="42"/>
  <c r="D97" i="42"/>
  <c r="F93" i="42"/>
  <c r="C93" i="42"/>
  <c r="D24" i="46"/>
  <c r="M103" i="42" l="1"/>
  <c r="E103" i="42"/>
  <c r="C107" i="42"/>
  <c r="C91" i="42"/>
  <c r="E24" i="46"/>
  <c r="I103" i="42"/>
  <c r="J18" i="8" s="1"/>
  <c r="J103" i="42"/>
  <c r="G103" i="42"/>
  <c r="K103" i="42"/>
  <c r="N18" i="8"/>
  <c r="F91" i="42"/>
  <c r="D103" i="42"/>
  <c r="H103" i="42"/>
  <c r="L103" i="42"/>
  <c r="M18" i="8" l="1"/>
  <c r="I18" i="8"/>
  <c r="K18" i="8"/>
  <c r="L18" i="8"/>
  <c r="H74" i="42"/>
  <c r="E172" i="4" l="1"/>
  <c r="E172" i="36" s="1"/>
  <c r="E160" i="36"/>
  <c r="E258" i="4" l="1"/>
  <c r="E258" i="36" s="1"/>
  <c r="E249" i="4"/>
  <c r="E249" i="36" s="1"/>
  <c r="E250" i="4"/>
  <c r="E250" i="36" s="1"/>
  <c r="E251" i="4"/>
  <c r="E251" i="36" s="1"/>
  <c r="E252" i="4"/>
  <c r="E252" i="36" s="1"/>
  <c r="E253" i="4"/>
  <c r="E253" i="36" s="1"/>
  <c r="E254" i="4"/>
  <c r="E254" i="36" s="1"/>
  <c r="E255" i="4"/>
  <c r="E255" i="36" s="1"/>
  <c r="E256" i="4"/>
  <c r="E256" i="36" s="1"/>
  <c r="E257" i="4"/>
  <c r="E257" i="36" s="1"/>
  <c r="E176" i="4"/>
  <c r="E175" i="4"/>
  <c r="E175" i="36" s="1"/>
  <c r="E171" i="4"/>
  <c r="A178" i="4"/>
  <c r="A180" i="4"/>
  <c r="E162" i="36"/>
  <c r="E166" i="36"/>
  <c r="E165" i="36"/>
  <c r="E164" i="36"/>
  <c r="E163" i="36"/>
  <c r="U171" i="4" l="1"/>
  <c r="E171" i="36"/>
  <c r="U176" i="4"/>
  <c r="E176" i="36"/>
  <c r="H160" i="4"/>
  <c r="E126" i="4" l="1"/>
  <c r="E126" i="36" s="1"/>
  <c r="E122" i="4"/>
  <c r="E122" i="36" s="1"/>
  <c r="E123" i="4"/>
  <c r="E123" i="36" s="1"/>
  <c r="E124" i="4"/>
  <c r="E124" i="36" s="1"/>
  <c r="E125" i="4"/>
  <c r="E125" i="36" s="1"/>
  <c r="E101" i="4"/>
  <c r="E101" i="36" s="1"/>
  <c r="E76" i="4"/>
  <c r="E76" i="36" s="1"/>
  <c r="E77" i="4"/>
  <c r="E77" i="36" s="1"/>
  <c r="E78" i="4"/>
  <c r="E78" i="36" s="1"/>
  <c r="E79" i="4"/>
  <c r="E79" i="36" s="1"/>
  <c r="E80" i="4"/>
  <c r="E80" i="36" s="1"/>
  <c r="E81" i="4"/>
  <c r="E81" i="36" s="1"/>
  <c r="E82" i="4"/>
  <c r="E82" i="36" s="1"/>
  <c r="E83" i="4"/>
  <c r="E83" i="36" s="1"/>
  <c r="E84" i="4"/>
  <c r="E84" i="36" s="1"/>
  <c r="E85" i="4"/>
  <c r="E85" i="36" s="1"/>
  <c r="E86" i="4"/>
  <c r="E86" i="36" s="1"/>
  <c r="E87" i="4"/>
  <c r="E87" i="36" s="1"/>
  <c r="E88" i="4"/>
  <c r="E88" i="36" s="1"/>
  <c r="E89" i="4"/>
  <c r="E89" i="36" s="1"/>
  <c r="E90" i="4"/>
  <c r="E90" i="36" s="1"/>
  <c r="E91" i="4"/>
  <c r="E91" i="36" s="1"/>
  <c r="E92" i="4"/>
  <c r="E92" i="36" s="1"/>
  <c r="E93" i="4"/>
  <c r="E93" i="36" s="1"/>
  <c r="E94" i="4"/>
  <c r="E94" i="36" s="1"/>
  <c r="E95" i="4"/>
  <c r="E95" i="36" s="1"/>
  <c r="E96" i="4"/>
  <c r="E96" i="36" s="1"/>
  <c r="E57" i="4"/>
  <c r="E57" i="36" s="1"/>
  <c r="E58" i="4"/>
  <c r="E58" i="36" s="1"/>
  <c r="E59" i="4"/>
  <c r="E59" i="36" s="1"/>
  <c r="E60" i="4"/>
  <c r="E60" i="36" s="1"/>
  <c r="E61" i="4"/>
  <c r="E61" i="36" s="1"/>
  <c r="E62" i="4"/>
  <c r="E62" i="36" s="1"/>
  <c r="E63" i="4"/>
  <c r="E64" i="4"/>
  <c r="E65" i="4"/>
  <c r="E66" i="4"/>
  <c r="E68" i="4"/>
  <c r="E69" i="4"/>
  <c r="E70" i="4"/>
  <c r="R60" i="4"/>
  <c r="E43" i="4"/>
  <c r="E44" i="4"/>
  <c r="E44" i="36" s="1"/>
  <c r="E45" i="4"/>
  <c r="E45" i="36" s="1"/>
  <c r="I59" i="4" l="1"/>
  <c r="G59" i="4"/>
  <c r="J59" i="4"/>
  <c r="J62" i="4"/>
  <c r="I62" i="4"/>
  <c r="G62" i="4"/>
  <c r="I61" i="4"/>
  <c r="G61" i="4"/>
  <c r="J61" i="4"/>
  <c r="K61" i="4"/>
  <c r="N125" i="4"/>
  <c r="U125" i="4" s="1"/>
  <c r="G60" i="4"/>
  <c r="I60" i="4"/>
  <c r="J60" i="4"/>
  <c r="F61" i="42" l="1"/>
  <c r="C61" i="42"/>
  <c r="E13" i="42"/>
  <c r="E27" i="42" s="1"/>
  <c r="D13" i="42"/>
  <c r="D27" i="42" s="1"/>
  <c r="E22" i="46" l="1"/>
  <c r="D22" i="46"/>
  <c r="E106" i="42"/>
  <c r="E108" i="42" s="1"/>
  <c r="F143" i="8"/>
  <c r="D106" i="42"/>
  <c r="D108" i="42" s="1"/>
  <c r="E143" i="8"/>
  <c r="E135" i="4"/>
  <c r="E134" i="4"/>
  <c r="E133" i="4"/>
  <c r="C289" i="36"/>
  <c r="C290" i="36"/>
  <c r="C291" i="36"/>
  <c r="C292" i="36"/>
  <c r="C293" i="36"/>
  <c r="E21" i="36"/>
  <c r="E138" i="4"/>
  <c r="E137" i="4"/>
  <c r="E136" i="4"/>
  <c r="D121" i="46" l="1"/>
  <c r="D134" i="46" s="1"/>
  <c r="E84" i="46"/>
  <c r="E100" i="46" s="1"/>
  <c r="E121" i="46"/>
  <c r="E134" i="46" s="1"/>
  <c r="C108" i="42"/>
  <c r="E47" i="46"/>
  <c r="E63" i="46" s="1"/>
  <c r="D84" i="46"/>
  <c r="D47" i="46"/>
  <c r="D63" i="46" s="1"/>
  <c r="C106" i="42"/>
  <c r="G143" i="8"/>
  <c r="E22" i="4"/>
  <c r="E292" i="4"/>
  <c r="E291" i="4"/>
  <c r="E290" i="4"/>
  <c r="E289" i="4"/>
  <c r="E288" i="4"/>
  <c r="D100" i="46" l="1"/>
  <c r="E292" i="36"/>
  <c r="E289" i="36"/>
  <c r="E290" i="36"/>
  <c r="E291" i="36"/>
  <c r="E121" i="4"/>
  <c r="E121" i="36" s="1"/>
  <c r="C299" i="36"/>
  <c r="B299" i="36"/>
  <c r="C298" i="36"/>
  <c r="B298" i="36"/>
  <c r="C297" i="36"/>
  <c r="B297" i="36"/>
  <c r="C296" i="36"/>
  <c r="B296" i="36"/>
  <c r="C300" i="36"/>
  <c r="C295" i="36"/>
  <c r="C288" i="36"/>
  <c r="C287" i="36"/>
  <c r="C278" i="36"/>
  <c r="C264" i="36"/>
  <c r="C262" i="36"/>
  <c r="C247" i="36"/>
  <c r="C246" i="36"/>
  <c r="C239" i="36"/>
  <c r="C232" i="36"/>
  <c r="C224" i="36"/>
  <c r="C243" i="36"/>
  <c r="B243" i="36"/>
  <c r="C242" i="36"/>
  <c r="B242" i="36"/>
  <c r="C241" i="36"/>
  <c r="B241" i="36"/>
  <c r="C240" i="36"/>
  <c r="B240" i="36"/>
  <c r="C236" i="36"/>
  <c r="B236" i="36"/>
  <c r="C235" i="36"/>
  <c r="B235" i="36"/>
  <c r="C234" i="36"/>
  <c r="B234" i="36"/>
  <c r="C233" i="36"/>
  <c r="B233" i="36"/>
  <c r="C229" i="36"/>
  <c r="B229" i="36"/>
  <c r="C228" i="36"/>
  <c r="B228" i="36"/>
  <c r="C227" i="36"/>
  <c r="B227" i="36"/>
  <c r="C226" i="36"/>
  <c r="B226" i="36"/>
  <c r="C225" i="36"/>
  <c r="B225" i="36"/>
  <c r="C209" i="36"/>
  <c r="C207" i="36"/>
  <c r="C196" i="36"/>
  <c r="C182" i="36"/>
  <c r="C181" i="36"/>
  <c r="C179" i="36"/>
  <c r="C177" i="36"/>
  <c r="C169" i="36"/>
  <c r="C167" i="36"/>
  <c r="C158" i="36"/>
  <c r="C157" i="36"/>
  <c r="C156" i="36"/>
  <c r="C206" i="36"/>
  <c r="B206" i="36"/>
  <c r="C205" i="36"/>
  <c r="B205" i="36"/>
  <c r="C204" i="36"/>
  <c r="B204" i="36"/>
  <c r="C203" i="36"/>
  <c r="B203" i="36"/>
  <c r="C202" i="36"/>
  <c r="B202" i="36"/>
  <c r="C201" i="36"/>
  <c r="B201" i="36"/>
  <c r="C200" i="36"/>
  <c r="B200" i="36"/>
  <c r="C199" i="36"/>
  <c r="B199" i="36"/>
  <c r="C198" i="36"/>
  <c r="B198" i="36"/>
  <c r="C197" i="36"/>
  <c r="B197" i="36"/>
  <c r="C193" i="36"/>
  <c r="B193" i="36"/>
  <c r="C192" i="36"/>
  <c r="B192" i="36"/>
  <c r="C191" i="36"/>
  <c r="B191" i="36"/>
  <c r="C190" i="36"/>
  <c r="B190" i="36"/>
  <c r="C189" i="36"/>
  <c r="B189" i="36"/>
  <c r="C188" i="36"/>
  <c r="B188" i="36"/>
  <c r="C187" i="36"/>
  <c r="B187" i="36"/>
  <c r="C186" i="36"/>
  <c r="B186" i="36"/>
  <c r="C185" i="36"/>
  <c r="B185" i="36"/>
  <c r="C184" i="36"/>
  <c r="B184" i="36"/>
  <c r="C183" i="36"/>
  <c r="B183" i="36"/>
  <c r="C141" i="36"/>
  <c r="C131" i="36"/>
  <c r="C129" i="36"/>
  <c r="C127" i="36"/>
  <c r="C119" i="36"/>
  <c r="C105" i="36"/>
  <c r="C104" i="36"/>
  <c r="C102" i="36"/>
  <c r="C98" i="36"/>
  <c r="C74" i="36"/>
  <c r="C72" i="36"/>
  <c r="C55" i="36"/>
  <c r="C71" i="36"/>
  <c r="B71" i="36"/>
  <c r="C70" i="36"/>
  <c r="B70" i="36"/>
  <c r="C69" i="36"/>
  <c r="B69" i="36"/>
  <c r="C68" i="36"/>
  <c r="B68" i="36"/>
  <c r="C67" i="36"/>
  <c r="B67" i="36"/>
  <c r="C66" i="36"/>
  <c r="B66" i="36"/>
  <c r="C65" i="36"/>
  <c r="B65" i="36"/>
  <c r="C64" i="36"/>
  <c r="B64" i="36"/>
  <c r="C63" i="36"/>
  <c r="B63" i="36"/>
  <c r="C62" i="36"/>
  <c r="B62" i="36"/>
  <c r="C61" i="36"/>
  <c r="B61" i="36"/>
  <c r="C59" i="36"/>
  <c r="B59" i="36"/>
  <c r="C58" i="36"/>
  <c r="B58" i="36"/>
  <c r="C57" i="36"/>
  <c r="B57" i="36"/>
  <c r="C56" i="36"/>
  <c r="B56" i="36"/>
  <c r="C46" i="36"/>
  <c r="C53" i="36"/>
  <c r="C52" i="36"/>
  <c r="B52" i="36"/>
  <c r="C51" i="36"/>
  <c r="B51" i="36"/>
  <c r="C50" i="36"/>
  <c r="B50" i="36"/>
  <c r="C49" i="36"/>
  <c r="B49" i="36"/>
  <c r="C41" i="36"/>
  <c r="A267" i="36"/>
  <c r="A213" i="36"/>
  <c r="A146" i="36"/>
  <c r="A109" i="36"/>
  <c r="A29" i="36"/>
  <c r="E31" i="46"/>
  <c r="A32" i="46"/>
  <c r="A12" i="45"/>
  <c r="A13" i="45" s="1"/>
  <c r="A14" i="45" s="1"/>
  <c r="A15" i="45" s="1"/>
  <c r="G58" i="45"/>
  <c r="G55" i="45"/>
  <c r="C58" i="45"/>
  <c r="C55" i="45"/>
  <c r="E19" i="46"/>
  <c r="D19" i="46"/>
  <c r="A3" i="46"/>
  <c r="A108" i="46" s="1"/>
  <c r="A1" i="46"/>
  <c r="A106" i="46" s="1"/>
  <c r="A3" i="45"/>
  <c r="A97" i="45" s="1"/>
  <c r="A3" i="44"/>
  <c r="A1" i="45"/>
  <c r="A95" i="45" s="1"/>
  <c r="D123" i="46" l="1"/>
  <c r="E123" i="46"/>
  <c r="C134" i="46"/>
  <c r="D40" i="46"/>
  <c r="E40" i="46"/>
  <c r="A3" i="4"/>
  <c r="A70" i="45"/>
  <c r="A41" i="45"/>
  <c r="A68" i="45"/>
  <c r="A33" i="46"/>
  <c r="A70" i="46"/>
  <c r="A31" i="46"/>
  <c r="A68" i="46"/>
  <c r="A16" i="45"/>
  <c r="A17" i="45" s="1"/>
  <c r="A18" i="45" s="1"/>
  <c r="A19" i="45" s="1"/>
  <c r="A20" i="45" s="1"/>
  <c r="A21" i="45" s="1"/>
  <c r="A43" i="45"/>
  <c r="A3" i="8"/>
  <c r="A3" i="36" s="1"/>
  <c r="A110" i="36" s="1"/>
  <c r="C11" i="46"/>
  <c r="C18" i="46"/>
  <c r="A10" i="46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C123" i="46" l="1"/>
  <c r="E77" i="46"/>
  <c r="E115" i="46"/>
  <c r="D77" i="46"/>
  <c r="F52" i="45" s="1"/>
  <c r="F63" i="45" s="1"/>
  <c r="D115" i="46"/>
  <c r="D19" i="45"/>
  <c r="D39" i="45" s="1"/>
  <c r="E106" i="45"/>
  <c r="D106" i="45"/>
  <c r="A24" i="46"/>
  <c r="A25" i="46" s="1"/>
  <c r="A26" i="46" s="1"/>
  <c r="A27" i="46" s="1"/>
  <c r="A28" i="46" s="1"/>
  <c r="A22" i="45"/>
  <c r="A214" i="36"/>
  <c r="A147" i="36"/>
  <c r="A268" i="36"/>
  <c r="C22" i="46"/>
  <c r="C121" i="46" s="1"/>
  <c r="C10" i="46"/>
  <c r="C12" i="46" s="1"/>
  <c r="D12" i="46"/>
  <c r="E12" i="46"/>
  <c r="C16" i="46"/>
  <c r="C19" i="46" s="1"/>
  <c r="D52" i="45" l="1"/>
  <c r="D63" i="45" s="1"/>
  <c r="D65" i="45" s="1"/>
  <c r="D66" i="45" s="1"/>
  <c r="C79" i="45"/>
  <c r="D79" i="45"/>
  <c r="D90" i="45" s="1"/>
  <c r="D92" i="45" s="1"/>
  <c r="D93" i="45" s="1"/>
  <c r="F79" i="45"/>
  <c r="F90" i="45" s="1"/>
  <c r="F19" i="45"/>
  <c r="F39" i="45" s="1"/>
  <c r="F65" i="45" s="1"/>
  <c r="F66" i="45" s="1"/>
  <c r="E19" i="45"/>
  <c r="E52" i="45"/>
  <c r="F106" i="45"/>
  <c r="C106" i="45"/>
  <c r="C52" i="45"/>
  <c r="N19" i="45"/>
  <c r="N39" i="45" s="1"/>
  <c r="H19" i="45"/>
  <c r="H39" i="45" s="1"/>
  <c r="M19" i="45"/>
  <c r="I19" i="45"/>
  <c r="I39" i="45" s="1"/>
  <c r="L19" i="45"/>
  <c r="L39" i="45" s="1"/>
  <c r="K19" i="45"/>
  <c r="J19" i="45"/>
  <c r="J39" i="45" s="1"/>
  <c r="G19" i="45"/>
  <c r="C19" i="45"/>
  <c r="E79" i="45"/>
  <c r="E91" i="46"/>
  <c r="E96" i="46" s="1"/>
  <c r="D91" i="46"/>
  <c r="D97" i="46" s="1"/>
  <c r="C47" i="46"/>
  <c r="C84" i="46"/>
  <c r="A23" i="45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29" i="46"/>
  <c r="F92" i="45" l="1"/>
  <c r="F93" i="45" s="1"/>
  <c r="N52" i="45"/>
  <c r="N63" i="45" s="1"/>
  <c r="N65" i="45" s="1"/>
  <c r="N66" i="45" s="1"/>
  <c r="N79" i="45"/>
  <c r="N90" i="45" s="1"/>
  <c r="N92" i="45" s="1"/>
  <c r="N93" i="45" s="1"/>
  <c r="M52" i="45"/>
  <c r="M79" i="45"/>
  <c r="M90" i="45" s="1"/>
  <c r="M106" i="45"/>
  <c r="N106" i="45"/>
  <c r="M39" i="45"/>
  <c r="L79" i="45"/>
  <c r="L90" i="45" s="1"/>
  <c r="L92" i="45" s="1"/>
  <c r="L93" i="45" s="1"/>
  <c r="L106" i="45"/>
  <c r="K106" i="45"/>
  <c r="L52" i="45"/>
  <c r="L63" i="45" s="1"/>
  <c r="L65" i="45" s="1"/>
  <c r="L66" i="45" s="1"/>
  <c r="K79" i="45"/>
  <c r="K52" i="45"/>
  <c r="J52" i="45"/>
  <c r="J63" i="45" s="1"/>
  <c r="J65" i="45" s="1"/>
  <c r="J66" i="45" s="1"/>
  <c r="J106" i="45"/>
  <c r="I106" i="45"/>
  <c r="I52" i="45"/>
  <c r="I63" i="45" s="1"/>
  <c r="I65" i="45" s="1"/>
  <c r="I66" i="45" s="1"/>
  <c r="J79" i="45"/>
  <c r="J90" i="45" s="1"/>
  <c r="J92" i="45" s="1"/>
  <c r="J93" i="45" s="1"/>
  <c r="I79" i="45"/>
  <c r="I90" i="45" s="1"/>
  <c r="I92" i="45" s="1"/>
  <c r="I93" i="45" s="1"/>
  <c r="G39" i="45"/>
  <c r="G79" i="45"/>
  <c r="H52" i="45"/>
  <c r="H63" i="45" s="1"/>
  <c r="H65" i="45" s="1"/>
  <c r="H66" i="45" s="1"/>
  <c r="H79" i="45"/>
  <c r="H90" i="45" s="1"/>
  <c r="H92" i="45" s="1"/>
  <c r="H93" i="45" s="1"/>
  <c r="G52" i="45"/>
  <c r="H106" i="45"/>
  <c r="G106" i="45"/>
  <c r="D96" i="46"/>
  <c r="C91" i="46"/>
  <c r="C96" i="46" s="1"/>
  <c r="E97" i="46"/>
  <c r="G16" i="45"/>
  <c r="G90" i="45" s="1"/>
  <c r="A39" i="46"/>
  <c r="C63" i="46"/>
  <c r="G92" i="45" l="1"/>
  <c r="G93" i="45" s="1"/>
  <c r="M92" i="45"/>
  <c r="M93" i="45" s="1"/>
  <c r="C97" i="46"/>
  <c r="C16" i="45"/>
  <c r="C90" i="45" s="1"/>
  <c r="C39" i="45"/>
  <c r="E16" i="45"/>
  <c r="E39" i="45" s="1"/>
  <c r="K16" i="45"/>
  <c r="K90" i="45" s="1"/>
  <c r="A40" i="46"/>
  <c r="E90" i="45" l="1"/>
  <c r="E92" i="45" s="1"/>
  <c r="E93" i="45" s="1"/>
  <c r="E63" i="45"/>
  <c r="E65" i="45" s="1"/>
  <c r="E66" i="45" s="1"/>
  <c r="K39" i="45"/>
  <c r="C92" i="45"/>
  <c r="A41" i="46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K92" i="45" l="1"/>
  <c r="K93" i="45" s="1"/>
  <c r="C93" i="45"/>
  <c r="A53" i="46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76" i="46" s="1"/>
  <c r="A77" i="46" s="1"/>
  <c r="A78" i="46" s="1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94" i="46" s="1"/>
  <c r="A95" i="46" s="1"/>
  <c r="A96" i="46" s="1"/>
  <c r="A97" i="46" s="1"/>
  <c r="A98" i="46" s="1"/>
  <c r="A99" i="46" s="1"/>
  <c r="A100" i="46" s="1"/>
  <c r="A101" i="46" s="1"/>
  <c r="A102" i="46" s="1"/>
  <c r="A103" i="46" s="1"/>
  <c r="A1" i="44"/>
  <c r="A10" i="44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114" i="46" l="1"/>
  <c r="A115" i="46" s="1"/>
  <c r="A116" i="46" s="1"/>
  <c r="A117" i="46" s="1"/>
  <c r="A118" i="46" s="1"/>
  <c r="A119" i="46" s="1"/>
  <c r="A120" i="46" s="1"/>
  <c r="A121" i="46" s="1"/>
  <c r="A122" i="46" s="1"/>
  <c r="A123" i="46" s="1"/>
  <c r="A124" i="46" s="1"/>
  <c r="A125" i="46" s="1"/>
  <c r="A126" i="46" s="1"/>
  <c r="A127" i="46" s="1"/>
  <c r="A128" i="46" s="1"/>
  <c r="A129" i="46" s="1"/>
  <c r="A130" i="46" s="1"/>
  <c r="A131" i="46" s="1"/>
  <c r="A132" i="46" s="1"/>
  <c r="A133" i="46" s="1"/>
  <c r="A134" i="46" s="1"/>
  <c r="A135" i="46" s="1"/>
  <c r="A136" i="46" s="1"/>
  <c r="A137" i="46" s="1"/>
  <c r="P25" i="8"/>
  <c r="A51" i="45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N147" i="8" l="1"/>
  <c r="A191" i="8" l="1"/>
  <c r="A1" i="8"/>
  <c r="A41" i="8" s="1"/>
  <c r="A1" i="4"/>
  <c r="A1" i="36" s="1"/>
  <c r="R61" i="4"/>
  <c r="R63" i="4"/>
  <c r="R62" i="4"/>
  <c r="R57" i="4"/>
  <c r="R58" i="4"/>
  <c r="R59" i="4"/>
  <c r="R56" i="4"/>
  <c r="A212" i="36" l="1"/>
  <c r="A266" i="36"/>
  <c r="A108" i="36"/>
  <c r="A145" i="36"/>
  <c r="A131" i="8"/>
  <c r="A189" i="8"/>
  <c r="A43" i="8"/>
  <c r="A87" i="8"/>
  <c r="A89" i="8"/>
  <c r="A129" i="8"/>
  <c r="B2" i="43" l="1"/>
  <c r="R71" i="4"/>
  <c r="G13" i="43"/>
  <c r="R49" i="4" l="1"/>
  <c r="R52" i="4"/>
  <c r="R50" i="4"/>
  <c r="H61" i="4"/>
  <c r="H59" i="4"/>
  <c r="H62" i="4"/>
  <c r="H60" i="4"/>
  <c r="R51" i="4"/>
  <c r="E282" i="4"/>
  <c r="E281" i="4"/>
  <c r="E280" i="4"/>
  <c r="E279" i="4"/>
  <c r="E297" i="36"/>
  <c r="E259" i="4"/>
  <c r="E248" i="4"/>
  <c r="E243" i="4"/>
  <c r="E242" i="4"/>
  <c r="E241" i="4"/>
  <c r="E240" i="4"/>
  <c r="E236" i="4"/>
  <c r="E235" i="4"/>
  <c r="E234" i="4"/>
  <c r="E233" i="4"/>
  <c r="E229" i="4"/>
  <c r="E228" i="4"/>
  <c r="E227" i="4"/>
  <c r="E226" i="4"/>
  <c r="E225" i="4"/>
  <c r="E206" i="4"/>
  <c r="E205" i="4"/>
  <c r="E204" i="4"/>
  <c r="E203" i="4"/>
  <c r="E202" i="4"/>
  <c r="E201" i="4"/>
  <c r="E200" i="4"/>
  <c r="E199" i="4"/>
  <c r="E198" i="4"/>
  <c r="E197" i="4"/>
  <c r="E193" i="4"/>
  <c r="E192" i="4"/>
  <c r="E191" i="4"/>
  <c r="E190" i="4"/>
  <c r="E189" i="4"/>
  <c r="E188" i="4"/>
  <c r="E187" i="4"/>
  <c r="E186" i="4"/>
  <c r="E185" i="4"/>
  <c r="E184" i="4"/>
  <c r="E183" i="4"/>
  <c r="E183" i="36" s="1"/>
  <c r="E170" i="4"/>
  <c r="E159" i="36"/>
  <c r="E100" i="4"/>
  <c r="E97" i="4"/>
  <c r="E75" i="4"/>
  <c r="E71" i="4"/>
  <c r="E69" i="36"/>
  <c r="E67" i="36"/>
  <c r="E68" i="36"/>
  <c r="E66" i="36"/>
  <c r="E65" i="36"/>
  <c r="E64" i="36"/>
  <c r="E56" i="4"/>
  <c r="E50" i="4"/>
  <c r="E51" i="4"/>
  <c r="E52" i="4"/>
  <c r="E49" i="4"/>
  <c r="A40" i="4"/>
  <c r="A47" i="4"/>
  <c r="E43" i="36"/>
  <c r="E42" i="4"/>
  <c r="U60" i="4" l="1"/>
  <c r="U62" i="4"/>
  <c r="U59" i="4"/>
  <c r="U61" i="4"/>
  <c r="E188" i="36"/>
  <c r="Q188" i="4"/>
  <c r="E199" i="36"/>
  <c r="Q199" i="4"/>
  <c r="E203" i="36"/>
  <c r="Q203" i="4"/>
  <c r="E229" i="36"/>
  <c r="E243" i="36"/>
  <c r="E282" i="36"/>
  <c r="E42" i="36"/>
  <c r="G50" i="4"/>
  <c r="H50" i="4"/>
  <c r="E177" i="4"/>
  <c r="E185" i="36"/>
  <c r="E189" i="36"/>
  <c r="Q189" i="4"/>
  <c r="E193" i="36"/>
  <c r="E200" i="36"/>
  <c r="E204" i="36"/>
  <c r="E226" i="36"/>
  <c r="E233" i="36"/>
  <c r="E240" i="36"/>
  <c r="Q173" i="4"/>
  <c r="Q161" i="4"/>
  <c r="Q172" i="4"/>
  <c r="Q175" i="4" s="1"/>
  <c r="Q163" i="4"/>
  <c r="Q162" i="4"/>
  <c r="Q164" i="4"/>
  <c r="Q159" i="4" s="1"/>
  <c r="E97" i="36"/>
  <c r="E184" i="36"/>
  <c r="E192" i="36"/>
  <c r="E225" i="36"/>
  <c r="E236" i="36"/>
  <c r="E296" i="36"/>
  <c r="E279" i="36"/>
  <c r="H49" i="4"/>
  <c r="G49" i="4"/>
  <c r="J56" i="4"/>
  <c r="G56" i="4"/>
  <c r="H56" i="4"/>
  <c r="I56" i="4"/>
  <c r="E75" i="36"/>
  <c r="E186" i="36"/>
  <c r="Q186" i="4"/>
  <c r="E190" i="36"/>
  <c r="E197" i="36"/>
  <c r="E201" i="36"/>
  <c r="Q201" i="4"/>
  <c r="E205" i="36"/>
  <c r="E227" i="36"/>
  <c r="E234" i="36"/>
  <c r="E241" i="36"/>
  <c r="E298" i="36"/>
  <c r="E280" i="36"/>
  <c r="H52" i="4"/>
  <c r="G52" i="4"/>
  <c r="E187" i="36"/>
  <c r="Q187" i="4"/>
  <c r="E191" i="36"/>
  <c r="E198" i="36"/>
  <c r="Q198" i="4"/>
  <c r="E202" i="36"/>
  <c r="Q202" i="4"/>
  <c r="E206" i="36"/>
  <c r="E228" i="36"/>
  <c r="E235" i="36"/>
  <c r="E242" i="36"/>
  <c r="E259" i="36"/>
  <c r="E281" i="36"/>
  <c r="H51" i="4"/>
  <c r="G51" i="4"/>
  <c r="L173" i="4"/>
  <c r="N173" i="4"/>
  <c r="M161" i="4"/>
  <c r="O161" i="4"/>
  <c r="N160" i="4"/>
  <c r="K163" i="4"/>
  <c r="O163" i="4"/>
  <c r="K173" i="4"/>
  <c r="N162" i="4"/>
  <c r="F161" i="4"/>
  <c r="M160" i="4"/>
  <c r="L163" i="4"/>
  <c r="I163" i="4"/>
  <c r="P163" i="4"/>
  <c r="J173" i="4"/>
  <c r="M173" i="4"/>
  <c r="L161" i="4"/>
  <c r="N161" i="4"/>
  <c r="L160" i="4"/>
  <c r="I173" i="4"/>
  <c r="F173" i="4"/>
  <c r="M162" i="4"/>
  <c r="K161" i="4"/>
  <c r="K160" i="4"/>
  <c r="M163" i="4"/>
  <c r="P173" i="4"/>
  <c r="I162" i="4"/>
  <c r="F162" i="4"/>
  <c r="J161" i="4"/>
  <c r="J160" i="4"/>
  <c r="F163" i="4"/>
  <c r="J162" i="4"/>
  <c r="P162" i="4"/>
  <c r="L162" i="4"/>
  <c r="I161" i="4"/>
  <c r="O160" i="4"/>
  <c r="I160" i="4"/>
  <c r="N163" i="4"/>
  <c r="O162" i="4"/>
  <c r="O173" i="4"/>
  <c r="K162" i="4"/>
  <c r="P161" i="4"/>
  <c r="F160" i="4"/>
  <c r="J163" i="4"/>
  <c r="E248" i="36"/>
  <c r="E260" i="4"/>
  <c r="E167" i="4"/>
  <c r="A41" i="4"/>
  <c r="A42" i="4" s="1"/>
  <c r="A43" i="4" s="1"/>
  <c r="E170" i="36"/>
  <c r="E284" i="36"/>
  <c r="E299" i="36"/>
  <c r="E70" i="36"/>
  <c r="I57" i="4"/>
  <c r="J57" i="4"/>
  <c r="H57" i="4"/>
  <c r="G57" i="4"/>
  <c r="E49" i="36"/>
  <c r="E102" i="4"/>
  <c r="E100" i="36"/>
  <c r="E52" i="36"/>
  <c r="H58" i="4"/>
  <c r="J58" i="4"/>
  <c r="I58" i="4"/>
  <c r="G58" i="4"/>
  <c r="E51" i="36"/>
  <c r="E50" i="36"/>
  <c r="E63" i="36"/>
  <c r="G63" i="4"/>
  <c r="H63" i="4"/>
  <c r="J63" i="4"/>
  <c r="I63" i="4"/>
  <c r="E71" i="36"/>
  <c r="K71" i="4"/>
  <c r="J71" i="4"/>
  <c r="I71" i="4"/>
  <c r="E56" i="36"/>
  <c r="E98" i="4"/>
  <c r="U52" i="4" l="1"/>
  <c r="U49" i="4"/>
  <c r="U71" i="4"/>
  <c r="U56" i="4"/>
  <c r="U57" i="4"/>
  <c r="U50" i="4"/>
  <c r="U63" i="4"/>
  <c r="U51" i="4"/>
  <c r="Q165" i="4"/>
  <c r="Q166" i="4"/>
  <c r="U58" i="4"/>
  <c r="E300" i="36"/>
  <c r="U160" i="4"/>
  <c r="Q170" i="4"/>
  <c r="Q177" i="4" s="1"/>
  <c r="G162" i="4"/>
  <c r="G161" i="4"/>
  <c r="G163" i="4"/>
  <c r="G173" i="4"/>
  <c r="H163" i="4"/>
  <c r="H161" i="4"/>
  <c r="H173" i="4"/>
  <c r="H162" i="4"/>
  <c r="A44" i="4"/>
  <c r="A45" i="4" s="1"/>
  <c r="E285" i="36"/>
  <c r="E104" i="4"/>
  <c r="E102" i="36"/>
  <c r="U173" i="4" l="1"/>
  <c r="Q167" i="4"/>
  <c r="Q179" i="4" s="1"/>
  <c r="U163" i="4"/>
  <c r="U161" i="4"/>
  <c r="U162" i="4"/>
  <c r="A46" i="4"/>
  <c r="A48" i="4" s="1"/>
  <c r="C87" i="42"/>
  <c r="F86" i="42"/>
  <c r="C86" i="42"/>
  <c r="F85" i="42"/>
  <c r="C85" i="42"/>
  <c r="F84" i="42"/>
  <c r="C84" i="42"/>
  <c r="F83" i="42"/>
  <c r="C83" i="42"/>
  <c r="F82" i="42"/>
  <c r="C82" i="42"/>
  <c r="F81" i="42"/>
  <c r="C81" i="42"/>
  <c r="F80" i="42"/>
  <c r="C80" i="42"/>
  <c r="F79" i="42"/>
  <c r="C79" i="42"/>
  <c r="M74" i="42"/>
  <c r="L74" i="42"/>
  <c r="K74" i="42"/>
  <c r="J74" i="42"/>
  <c r="I74" i="42"/>
  <c r="D74" i="42"/>
  <c r="D23" i="46" s="1"/>
  <c r="D135" i="46" s="1"/>
  <c r="F73" i="42"/>
  <c r="F102" i="42" s="1"/>
  <c r="C73" i="42"/>
  <c r="C102" i="42" s="1"/>
  <c r="F72" i="42"/>
  <c r="C72" i="42"/>
  <c r="F71" i="42"/>
  <c r="F97" i="42" s="1"/>
  <c r="C71" i="42"/>
  <c r="C97" i="42" s="1"/>
  <c r="F70" i="42"/>
  <c r="C70" i="42"/>
  <c r="F69" i="42"/>
  <c r="C69" i="42"/>
  <c r="F68" i="42"/>
  <c r="C68" i="42"/>
  <c r="F67" i="42"/>
  <c r="C67" i="42"/>
  <c r="F60" i="42"/>
  <c r="C60" i="42"/>
  <c r="F59" i="42"/>
  <c r="C59" i="42"/>
  <c r="M42" i="42"/>
  <c r="L42" i="42"/>
  <c r="K42" i="42"/>
  <c r="J42" i="42"/>
  <c r="I42" i="42"/>
  <c r="H42" i="42"/>
  <c r="G42" i="42"/>
  <c r="F41" i="42"/>
  <c r="C41" i="42"/>
  <c r="F40" i="42"/>
  <c r="E42" i="42"/>
  <c r="D42" i="42"/>
  <c r="F39" i="42"/>
  <c r="C39" i="42"/>
  <c r="M33" i="42"/>
  <c r="L33" i="42"/>
  <c r="K33" i="42"/>
  <c r="J33" i="42"/>
  <c r="I33" i="42"/>
  <c r="H33" i="42"/>
  <c r="G33" i="42"/>
  <c r="D33" i="42"/>
  <c r="F32" i="42"/>
  <c r="C32" i="42"/>
  <c r="F31" i="42"/>
  <c r="E33" i="42"/>
  <c r="C31" i="42"/>
  <c r="F30" i="42"/>
  <c r="C30" i="42"/>
  <c r="M23" i="42"/>
  <c r="N186" i="8" s="1"/>
  <c r="L23" i="42"/>
  <c r="K23" i="42"/>
  <c r="L155" i="8" s="1"/>
  <c r="L146" i="8" s="1"/>
  <c r="J23" i="42"/>
  <c r="K155" i="8" s="1"/>
  <c r="I23" i="42"/>
  <c r="J155" i="8" s="1"/>
  <c r="H23" i="42"/>
  <c r="I155" i="8" s="1"/>
  <c r="G23" i="42"/>
  <c r="H155" i="8" s="1"/>
  <c r="F22" i="42"/>
  <c r="C22" i="42"/>
  <c r="F21" i="42"/>
  <c r="C21" i="42"/>
  <c r="C20" i="42"/>
  <c r="D23" i="42"/>
  <c r="E155" i="8" s="1"/>
  <c r="E147" i="8" s="1"/>
  <c r="F19" i="42"/>
  <c r="C19" i="42"/>
  <c r="F18" i="42"/>
  <c r="C18" i="42"/>
  <c r="E15" i="42"/>
  <c r="M13" i="42"/>
  <c r="M15" i="42" s="1"/>
  <c r="L13" i="42"/>
  <c r="L15" i="42" s="1"/>
  <c r="K13" i="42"/>
  <c r="K15" i="42" s="1"/>
  <c r="J13" i="42"/>
  <c r="J15" i="42" s="1"/>
  <c r="K163" i="8" s="1"/>
  <c r="K165" i="8" s="1"/>
  <c r="I13" i="42"/>
  <c r="H13" i="42"/>
  <c r="G13" i="42"/>
  <c r="G15" i="42" s="1"/>
  <c r="D15" i="42"/>
  <c r="C13" i="42"/>
  <c r="F12" i="42"/>
  <c r="C12" i="42"/>
  <c r="F11" i="42"/>
  <c r="C11" i="42"/>
  <c r="F10" i="42"/>
  <c r="C10" i="42"/>
  <c r="K159" i="8" l="1"/>
  <c r="K147" i="8"/>
  <c r="H159" i="8"/>
  <c r="H147" i="8"/>
  <c r="I159" i="8"/>
  <c r="I147" i="8"/>
  <c r="I151" i="8" s="1"/>
  <c r="E159" i="8"/>
  <c r="J159" i="8"/>
  <c r="J147" i="8"/>
  <c r="C96" i="42"/>
  <c r="F96" i="42"/>
  <c r="K106" i="42"/>
  <c r="K108" i="42" s="1"/>
  <c r="L16" i="8" s="1"/>
  <c r="L143" i="8"/>
  <c r="J106" i="42"/>
  <c r="J108" i="42" s="1"/>
  <c r="K16" i="8" s="1"/>
  <c r="K143" i="8"/>
  <c r="L169" i="8"/>
  <c r="L163" i="8"/>
  <c r="L106" i="42"/>
  <c r="L108" i="42" s="1"/>
  <c r="M16" i="8" s="1"/>
  <c r="M143" i="8"/>
  <c r="E35" i="42"/>
  <c r="E36" i="42" s="1"/>
  <c r="F163" i="8"/>
  <c r="F165" i="8" s="1"/>
  <c r="G106" i="42"/>
  <c r="G108" i="42" s="1"/>
  <c r="H143" i="8"/>
  <c r="M169" i="8"/>
  <c r="M186" i="8" s="1"/>
  <c r="M163" i="8"/>
  <c r="M106" i="42"/>
  <c r="M108" i="42" s="1"/>
  <c r="N16" i="8" s="1"/>
  <c r="N143" i="8"/>
  <c r="H169" i="8"/>
  <c r="H163" i="8"/>
  <c r="H106" i="42"/>
  <c r="H108" i="42" s="1"/>
  <c r="I143" i="8"/>
  <c r="C98" i="42"/>
  <c r="E169" i="8"/>
  <c r="E163" i="8"/>
  <c r="I106" i="42"/>
  <c r="I108" i="42" s="1"/>
  <c r="J16" i="8" s="1"/>
  <c r="J143" i="8"/>
  <c r="N181" i="8"/>
  <c r="N183" i="8" s="1"/>
  <c r="K169" i="8"/>
  <c r="F98" i="42"/>
  <c r="I27" i="42"/>
  <c r="F42" i="42"/>
  <c r="C42" i="42"/>
  <c r="H27" i="42"/>
  <c r="F33" i="42"/>
  <c r="F23" i="42"/>
  <c r="K44" i="42"/>
  <c r="K45" i="42" s="1"/>
  <c r="J27" i="42"/>
  <c r="L27" i="42"/>
  <c r="K26" i="42"/>
  <c r="I15" i="42"/>
  <c r="J163" i="8" s="1"/>
  <c r="J165" i="8" s="1"/>
  <c r="K27" i="42"/>
  <c r="F13" i="42"/>
  <c r="E102" i="46"/>
  <c r="D102" i="46"/>
  <c r="F169" i="8"/>
  <c r="N171" i="8"/>
  <c r="N175" i="8"/>
  <c r="N177" i="8" s="1"/>
  <c r="C64" i="42"/>
  <c r="C33" i="42"/>
  <c r="J44" i="42"/>
  <c r="J45" i="42" s="1"/>
  <c r="J35" i="42"/>
  <c r="J36" i="42" s="1"/>
  <c r="D26" i="42"/>
  <c r="L26" i="42"/>
  <c r="L35" i="42"/>
  <c r="L36" i="42" s="1"/>
  <c r="L44" i="42"/>
  <c r="L45" i="42" s="1"/>
  <c r="C15" i="42"/>
  <c r="D35" i="42"/>
  <c r="D44" i="42"/>
  <c r="D45" i="42" s="1"/>
  <c r="G35" i="42"/>
  <c r="G36" i="42" s="1"/>
  <c r="G44" i="42"/>
  <c r="G45" i="42" s="1"/>
  <c r="G26" i="42"/>
  <c r="F64" i="42"/>
  <c r="G27" i="42"/>
  <c r="K35" i="42"/>
  <c r="K36" i="42" s="1"/>
  <c r="M44" i="42"/>
  <c r="E74" i="42"/>
  <c r="E23" i="46" s="1"/>
  <c r="E135" i="46" s="1"/>
  <c r="C135" i="46" s="1"/>
  <c r="H15" i="42"/>
  <c r="E23" i="42"/>
  <c r="F155" i="8" s="1"/>
  <c r="J26" i="42"/>
  <c r="E44" i="42"/>
  <c r="E45" i="42" s="1"/>
  <c r="M35" i="42"/>
  <c r="G74" i="42"/>
  <c r="C40" i="42"/>
  <c r="P110" i="8"/>
  <c r="P109" i="8"/>
  <c r="P105" i="8"/>
  <c r="P64" i="8"/>
  <c r="P59" i="8"/>
  <c r="P63" i="8"/>
  <c r="M138" i="8"/>
  <c r="L138" i="8"/>
  <c r="K138" i="8"/>
  <c r="J138" i="8"/>
  <c r="I138" i="8"/>
  <c r="H138" i="8"/>
  <c r="G138" i="8"/>
  <c r="F138" i="8"/>
  <c r="E138" i="8"/>
  <c r="D138" i="8"/>
  <c r="M137" i="8"/>
  <c r="L137" i="8"/>
  <c r="K137" i="8"/>
  <c r="J137" i="8"/>
  <c r="G137" i="8"/>
  <c r="F137" i="8"/>
  <c r="E137" i="8"/>
  <c r="D137" i="8"/>
  <c r="H136" i="8"/>
  <c r="M96" i="8"/>
  <c r="L96" i="8"/>
  <c r="K96" i="8"/>
  <c r="J96" i="8"/>
  <c r="I96" i="8"/>
  <c r="H96" i="8"/>
  <c r="G96" i="8"/>
  <c r="F96" i="8"/>
  <c r="E96" i="8"/>
  <c r="D96" i="8"/>
  <c r="M95" i="8"/>
  <c r="L95" i="8"/>
  <c r="K95" i="8"/>
  <c r="J95" i="8"/>
  <c r="G95" i="8"/>
  <c r="F95" i="8"/>
  <c r="E95" i="8"/>
  <c r="D95" i="8"/>
  <c r="H94" i="8"/>
  <c r="M49" i="8"/>
  <c r="N100" i="4"/>
  <c r="U100" i="4" s="1"/>
  <c r="E23" i="36"/>
  <c r="E288" i="36"/>
  <c r="M205" i="4"/>
  <c r="U205" i="4" s="1"/>
  <c r="L204" i="4"/>
  <c r="U204" i="4" s="1"/>
  <c r="K203" i="4"/>
  <c r="N198" i="4"/>
  <c r="N235" i="4"/>
  <c r="P244" i="4"/>
  <c r="O244" i="4"/>
  <c r="M244" i="4"/>
  <c r="L244" i="4"/>
  <c r="K244" i="4"/>
  <c r="I244" i="4"/>
  <c r="H244" i="4"/>
  <c r="G244" i="4"/>
  <c r="F244" i="4"/>
  <c r="N243" i="4"/>
  <c r="J242" i="4"/>
  <c r="N241" i="4"/>
  <c r="N240" i="4"/>
  <c r="P237" i="4"/>
  <c r="O237" i="4"/>
  <c r="M237" i="4"/>
  <c r="L237" i="4"/>
  <c r="K237" i="4"/>
  <c r="I237" i="4"/>
  <c r="H237" i="4"/>
  <c r="G237" i="4"/>
  <c r="F237" i="4"/>
  <c r="P230" i="4"/>
  <c r="O230" i="4"/>
  <c r="M230" i="4"/>
  <c r="L230" i="4"/>
  <c r="K230" i="4"/>
  <c r="J230" i="4"/>
  <c r="I230" i="4"/>
  <c r="H230" i="4"/>
  <c r="G230" i="4"/>
  <c r="F230" i="4"/>
  <c r="N229" i="4"/>
  <c r="U229" i="4" s="1"/>
  <c r="N228" i="4"/>
  <c r="U228" i="4" s="1"/>
  <c r="N227" i="4"/>
  <c r="U227" i="4" s="1"/>
  <c r="L191" i="4"/>
  <c r="U191" i="4" s="1"/>
  <c r="M190" i="4"/>
  <c r="U190" i="4" s="1"/>
  <c r="N187" i="4"/>
  <c r="I185" i="4"/>
  <c r="J184" i="4"/>
  <c r="U184" i="4" s="1"/>
  <c r="N172" i="4"/>
  <c r="N175" i="4" s="1"/>
  <c r="E140" i="36"/>
  <c r="E139" i="36"/>
  <c r="E137" i="36"/>
  <c r="E136" i="36"/>
  <c r="E135" i="36"/>
  <c r="E134" i="36"/>
  <c r="L70" i="4"/>
  <c r="M67" i="4"/>
  <c r="M65" i="4"/>
  <c r="E82" i="8"/>
  <c r="F82" i="8"/>
  <c r="G82" i="8"/>
  <c r="A78" i="8"/>
  <c r="E125" i="8"/>
  <c r="F125" i="8"/>
  <c r="G125" i="8"/>
  <c r="R122" i="8"/>
  <c r="R126" i="8"/>
  <c r="E22" i="36"/>
  <c r="A83" i="8"/>
  <c r="A126" i="8"/>
  <c r="A294" i="4"/>
  <c r="A294" i="36"/>
  <c r="O138" i="8"/>
  <c r="O137" i="8"/>
  <c r="O136" i="8"/>
  <c r="O96" i="8"/>
  <c r="O95" i="8"/>
  <c r="O94" i="8"/>
  <c r="O50" i="8"/>
  <c r="O49" i="8"/>
  <c r="O48" i="8"/>
  <c r="R185" i="8"/>
  <c r="R180" i="8"/>
  <c r="R179" i="8"/>
  <c r="R176" i="8"/>
  <c r="R174" i="8"/>
  <c r="R173" i="8"/>
  <c r="R168" i="8"/>
  <c r="R149" i="8"/>
  <c r="R146" i="8"/>
  <c r="R145" i="8"/>
  <c r="R119" i="8"/>
  <c r="R117" i="8"/>
  <c r="R115" i="8"/>
  <c r="R113" i="8"/>
  <c r="R108" i="8"/>
  <c r="R107" i="8"/>
  <c r="R103" i="8"/>
  <c r="R102" i="8"/>
  <c r="R83" i="8"/>
  <c r="R78" i="8"/>
  <c r="R74" i="8"/>
  <c r="R73" i="8"/>
  <c r="R71" i="8"/>
  <c r="R69" i="8"/>
  <c r="R67" i="8"/>
  <c r="R62" i="8"/>
  <c r="R61" i="8"/>
  <c r="R57" i="8"/>
  <c r="R56" i="8"/>
  <c r="R21" i="8"/>
  <c r="R24" i="8"/>
  <c r="S168" i="36"/>
  <c r="S169" i="36"/>
  <c r="S261" i="36"/>
  <c r="A307" i="36"/>
  <c r="A306" i="36"/>
  <c r="A305" i="36"/>
  <c r="A304" i="36"/>
  <c r="A303" i="36"/>
  <c r="A302" i="36"/>
  <c r="A301" i="36"/>
  <c r="A286" i="36"/>
  <c r="A277" i="36"/>
  <c r="A265" i="36"/>
  <c r="A263" i="36"/>
  <c r="A245" i="36"/>
  <c r="A238" i="36"/>
  <c r="A231" i="36"/>
  <c r="A223" i="36"/>
  <c r="A168" i="36"/>
  <c r="A156" i="36"/>
  <c r="A142" i="36"/>
  <c r="A118" i="36"/>
  <c r="A73" i="36"/>
  <c r="A54" i="36"/>
  <c r="A47" i="36"/>
  <c r="A40" i="36"/>
  <c r="A39" i="36"/>
  <c r="A27" i="36"/>
  <c r="A26" i="36"/>
  <c r="A17" i="36"/>
  <c r="A15" i="36"/>
  <c r="A13" i="36"/>
  <c r="A12" i="36"/>
  <c r="A30" i="36"/>
  <c r="A213" i="4"/>
  <c r="P104" i="8"/>
  <c r="P58" i="8"/>
  <c r="A145" i="8"/>
  <c r="A120" i="4"/>
  <c r="R266" i="4"/>
  <c r="R212" i="4"/>
  <c r="R145" i="4"/>
  <c r="R108" i="4"/>
  <c r="R28" i="4"/>
  <c r="A110" i="4"/>
  <c r="P37" i="4"/>
  <c r="P53" i="4"/>
  <c r="P72" i="4"/>
  <c r="M50" i="8"/>
  <c r="J53" i="4"/>
  <c r="L50" i="8"/>
  <c r="K50" i="8"/>
  <c r="J50" i="8"/>
  <c r="I50" i="8"/>
  <c r="H50" i="8"/>
  <c r="L49" i="8"/>
  <c r="K49" i="8"/>
  <c r="J49" i="8"/>
  <c r="H48" i="8"/>
  <c r="A307" i="4"/>
  <c r="A306" i="4"/>
  <c r="A305" i="4"/>
  <c r="A304" i="4"/>
  <c r="A303" i="4"/>
  <c r="A302" i="4"/>
  <c r="A301" i="4"/>
  <c r="A286" i="4"/>
  <c r="A277" i="4"/>
  <c r="A265" i="4"/>
  <c r="A263" i="4"/>
  <c r="A245" i="4"/>
  <c r="A238" i="4"/>
  <c r="A231" i="4"/>
  <c r="A223" i="4"/>
  <c r="A195" i="4"/>
  <c r="A168" i="4"/>
  <c r="A156" i="4"/>
  <c r="A142" i="4"/>
  <c r="A130" i="4"/>
  <c r="A128" i="4"/>
  <c r="A118" i="4"/>
  <c r="A73" i="4"/>
  <c r="A54" i="4"/>
  <c r="A27" i="4"/>
  <c r="A26" i="4"/>
  <c r="A17" i="4"/>
  <c r="A15" i="4"/>
  <c r="A13" i="4"/>
  <c r="A12" i="4"/>
  <c r="A108" i="4"/>
  <c r="F72" i="4"/>
  <c r="G72" i="4"/>
  <c r="H72" i="4"/>
  <c r="N72" i="4"/>
  <c r="O72" i="4"/>
  <c r="F53" i="4"/>
  <c r="I53" i="4"/>
  <c r="K53" i="4"/>
  <c r="L53" i="4"/>
  <c r="M53" i="4"/>
  <c r="N53" i="4"/>
  <c r="O53" i="4"/>
  <c r="A240" i="8"/>
  <c r="P72" i="8"/>
  <c r="P70" i="8"/>
  <c r="P68" i="8"/>
  <c r="P118" i="8"/>
  <c r="P116" i="8"/>
  <c r="P114" i="8"/>
  <c r="A179" i="8"/>
  <c r="A185" i="8"/>
  <c r="G50" i="8"/>
  <c r="G49" i="8"/>
  <c r="F50" i="8"/>
  <c r="F49" i="8"/>
  <c r="E50" i="8"/>
  <c r="E49" i="8"/>
  <c r="D50" i="8"/>
  <c r="D49" i="8"/>
  <c r="A206" i="8"/>
  <c r="A209" i="8"/>
  <c r="A212" i="8"/>
  <c r="A215" i="8"/>
  <c r="A201" i="8"/>
  <c r="A141" i="8"/>
  <c r="A102" i="8"/>
  <c r="A107" i="8"/>
  <c r="A128" i="8"/>
  <c r="A99" i="8"/>
  <c r="A61" i="8"/>
  <c r="A53" i="8"/>
  <c r="A54" i="8"/>
  <c r="I189" i="8"/>
  <c r="P129" i="8"/>
  <c r="P87" i="8"/>
  <c r="A15" i="8"/>
  <c r="A19" i="8"/>
  <c r="A21" i="8"/>
  <c r="A24" i="8"/>
  <c r="A27" i="8"/>
  <c r="A29" i="8"/>
  <c r="A31" i="8"/>
  <c r="A33" i="8"/>
  <c r="A35" i="8"/>
  <c r="A37" i="8"/>
  <c r="A39" i="8"/>
  <c r="A13" i="8"/>
  <c r="A14" i="8" s="1"/>
  <c r="A100" i="8"/>
  <c r="A203" i="8"/>
  <c r="A56" i="8"/>
  <c r="A149" i="8"/>
  <c r="A113" i="8"/>
  <c r="A115" i="8"/>
  <c r="A117" i="8"/>
  <c r="A119" i="8"/>
  <c r="A218" i="8"/>
  <c r="A67" i="8"/>
  <c r="A69" i="8"/>
  <c r="A71" i="8"/>
  <c r="A73" i="8"/>
  <c r="A173" i="8"/>
  <c r="A187" i="8"/>
  <c r="A188" i="8"/>
  <c r="M147" i="8"/>
  <c r="M151" i="8" s="1"/>
  <c r="J200" i="4"/>
  <c r="R17" i="8"/>
  <c r="K201" i="4"/>
  <c r="I200" i="4"/>
  <c r="O201" i="4"/>
  <c r="J240" i="4"/>
  <c r="O187" i="4"/>
  <c r="L201" i="4"/>
  <c r="I201" i="4"/>
  <c r="N201" i="4"/>
  <c r="F187" i="4"/>
  <c r="N226" i="4"/>
  <c r="U226" i="4" s="1"/>
  <c r="A266" i="4"/>
  <c r="M187" i="4"/>
  <c r="K187" i="4"/>
  <c r="L187" i="4"/>
  <c r="P187" i="4"/>
  <c r="P201" i="4"/>
  <c r="F188" i="4"/>
  <c r="M69" i="4"/>
  <c r="M198" i="4"/>
  <c r="J198" i="4"/>
  <c r="J185" i="4"/>
  <c r="L198" i="4"/>
  <c r="E293" i="4"/>
  <c r="N225" i="4"/>
  <c r="U225" i="4" s="1"/>
  <c r="J233" i="4"/>
  <c r="P198" i="4"/>
  <c r="K198" i="4"/>
  <c r="E53" i="4"/>
  <c r="L125" i="8"/>
  <c r="K82" i="8"/>
  <c r="I82" i="8"/>
  <c r="L82" i="8"/>
  <c r="J82" i="8"/>
  <c r="J125" i="8"/>
  <c r="K125" i="8"/>
  <c r="H125" i="8"/>
  <c r="I125" i="8"/>
  <c r="H82" i="8"/>
  <c r="G187" i="4"/>
  <c r="O296" i="4"/>
  <c r="U296" i="4" s="1"/>
  <c r="H188" i="4"/>
  <c r="G188" i="4"/>
  <c r="K188" i="4"/>
  <c r="L188" i="4"/>
  <c r="N188" i="4"/>
  <c r="O188" i="4"/>
  <c r="P188" i="4"/>
  <c r="I188" i="4"/>
  <c r="J188" i="4"/>
  <c r="J234" i="4"/>
  <c r="N234" i="4"/>
  <c r="M68" i="4"/>
  <c r="M66" i="4"/>
  <c r="O198" i="4"/>
  <c r="F198" i="4"/>
  <c r="N233" i="4"/>
  <c r="K164" i="4"/>
  <c r="K159" i="4" s="1"/>
  <c r="I203" i="4"/>
  <c r="E46" i="4"/>
  <c r="F159" i="8" l="1"/>
  <c r="F147" i="8"/>
  <c r="E171" i="8"/>
  <c r="E186" i="8"/>
  <c r="F181" i="8"/>
  <c r="F183" i="8" s="1"/>
  <c r="F186" i="8"/>
  <c r="L181" i="8"/>
  <c r="L183" i="8" s="1"/>
  <c r="L186" i="8"/>
  <c r="H175" i="8"/>
  <c r="H177" i="8" s="1"/>
  <c r="H186" i="8"/>
  <c r="K175" i="8"/>
  <c r="K177" i="8" s="1"/>
  <c r="K186" i="8"/>
  <c r="L175" i="8"/>
  <c r="L177" i="8" s="1"/>
  <c r="K151" i="8"/>
  <c r="D64" i="46"/>
  <c r="D101" i="46"/>
  <c r="H181" i="8"/>
  <c r="H183" i="8" s="1"/>
  <c r="C102" i="46"/>
  <c r="F108" i="42"/>
  <c r="A278" i="4"/>
  <c r="A279" i="4" s="1"/>
  <c r="E64" i="46"/>
  <c r="E101" i="46"/>
  <c r="H16" i="8"/>
  <c r="U68" i="4"/>
  <c r="U66" i="4"/>
  <c r="U65" i="4"/>
  <c r="U67" i="4"/>
  <c r="U69" i="4"/>
  <c r="U70" i="4"/>
  <c r="U200" i="4"/>
  <c r="U234" i="4"/>
  <c r="E181" i="8"/>
  <c r="E183" i="8" s="1"/>
  <c r="E175" i="8"/>
  <c r="E177" i="8" s="1"/>
  <c r="A142" i="8"/>
  <c r="A143" i="8" s="1"/>
  <c r="P144" i="8" s="1"/>
  <c r="U240" i="4"/>
  <c r="O143" i="8"/>
  <c r="I169" i="8"/>
  <c r="I163" i="8"/>
  <c r="I165" i="8" s="1"/>
  <c r="H165" i="8"/>
  <c r="G163" i="8"/>
  <c r="E165" i="8"/>
  <c r="K181" i="8"/>
  <c r="K183" i="8" s="1"/>
  <c r="K171" i="8"/>
  <c r="H151" i="8"/>
  <c r="U185" i="4"/>
  <c r="Q122" i="4"/>
  <c r="Q280" i="4"/>
  <c r="U233" i="4"/>
  <c r="I26" i="42"/>
  <c r="J169" i="8"/>
  <c r="J186" i="8" s="1"/>
  <c r="A16" i="8"/>
  <c r="J151" i="8"/>
  <c r="C24" i="46"/>
  <c r="I16" i="8"/>
  <c r="I44" i="42"/>
  <c r="I45" i="42" s="1"/>
  <c r="I35" i="42"/>
  <c r="I36" i="42" s="1"/>
  <c r="E18" i="8"/>
  <c r="E29" i="46"/>
  <c r="E28" i="46"/>
  <c r="E25" i="46"/>
  <c r="C23" i="46"/>
  <c r="D25" i="46"/>
  <c r="D29" i="46"/>
  <c r="D28" i="46"/>
  <c r="C23" i="42"/>
  <c r="E21" i="4"/>
  <c r="A278" i="36"/>
  <c r="A279" i="36" s="1"/>
  <c r="M188" i="4"/>
  <c r="U188" i="4" s="1"/>
  <c r="N122" i="4"/>
  <c r="N138" i="4"/>
  <c r="U138" i="4" s="1"/>
  <c r="E138" i="36"/>
  <c r="F133" i="4"/>
  <c r="U133" i="4" s="1"/>
  <c r="E133" i="36"/>
  <c r="A41" i="36"/>
  <c r="E127" i="36"/>
  <c r="E244" i="36"/>
  <c r="A14" i="36"/>
  <c r="A16" i="36" s="1"/>
  <c r="A18" i="36" s="1"/>
  <c r="A101" i="8"/>
  <c r="A103" i="8" s="1"/>
  <c r="A104" i="8" s="1"/>
  <c r="A202" i="8"/>
  <c r="E237" i="36"/>
  <c r="H189" i="4"/>
  <c r="J243" i="4"/>
  <c r="U243" i="4" s="1"/>
  <c r="M203" i="4"/>
  <c r="I198" i="4"/>
  <c r="L189" i="4"/>
  <c r="N170" i="4"/>
  <c r="N177" i="4" s="1"/>
  <c r="J201" i="4"/>
  <c r="G172" i="4"/>
  <c r="N203" i="4"/>
  <c r="I172" i="4"/>
  <c r="M172" i="4"/>
  <c r="E207" i="4"/>
  <c r="G203" i="4"/>
  <c r="P203" i="4"/>
  <c r="O203" i="4"/>
  <c r="H203" i="4"/>
  <c r="L203" i="4"/>
  <c r="F203" i="4"/>
  <c r="I187" i="4"/>
  <c r="N242" i="4"/>
  <c r="U242" i="4" s="1"/>
  <c r="J203" i="4"/>
  <c r="E237" i="4"/>
  <c r="E300" i="4"/>
  <c r="P202" i="4"/>
  <c r="K166" i="4"/>
  <c r="A55" i="8"/>
  <c r="H201" i="8" s="1"/>
  <c r="F175" i="8"/>
  <c r="F177" i="8" s="1"/>
  <c r="K165" i="4"/>
  <c r="P172" i="4"/>
  <c r="H164" i="4"/>
  <c r="M189" i="4"/>
  <c r="O172" i="4"/>
  <c r="A28" i="4"/>
  <c r="A145" i="4"/>
  <c r="E260" i="36"/>
  <c r="L164" i="4"/>
  <c r="L166" i="4" s="1"/>
  <c r="L172" i="4"/>
  <c r="L64" i="4"/>
  <c r="E194" i="4"/>
  <c r="H35" i="42"/>
  <c r="H36" i="42" s="1"/>
  <c r="H44" i="42"/>
  <c r="H45" i="42" s="1"/>
  <c r="J280" i="4"/>
  <c r="J189" i="4"/>
  <c r="G201" i="4"/>
  <c r="E141" i="4"/>
  <c r="I189" i="4"/>
  <c r="J172" i="4"/>
  <c r="P189" i="4"/>
  <c r="F74" i="42"/>
  <c r="H26" i="42"/>
  <c r="F15" i="42"/>
  <c r="D36" i="42"/>
  <c r="I202" i="4"/>
  <c r="K189" i="4"/>
  <c r="A214" i="4"/>
  <c r="C74" i="42"/>
  <c r="I164" i="4"/>
  <c r="P164" i="4"/>
  <c r="J164" i="4"/>
  <c r="J159" i="4" s="1"/>
  <c r="M164" i="4"/>
  <c r="J187" i="4"/>
  <c r="G189" i="4"/>
  <c r="O189" i="4"/>
  <c r="F172" i="4"/>
  <c r="F175" i="4" s="1"/>
  <c r="A147" i="4"/>
  <c r="E167" i="36"/>
  <c r="E207" i="36"/>
  <c r="O164" i="4"/>
  <c r="F280" i="4"/>
  <c r="F189" i="4"/>
  <c r="A30" i="4"/>
  <c r="E26" i="42"/>
  <c r="N164" i="4"/>
  <c r="G164" i="4"/>
  <c r="F164" i="4"/>
  <c r="K172" i="4"/>
  <c r="H187" i="4"/>
  <c r="A212" i="4"/>
  <c r="A268" i="4"/>
  <c r="E72" i="36"/>
  <c r="E230" i="36"/>
  <c r="H198" i="4"/>
  <c r="M202" i="4"/>
  <c r="M122" i="4"/>
  <c r="J202" i="4"/>
  <c r="E127" i="4"/>
  <c r="I280" i="4"/>
  <c r="J122" i="4"/>
  <c r="E244" i="4"/>
  <c r="H201" i="4"/>
  <c r="O202" i="4"/>
  <c r="J241" i="4"/>
  <c r="U241" i="4" s="1"/>
  <c r="K122" i="4"/>
  <c r="F202" i="4"/>
  <c r="L122" i="4"/>
  <c r="M280" i="4"/>
  <c r="N236" i="4"/>
  <c r="N237" i="4" s="1"/>
  <c r="P280" i="4"/>
  <c r="L280" i="4"/>
  <c r="H202" i="4"/>
  <c r="N280" i="4"/>
  <c r="N202" i="4"/>
  <c r="J236" i="4"/>
  <c r="F122" i="4"/>
  <c r="E230" i="4"/>
  <c r="P122" i="4"/>
  <c r="L202" i="4"/>
  <c r="E293" i="36"/>
  <c r="E53" i="36"/>
  <c r="K280" i="4"/>
  <c r="G202" i="4"/>
  <c r="E285" i="4"/>
  <c r="I122" i="4"/>
  <c r="O122" i="4"/>
  <c r="N189" i="4"/>
  <c r="M201" i="4"/>
  <c r="L199" i="4"/>
  <c r="H199" i="4"/>
  <c r="F199" i="4"/>
  <c r="H186" i="4"/>
  <c r="N186" i="4"/>
  <c r="P199" i="4"/>
  <c r="G186" i="4"/>
  <c r="F186" i="4"/>
  <c r="N199" i="4"/>
  <c r="P186" i="4"/>
  <c r="M186" i="4"/>
  <c r="O199" i="4"/>
  <c r="E72" i="4"/>
  <c r="M199" i="4"/>
  <c r="O186" i="4"/>
  <c r="G199" i="4"/>
  <c r="M72" i="4"/>
  <c r="A14" i="4"/>
  <c r="F171" i="8"/>
  <c r="R46" i="4"/>
  <c r="A144" i="8"/>
  <c r="G169" i="8"/>
  <c r="G53" i="4"/>
  <c r="M181" i="8"/>
  <c r="M183" i="8" s="1"/>
  <c r="M175" i="8"/>
  <c r="M177" i="8" s="1"/>
  <c r="G198" i="4"/>
  <c r="E98" i="36"/>
  <c r="H171" i="8"/>
  <c r="A17" i="8"/>
  <c r="N230" i="4"/>
  <c r="A28" i="36"/>
  <c r="O280" i="4"/>
  <c r="E194" i="36"/>
  <c r="J235" i="4"/>
  <c r="U235" i="4" s="1"/>
  <c r="F201" i="4"/>
  <c r="K202" i="4"/>
  <c r="A280" i="4" l="1"/>
  <c r="I175" i="8"/>
  <c r="I186" i="8"/>
  <c r="C64" i="46"/>
  <c r="O16" i="8"/>
  <c r="A42" i="36"/>
  <c r="I171" i="8"/>
  <c r="O163" i="8"/>
  <c r="D163" i="8" s="1"/>
  <c r="G165" i="8"/>
  <c r="I181" i="8"/>
  <c r="I183" i="8" s="1"/>
  <c r="U236" i="4"/>
  <c r="O165" i="8"/>
  <c r="D143" i="8"/>
  <c r="O144" i="8" s="1"/>
  <c r="A18" i="8"/>
  <c r="A20" i="8" s="1"/>
  <c r="P22" i="8" s="1"/>
  <c r="O151" i="8"/>
  <c r="O147" i="8"/>
  <c r="U230" i="4"/>
  <c r="U202" i="4"/>
  <c r="P281" i="4"/>
  <c r="Q123" i="4"/>
  <c r="Q206" i="4"/>
  <c r="Q197" i="4" s="1"/>
  <c r="Q207" i="4" s="1"/>
  <c r="Q193" i="4"/>
  <c r="Q192" i="4"/>
  <c r="Q183" i="4" s="1"/>
  <c r="Q281" i="4"/>
  <c r="L72" i="4"/>
  <c r="L192" i="4" s="1"/>
  <c r="U64" i="4"/>
  <c r="U164" i="4"/>
  <c r="U187" i="4"/>
  <c r="U189" i="4"/>
  <c r="U201" i="4"/>
  <c r="U198" i="4"/>
  <c r="U203" i="4"/>
  <c r="C103" i="42"/>
  <c r="F103" i="42"/>
  <c r="F106" i="42" s="1"/>
  <c r="O170" i="4"/>
  <c r="O175" i="4"/>
  <c r="L170" i="4"/>
  <c r="L175" i="4"/>
  <c r="P170" i="4"/>
  <c r="P175" i="4"/>
  <c r="K170" i="4"/>
  <c r="K175" i="4"/>
  <c r="I170" i="4"/>
  <c r="I175" i="4"/>
  <c r="M170" i="4"/>
  <c r="M175" i="4"/>
  <c r="J170" i="4"/>
  <c r="J175" i="4"/>
  <c r="G170" i="4"/>
  <c r="G175" i="4"/>
  <c r="H18" i="8"/>
  <c r="O18" i="8" s="1"/>
  <c r="J181" i="8"/>
  <c r="J183" i="8" s="1"/>
  <c r="J175" i="8"/>
  <c r="J177" i="8" s="1"/>
  <c r="J171" i="8"/>
  <c r="O169" i="8"/>
  <c r="D169" i="8" s="1"/>
  <c r="R169" i="8" s="1"/>
  <c r="F18" i="8"/>
  <c r="F16" i="8"/>
  <c r="C28" i="46"/>
  <c r="C29" i="46"/>
  <c r="C25" i="46"/>
  <c r="E20" i="4"/>
  <c r="E24" i="4"/>
  <c r="E104" i="36"/>
  <c r="L186" i="4"/>
  <c r="E141" i="36"/>
  <c r="E209" i="4"/>
  <c r="E179" i="4"/>
  <c r="E177" i="36"/>
  <c r="E179" i="36" s="1"/>
  <c r="F170" i="4"/>
  <c r="F177" i="4" s="1"/>
  <c r="A105" i="8"/>
  <c r="P106" i="8" s="1"/>
  <c r="A281" i="4"/>
  <c r="K167" i="4"/>
  <c r="J244" i="4"/>
  <c r="N244" i="4"/>
  <c r="H53" i="4"/>
  <c r="U53" i="4" s="1"/>
  <c r="H172" i="4"/>
  <c r="U172" i="4" s="1"/>
  <c r="A57" i="8"/>
  <c r="A58" i="8" s="1"/>
  <c r="H204" i="8" s="1"/>
  <c r="L165" i="4"/>
  <c r="L159" i="4"/>
  <c r="P123" i="4"/>
  <c r="M159" i="4"/>
  <c r="M165" i="4"/>
  <c r="M166" i="4"/>
  <c r="F165" i="4"/>
  <c r="F166" i="4"/>
  <c r="F159" i="4"/>
  <c r="J165" i="4"/>
  <c r="J166" i="4"/>
  <c r="G166" i="4"/>
  <c r="G165" i="4"/>
  <c r="G159" i="4"/>
  <c r="O166" i="4"/>
  <c r="O165" i="4"/>
  <c r="O159" i="4"/>
  <c r="P165" i="4"/>
  <c r="P166" i="4"/>
  <c r="P159" i="4"/>
  <c r="N165" i="4"/>
  <c r="N166" i="4"/>
  <c r="N159" i="4"/>
  <c r="I159" i="4"/>
  <c r="I166" i="4"/>
  <c r="I165" i="4"/>
  <c r="H159" i="4"/>
  <c r="H165" i="4"/>
  <c r="H166" i="4"/>
  <c r="G171" i="8"/>
  <c r="E46" i="36"/>
  <c r="I177" i="8"/>
  <c r="M193" i="4"/>
  <c r="M123" i="4"/>
  <c r="M281" i="4"/>
  <c r="M206" i="4"/>
  <c r="M197" i="4" s="1"/>
  <c r="M207" i="4" s="1"/>
  <c r="M192" i="4"/>
  <c r="M183" i="4" s="1"/>
  <c r="J199" i="4"/>
  <c r="J186" i="4"/>
  <c r="J72" i="4"/>
  <c r="K199" i="4"/>
  <c r="K186" i="4"/>
  <c r="K72" i="4"/>
  <c r="A146" i="8"/>
  <c r="G193" i="4"/>
  <c r="H193" i="4"/>
  <c r="N193" i="4"/>
  <c r="F192" i="4"/>
  <c r="N281" i="4"/>
  <c r="O192" i="4"/>
  <c r="O183" i="4" s="1"/>
  <c r="G206" i="4"/>
  <c r="G123" i="4"/>
  <c r="N123" i="4"/>
  <c r="O193" i="4"/>
  <c r="G281" i="4"/>
  <c r="H123" i="4"/>
  <c r="O123" i="4"/>
  <c r="F193" i="4"/>
  <c r="F206" i="4"/>
  <c r="F197" i="4" s="1"/>
  <c r="E105" i="4"/>
  <c r="H192" i="4"/>
  <c r="H183" i="4" s="1"/>
  <c r="H281" i="4"/>
  <c r="O281" i="4"/>
  <c r="P193" i="4"/>
  <c r="N206" i="4"/>
  <c r="N197" i="4" s="1"/>
  <c r="N207" i="4" s="1"/>
  <c r="F281" i="4"/>
  <c r="N192" i="4"/>
  <c r="N183" i="4" s="1"/>
  <c r="G192" i="4"/>
  <c r="O206" i="4"/>
  <c r="O197" i="4" s="1"/>
  <c r="O207" i="4" s="1"/>
  <c r="H206" i="4"/>
  <c r="H197" i="4" s="1"/>
  <c r="H207" i="4" s="1"/>
  <c r="P192" i="4"/>
  <c r="P183" i="4" s="1"/>
  <c r="P206" i="4"/>
  <c r="P197" i="4" s="1"/>
  <c r="P207" i="4" s="1"/>
  <c r="F123" i="4"/>
  <c r="G181" i="8"/>
  <c r="G175" i="8"/>
  <c r="I199" i="4"/>
  <c r="I72" i="4"/>
  <c r="I186" i="4"/>
  <c r="A280" i="36"/>
  <c r="A19" i="36"/>
  <c r="A20" i="36" s="1"/>
  <c r="J237" i="4"/>
  <c r="U237" i="4" s="1"/>
  <c r="G177" i="8"/>
  <c r="E209" i="36"/>
  <c r="G280" i="4"/>
  <c r="G122" i="4"/>
  <c r="A16" i="4"/>
  <c r="O155" i="8"/>
  <c r="O159" i="8"/>
  <c r="R22" i="4" l="1"/>
  <c r="L206" i="4"/>
  <c r="L197" i="4" s="1"/>
  <c r="L207" i="4" s="1"/>
  <c r="N194" i="4"/>
  <c r="N209" i="4" s="1"/>
  <c r="O171" i="8"/>
  <c r="D171" i="8" s="1"/>
  <c r="G172" i="8" s="1"/>
  <c r="E264" i="36"/>
  <c r="E262" i="36"/>
  <c r="A43" i="36"/>
  <c r="O183" i="8"/>
  <c r="E262" i="4"/>
  <c r="E264" i="4"/>
  <c r="R143" i="8"/>
  <c r="L123" i="4"/>
  <c r="Q194" i="4"/>
  <c r="Q209" i="4" s="1"/>
  <c r="L281" i="4"/>
  <c r="U244" i="4"/>
  <c r="D144" i="8"/>
  <c r="E144" i="8"/>
  <c r="F144" i="8"/>
  <c r="G144" i="8"/>
  <c r="I144" i="8"/>
  <c r="M144" i="8"/>
  <c r="L144" i="8"/>
  <c r="H144" i="8"/>
  <c r="N144" i="8"/>
  <c r="K144" i="8"/>
  <c r="J144" i="8"/>
  <c r="L193" i="4"/>
  <c r="D165" i="8"/>
  <c r="O177" i="8"/>
  <c r="D177" i="8" s="1"/>
  <c r="I178" i="8" s="1"/>
  <c r="O181" i="8"/>
  <c r="D181" i="8" s="1"/>
  <c r="R181" i="8" s="1"/>
  <c r="U166" i="4"/>
  <c r="U159" i="4"/>
  <c r="U165" i="4"/>
  <c r="E24" i="36"/>
  <c r="U72" i="4"/>
  <c r="U186" i="4"/>
  <c r="U199" i="4"/>
  <c r="G183" i="4"/>
  <c r="G194" i="4" s="1"/>
  <c r="G197" i="4"/>
  <c r="J177" i="4"/>
  <c r="K177" i="4"/>
  <c r="K179" i="4" s="1"/>
  <c r="M177" i="4"/>
  <c r="L177" i="4"/>
  <c r="P177" i="4"/>
  <c r="I177" i="4"/>
  <c r="O177" i="4"/>
  <c r="H170" i="4"/>
  <c r="U170" i="4" s="1"/>
  <c r="H175" i="4"/>
  <c r="U175" i="4" s="1"/>
  <c r="G177" i="4"/>
  <c r="O175" i="8"/>
  <c r="D175" i="8" s="1"/>
  <c r="R175" i="8" s="1"/>
  <c r="E129" i="4"/>
  <c r="E16" i="8"/>
  <c r="G16" i="8" s="1"/>
  <c r="L183" i="4"/>
  <c r="E105" i="36"/>
  <c r="E129" i="36" s="1"/>
  <c r="H122" i="4"/>
  <c r="U122" i="4" s="1"/>
  <c r="A281" i="36"/>
  <c r="A282" i="36" s="1"/>
  <c r="A283" i="36" s="1"/>
  <c r="A284" i="36" s="1"/>
  <c r="A106" i="8"/>
  <c r="A108" i="8" s="1"/>
  <c r="A282" i="4"/>
  <c r="A283" i="4" s="1"/>
  <c r="A284" i="4" s="1"/>
  <c r="H194" i="4"/>
  <c r="H209" i="4" s="1"/>
  <c r="H280" i="4"/>
  <c r="U280" i="4" s="1"/>
  <c r="L167" i="4"/>
  <c r="O194" i="4"/>
  <c r="O209" i="4" s="1"/>
  <c r="J167" i="4"/>
  <c r="I167" i="4"/>
  <c r="G167" i="4"/>
  <c r="A59" i="8"/>
  <c r="H207" i="8" s="1"/>
  <c r="P167" i="4"/>
  <c r="H167" i="4"/>
  <c r="M167" i="4"/>
  <c r="F167" i="4"/>
  <c r="P194" i="4"/>
  <c r="P209" i="4" s="1"/>
  <c r="N167" i="4"/>
  <c r="N179" i="4" s="1"/>
  <c r="O167" i="4"/>
  <c r="F207" i="4"/>
  <c r="A21" i="36"/>
  <c r="I192" i="4"/>
  <c r="I183" i="4" s="1"/>
  <c r="I193" i="4"/>
  <c r="I281" i="4"/>
  <c r="I206" i="4"/>
  <c r="I197" i="4" s="1"/>
  <c r="I207" i="4" s="1"/>
  <c r="I123" i="4"/>
  <c r="A204" i="8"/>
  <c r="E20" i="36"/>
  <c r="A147" i="8"/>
  <c r="P151" i="8" s="1"/>
  <c r="K123" i="4"/>
  <c r="K193" i="4"/>
  <c r="K206" i="4"/>
  <c r="K197" i="4" s="1"/>
  <c r="K207" i="4" s="1"/>
  <c r="K192" i="4"/>
  <c r="K183" i="4" s="1"/>
  <c r="K281" i="4"/>
  <c r="M194" i="4"/>
  <c r="M209" i="4" s="1"/>
  <c r="G183" i="8"/>
  <c r="A18" i="4"/>
  <c r="A22" i="8"/>
  <c r="F183" i="4"/>
  <c r="J281" i="4"/>
  <c r="J193" i="4"/>
  <c r="J192" i="4"/>
  <c r="J183" i="4" s="1"/>
  <c r="J123" i="4"/>
  <c r="J206" i="4"/>
  <c r="J197" i="4" s="1"/>
  <c r="J207" i="4" s="1"/>
  <c r="A23" i="8" l="1"/>
  <c r="A25" i="8" s="1"/>
  <c r="P23" i="8"/>
  <c r="O166" i="8"/>
  <c r="E166" i="8"/>
  <c r="A205" i="8"/>
  <c r="A44" i="36"/>
  <c r="A45" i="36" s="1"/>
  <c r="N264" i="4"/>
  <c r="Q264" i="4"/>
  <c r="Q297" i="4" s="1"/>
  <c r="G166" i="8"/>
  <c r="J179" i="4"/>
  <c r="L194" i="4"/>
  <c r="L209" i="4" s="1"/>
  <c r="D166" i="8"/>
  <c r="N166" i="8"/>
  <c r="L166" i="8"/>
  <c r="M166" i="8"/>
  <c r="K166" i="8"/>
  <c r="J166" i="8"/>
  <c r="F166" i="8"/>
  <c r="H166" i="8"/>
  <c r="I166" i="8"/>
  <c r="R144" i="8"/>
  <c r="U167" i="4"/>
  <c r="U123" i="4"/>
  <c r="U281" i="4"/>
  <c r="U193" i="4"/>
  <c r="U206" i="4"/>
  <c r="U183" i="4"/>
  <c r="U192" i="4"/>
  <c r="G207" i="4"/>
  <c r="U207" i="4" s="1"/>
  <c r="U197" i="4"/>
  <c r="M179" i="4"/>
  <c r="G179" i="4"/>
  <c r="O179" i="4"/>
  <c r="P179" i="4"/>
  <c r="L179" i="4"/>
  <c r="I179" i="4"/>
  <c r="H177" i="4"/>
  <c r="H179" i="4" s="1"/>
  <c r="D16" i="8"/>
  <c r="E19" i="4"/>
  <c r="E25" i="4" s="1"/>
  <c r="A109" i="8"/>
  <c r="A110" i="8" s="1"/>
  <c r="P60" i="8"/>
  <c r="A60" i="8"/>
  <c r="A62" i="8" s="1"/>
  <c r="R285" i="4"/>
  <c r="I194" i="4"/>
  <c r="I209" i="4" s="1"/>
  <c r="A49" i="4"/>
  <c r="K194" i="4"/>
  <c r="K209" i="4" s="1"/>
  <c r="K264" i="4" s="1"/>
  <c r="R171" i="8"/>
  <c r="J194" i="4"/>
  <c r="J209" i="4" s="1"/>
  <c r="F179" i="4"/>
  <c r="A26" i="8"/>
  <c r="A28" i="8" s="1"/>
  <c r="P36" i="8" s="1"/>
  <c r="O172" i="8"/>
  <c r="O178" i="8"/>
  <c r="A19" i="4"/>
  <c r="A20" i="4" s="1"/>
  <c r="D178" i="8"/>
  <c r="N178" i="8"/>
  <c r="J178" i="8"/>
  <c r="L178" i="8"/>
  <c r="K178" i="8"/>
  <c r="H178" i="8"/>
  <c r="E178" i="8"/>
  <c r="F178" i="8"/>
  <c r="M178" i="8"/>
  <c r="G178" i="8"/>
  <c r="A207" i="8"/>
  <c r="E19" i="36"/>
  <c r="D172" i="8"/>
  <c r="L172" i="8"/>
  <c r="E172" i="8"/>
  <c r="M172" i="8"/>
  <c r="J172" i="8"/>
  <c r="N172" i="8"/>
  <c r="K172" i="8"/>
  <c r="F172" i="8"/>
  <c r="H172" i="8"/>
  <c r="I172" i="8"/>
  <c r="D183" i="8"/>
  <c r="G184" i="8" s="1"/>
  <c r="R177" i="8"/>
  <c r="F194" i="4"/>
  <c r="A22" i="36"/>
  <c r="P148" i="8"/>
  <c r="A148" i="8"/>
  <c r="P28" i="8" l="1"/>
  <c r="P30" i="8"/>
  <c r="R16" i="8"/>
  <c r="Q257" i="4"/>
  <c r="Q249" i="4"/>
  <c r="Q43" i="4"/>
  <c r="Q76" i="4"/>
  <c r="Q254" i="4"/>
  <c r="A46" i="36"/>
  <c r="A48" i="36" s="1"/>
  <c r="Q255" i="4"/>
  <c r="Q251" i="4"/>
  <c r="Q253" i="4"/>
  <c r="Q78" i="4"/>
  <c r="Q85" i="4"/>
  <c r="Q90" i="4"/>
  <c r="Q80" i="4"/>
  <c r="Q88" i="4"/>
  <c r="Q79" i="4"/>
  <c r="Q95" i="4"/>
  <c r="Q77" i="4"/>
  <c r="Q248" i="4"/>
  <c r="Q93" i="4"/>
  <c r="Q91" i="4"/>
  <c r="Q97" i="4"/>
  <c r="Q299" i="4"/>
  <c r="Q289" i="4"/>
  <c r="Q292" i="4"/>
  <c r="Q89" i="4"/>
  <c r="Q250" i="4"/>
  <c r="Q42" i="4"/>
  <c r="Q82" i="4"/>
  <c r="Q83" i="4"/>
  <c r="Q96" i="4"/>
  <c r="Q44" i="4"/>
  <c r="Q75" i="4"/>
  <c r="Q45" i="4"/>
  <c r="Q126" i="4"/>
  <c r="Q284" i="4"/>
  <c r="Q87" i="4"/>
  <c r="Q290" i="4"/>
  <c r="Q84" i="4"/>
  <c r="Q256" i="4"/>
  <c r="Q135" i="4"/>
  <c r="Q258" i="4"/>
  <c r="Q86" i="4"/>
  <c r="Q92" i="4"/>
  <c r="Q94" i="4"/>
  <c r="M264" i="4"/>
  <c r="M284" i="4" s="1"/>
  <c r="J264" i="4"/>
  <c r="H264" i="4"/>
  <c r="H88" i="4" s="1"/>
  <c r="I264" i="4"/>
  <c r="L264" i="4"/>
  <c r="L258" i="4" s="1"/>
  <c r="P264" i="4"/>
  <c r="P88" i="4" s="1"/>
  <c r="O264" i="4"/>
  <c r="O284" i="4" s="1"/>
  <c r="Q291" i="4"/>
  <c r="Q81" i="4"/>
  <c r="Q101" i="4"/>
  <c r="Q102" i="4" s="1"/>
  <c r="U179" i="4"/>
  <c r="U177" i="4"/>
  <c r="G209" i="4"/>
  <c r="U194" i="4"/>
  <c r="N255" i="4"/>
  <c r="N258" i="4"/>
  <c r="N284" i="4"/>
  <c r="N126" i="4"/>
  <c r="N101" i="4"/>
  <c r="N44" i="4"/>
  <c r="N82" i="4"/>
  <c r="N83" i="4"/>
  <c r="N86" i="4"/>
  <c r="N89" i="4"/>
  <c r="N79" i="4"/>
  <c r="N90" i="4"/>
  <c r="N84" i="4"/>
  <c r="N85" i="4"/>
  <c r="N87" i="4"/>
  <c r="N80" i="4"/>
  <c r="N88" i="4"/>
  <c r="N81" i="4"/>
  <c r="A50" i="4"/>
  <c r="A51" i="4" s="1"/>
  <c r="E143" i="4"/>
  <c r="A285" i="36"/>
  <c r="A287" i="36" s="1"/>
  <c r="A288" i="36" s="1"/>
  <c r="N290" i="4"/>
  <c r="N289" i="4"/>
  <c r="N291" i="4"/>
  <c r="A63" i="8"/>
  <c r="H210" i="8" s="1"/>
  <c r="A21" i="4"/>
  <c r="A285" i="4"/>
  <c r="R178" i="8"/>
  <c r="R183" i="8"/>
  <c r="R172" i="8"/>
  <c r="A111" i="8"/>
  <c r="A30" i="8"/>
  <c r="J184" i="8"/>
  <c r="N184" i="8"/>
  <c r="D184" i="8"/>
  <c r="L184" i="8"/>
  <c r="K184" i="8"/>
  <c r="E184" i="8"/>
  <c r="F184" i="8"/>
  <c r="I184" i="8"/>
  <c r="H184" i="8"/>
  <c r="M184" i="8"/>
  <c r="O184" i="8"/>
  <c r="N250" i="4"/>
  <c r="N96" i="4"/>
  <c r="N251" i="4"/>
  <c r="N94" i="4"/>
  <c r="N97" i="4"/>
  <c r="N257" i="4"/>
  <c r="N76" i="4"/>
  <c r="N254" i="4"/>
  <c r="N95" i="4"/>
  <c r="N77" i="4"/>
  <c r="N75" i="4"/>
  <c r="N253" i="4"/>
  <c r="N249" i="4"/>
  <c r="N248" i="4"/>
  <c r="N135" i="4"/>
  <c r="N256" i="4"/>
  <c r="N45" i="4"/>
  <c r="N91" i="4"/>
  <c r="N92" i="4"/>
  <c r="N78" i="4"/>
  <c r="N292" i="4"/>
  <c r="N299" i="4"/>
  <c r="N297" i="4"/>
  <c r="N43" i="4"/>
  <c r="N93" i="4"/>
  <c r="N42" i="4"/>
  <c r="A23" i="36"/>
  <c r="A24" i="36" s="1"/>
  <c r="A25" i="36" s="1"/>
  <c r="A208" i="8"/>
  <c r="A150" i="8"/>
  <c r="F209" i="4"/>
  <c r="F264" i="4" s="1"/>
  <c r="O96" i="4" l="1"/>
  <c r="O42" i="4"/>
  <c r="O97" i="4"/>
  <c r="O78" i="4"/>
  <c r="H251" i="4"/>
  <c r="O254" i="4"/>
  <c r="O45" i="4"/>
  <c r="O92" i="4"/>
  <c r="O249" i="4"/>
  <c r="O290" i="4"/>
  <c r="O83" i="4"/>
  <c r="O257" i="4"/>
  <c r="O75" i="4"/>
  <c r="O289" i="4"/>
  <c r="O80" i="4"/>
  <c r="R184" i="8"/>
  <c r="M248" i="4"/>
  <c r="J254" i="4"/>
  <c r="P297" i="4"/>
  <c r="P289" i="4"/>
  <c r="P253" i="4"/>
  <c r="Q46" i="4"/>
  <c r="Q121" i="4" s="1"/>
  <c r="J135" i="4"/>
  <c r="J77" i="4"/>
  <c r="J42" i="4"/>
  <c r="J86" i="4"/>
  <c r="J83" i="4"/>
  <c r="J88" i="4"/>
  <c r="J93" i="4"/>
  <c r="J248" i="4"/>
  <c r="J76" i="4"/>
  <c r="J94" i="4"/>
  <c r="J89" i="4"/>
  <c r="J82" i="4"/>
  <c r="J45" i="4"/>
  <c r="J249" i="4"/>
  <c r="J96" i="4"/>
  <c r="J251" i="4"/>
  <c r="J80" i="4"/>
  <c r="J79" i="4"/>
  <c r="J101" i="4"/>
  <c r="J102" i="4" s="1"/>
  <c r="J299" i="4"/>
  <c r="J84" i="4"/>
  <c r="J78" i="4"/>
  <c r="J292" i="4"/>
  <c r="J291" i="4"/>
  <c r="J90" i="4"/>
  <c r="J44" i="4"/>
  <c r="J126" i="4"/>
  <c r="J297" i="4"/>
  <c r="J257" i="4"/>
  <c r="J92" i="4"/>
  <c r="J75" i="4"/>
  <c r="J250" i="4"/>
  <c r="J290" i="4"/>
  <c r="J85" i="4"/>
  <c r="J97" i="4"/>
  <c r="J95" i="4"/>
  <c r="J289" i="4"/>
  <c r="J81" i="4"/>
  <c r="J258" i="4"/>
  <c r="J43" i="4"/>
  <c r="J256" i="4"/>
  <c r="J91" i="4"/>
  <c r="J253" i="4"/>
  <c r="J87" i="4"/>
  <c r="M97" i="4"/>
  <c r="H257" i="4"/>
  <c r="M42" i="4"/>
  <c r="H80" i="4"/>
  <c r="H101" i="4"/>
  <c r="H102" i="4" s="1"/>
  <c r="M80" i="4"/>
  <c r="M88" i="4"/>
  <c r="H297" i="4"/>
  <c r="M78" i="4"/>
  <c r="H95" i="4"/>
  <c r="H85" i="4"/>
  <c r="M44" i="4"/>
  <c r="H256" i="4"/>
  <c r="H42" i="4"/>
  <c r="H290" i="4"/>
  <c r="H86" i="4"/>
  <c r="H258" i="4"/>
  <c r="M135" i="4"/>
  <c r="M299" i="4"/>
  <c r="M292" i="4"/>
  <c r="H76" i="4"/>
  <c r="H91" i="4"/>
  <c r="H75" i="4"/>
  <c r="H44" i="4"/>
  <c r="J284" i="4"/>
  <c r="M250" i="4"/>
  <c r="M92" i="4"/>
  <c r="H292" i="4"/>
  <c r="M81" i="4"/>
  <c r="J255" i="4"/>
  <c r="M297" i="4"/>
  <c r="M251" i="4"/>
  <c r="H97" i="4"/>
  <c r="M291" i="4"/>
  <c r="M84" i="4"/>
  <c r="O87" i="4"/>
  <c r="O86" i="4"/>
  <c r="Q98" i="4"/>
  <c r="Q104" i="4" s="1"/>
  <c r="Q259" i="4" s="1"/>
  <c r="H255" i="4"/>
  <c r="P80" i="4"/>
  <c r="P92" i="4"/>
  <c r="P43" i="4"/>
  <c r="P96" i="4"/>
  <c r="P95" i="4"/>
  <c r="P79" i="4"/>
  <c r="P90" i="4"/>
  <c r="P84" i="4"/>
  <c r="P291" i="4"/>
  <c r="P42" i="4"/>
  <c r="P76" i="4"/>
  <c r="P290" i="4"/>
  <c r="P81" i="4"/>
  <c r="P44" i="4"/>
  <c r="P101" i="4"/>
  <c r="P102" i="4" s="1"/>
  <c r="P255" i="4"/>
  <c r="P77" i="4"/>
  <c r="P75" i="4"/>
  <c r="P93" i="4"/>
  <c r="P257" i="4"/>
  <c r="P78" i="4"/>
  <c r="P83" i="4"/>
  <c r="P258" i="4"/>
  <c r="P249" i="4"/>
  <c r="P97" i="4"/>
  <c r="P82" i="4"/>
  <c r="P284" i="4"/>
  <c r="P256" i="4"/>
  <c r="P254" i="4"/>
  <c r="P292" i="4"/>
  <c r="P87" i="4"/>
  <c r="P126" i="4"/>
  <c r="P251" i="4"/>
  <c r="P94" i="4"/>
  <c r="P299" i="4"/>
  <c r="P86" i="4"/>
  <c r="P45" i="4"/>
  <c r="P89" i="4"/>
  <c r="P135" i="4"/>
  <c r="P250" i="4"/>
  <c r="P91" i="4"/>
  <c r="P248" i="4"/>
  <c r="P85" i="4"/>
  <c r="L254" i="4"/>
  <c r="L79" i="4"/>
  <c r="L251" i="4"/>
  <c r="L81" i="4"/>
  <c r="L299" i="4"/>
  <c r="L284" i="4"/>
  <c r="L42" i="4"/>
  <c r="L43" i="4"/>
  <c r="L297" i="4"/>
  <c r="L101" i="4"/>
  <c r="L102" i="4" s="1"/>
  <c r="L253" i="4"/>
  <c r="L77" i="4"/>
  <c r="L135" i="4"/>
  <c r="L44" i="4"/>
  <c r="L86" i="4"/>
  <c r="L45" i="4"/>
  <c r="L78" i="4"/>
  <c r="L83" i="4"/>
  <c r="L257" i="4"/>
  <c r="L248" i="4"/>
  <c r="L256" i="4"/>
  <c r="L85" i="4"/>
  <c r="L87" i="4"/>
  <c r="L95" i="4"/>
  <c r="L92" i="4"/>
  <c r="L96" i="4"/>
  <c r="L97" i="4"/>
  <c r="L90" i="4"/>
  <c r="L89" i="4"/>
  <c r="H126" i="4"/>
  <c r="L292" i="4"/>
  <c r="L75" i="4"/>
  <c r="L76" i="4"/>
  <c r="L291" i="4"/>
  <c r="L84" i="4"/>
  <c r="L80" i="4"/>
  <c r="L250" i="4"/>
  <c r="L91" i="4"/>
  <c r="L289" i="4"/>
  <c r="L88" i="4"/>
  <c r="L126" i="4"/>
  <c r="L255" i="4"/>
  <c r="L94" i="4"/>
  <c r="L249" i="4"/>
  <c r="L93" i="4"/>
  <c r="L290" i="4"/>
  <c r="H89" i="4"/>
  <c r="L82" i="4"/>
  <c r="O253" i="4"/>
  <c r="O251" i="4"/>
  <c r="O91" i="4"/>
  <c r="O77" i="4"/>
  <c r="M96" i="4"/>
  <c r="M43" i="4"/>
  <c r="M77" i="4"/>
  <c r="H45" i="4"/>
  <c r="H94" i="4"/>
  <c r="H77" i="4"/>
  <c r="H291" i="4"/>
  <c r="H84" i="4"/>
  <c r="H90" i="4"/>
  <c r="M89" i="4"/>
  <c r="O85" i="4"/>
  <c r="O90" i="4"/>
  <c r="M255" i="4"/>
  <c r="O43" i="4"/>
  <c r="M45" i="4"/>
  <c r="M93" i="4"/>
  <c r="H135" i="4"/>
  <c r="H248" i="4"/>
  <c r="H87" i="4"/>
  <c r="M79" i="4"/>
  <c r="M82" i="4"/>
  <c r="O89" i="4"/>
  <c r="O84" i="4"/>
  <c r="M101" i="4"/>
  <c r="M102" i="4" s="1"/>
  <c r="M126" i="4"/>
  <c r="O255" i="4"/>
  <c r="O258" i="4"/>
  <c r="M258" i="4"/>
  <c r="O248" i="4"/>
  <c r="O94" i="4"/>
  <c r="O256" i="4"/>
  <c r="O250" i="4"/>
  <c r="M253" i="4"/>
  <c r="M76" i="4"/>
  <c r="M254" i="4"/>
  <c r="M256" i="4"/>
  <c r="H250" i="4"/>
  <c r="H92" i="4"/>
  <c r="M290" i="4"/>
  <c r="H83" i="4"/>
  <c r="M85" i="4"/>
  <c r="M86" i="4"/>
  <c r="O81" i="4"/>
  <c r="O44" i="4"/>
  <c r="O101" i="4"/>
  <c r="O102" i="4" s="1"/>
  <c r="H284" i="4"/>
  <c r="O292" i="4"/>
  <c r="O76" i="4"/>
  <c r="O299" i="4"/>
  <c r="O297" i="4"/>
  <c r="M75" i="4"/>
  <c r="M257" i="4"/>
  <c r="H249" i="4"/>
  <c r="H43" i="4"/>
  <c r="H78" i="4"/>
  <c r="H299" i="4"/>
  <c r="O291" i="4"/>
  <c r="M289" i="4"/>
  <c r="H81" i="4"/>
  <c r="H82" i="4"/>
  <c r="M87" i="4"/>
  <c r="M90" i="4"/>
  <c r="O82" i="4"/>
  <c r="O135" i="4"/>
  <c r="O95" i="4"/>
  <c r="O93" i="4"/>
  <c r="M249" i="4"/>
  <c r="M94" i="4"/>
  <c r="M91" i="4"/>
  <c r="M95" i="4"/>
  <c r="H254" i="4"/>
  <c r="H96" i="4"/>
  <c r="H93" i="4"/>
  <c r="H253" i="4"/>
  <c r="H289" i="4"/>
  <c r="H79" i="4"/>
  <c r="M83" i="4"/>
  <c r="O79" i="4"/>
  <c r="O88" i="4"/>
  <c r="O126" i="4"/>
  <c r="G264" i="4"/>
  <c r="G85" i="4" s="1"/>
  <c r="A22" i="4"/>
  <c r="A23" i="4" s="1"/>
  <c r="A24" i="4" s="1"/>
  <c r="R25" i="4" s="1"/>
  <c r="U209" i="4"/>
  <c r="I93" i="4"/>
  <c r="I292" i="4"/>
  <c r="I45" i="4"/>
  <c r="I254" i="4"/>
  <c r="I257" i="4"/>
  <c r="I76" i="4"/>
  <c r="I43" i="4"/>
  <c r="I251" i="4"/>
  <c r="I253" i="4"/>
  <c r="I94" i="4"/>
  <c r="I92" i="4"/>
  <c r="I250" i="4"/>
  <c r="I299" i="4"/>
  <c r="I249" i="4"/>
  <c r="I291" i="4"/>
  <c r="I89" i="4"/>
  <c r="I80" i="4"/>
  <c r="I42" i="4"/>
  <c r="I256" i="4"/>
  <c r="I77" i="4"/>
  <c r="I248" i="4"/>
  <c r="I75" i="4"/>
  <c r="I290" i="4"/>
  <c r="I87" i="4"/>
  <c r="I82" i="4"/>
  <c r="I255" i="4"/>
  <c r="I289" i="4"/>
  <c r="I81" i="4"/>
  <c r="I84" i="4"/>
  <c r="I83" i="4"/>
  <c r="I78" i="4"/>
  <c r="I97" i="4"/>
  <c r="I135" i="4"/>
  <c r="I297" i="4"/>
  <c r="I91" i="4"/>
  <c r="I96" i="4"/>
  <c r="I95" i="4"/>
  <c r="I79" i="4"/>
  <c r="I90" i="4"/>
  <c r="I258" i="4"/>
  <c r="I85" i="4"/>
  <c r="I86" i="4"/>
  <c r="I44" i="4"/>
  <c r="I126" i="4"/>
  <c r="I284" i="4"/>
  <c r="I88" i="4"/>
  <c r="I101" i="4"/>
  <c r="I102" i="4" s="1"/>
  <c r="A64" i="8"/>
  <c r="K258" i="4"/>
  <c r="K255" i="4"/>
  <c r="K284" i="4"/>
  <c r="K126" i="4"/>
  <c r="N102" i="4"/>
  <c r="K101" i="4"/>
  <c r="K44" i="4"/>
  <c r="K89" i="4"/>
  <c r="K87" i="4"/>
  <c r="K83" i="4"/>
  <c r="K81" i="4"/>
  <c r="K79" i="4"/>
  <c r="K90" i="4"/>
  <c r="K88" i="4"/>
  <c r="K86" i="4"/>
  <c r="K82" i="4"/>
  <c r="K80" i="4"/>
  <c r="K84" i="4"/>
  <c r="K85" i="4"/>
  <c r="A52" i="4"/>
  <c r="E14" i="4"/>
  <c r="A289" i="36"/>
  <c r="A290" i="36" s="1"/>
  <c r="A291" i="36" s="1"/>
  <c r="K291" i="4"/>
  <c r="K290" i="4"/>
  <c r="K289" i="4"/>
  <c r="R20" i="4"/>
  <c r="A287" i="4"/>
  <c r="A288" i="4" s="1"/>
  <c r="A289" i="4" s="1"/>
  <c r="N98" i="4"/>
  <c r="P112" i="8"/>
  <c r="A112" i="8"/>
  <c r="K292" i="4"/>
  <c r="K93" i="4"/>
  <c r="K254" i="4"/>
  <c r="K297" i="4"/>
  <c r="K299" i="4"/>
  <c r="K43" i="4"/>
  <c r="K45" i="4"/>
  <c r="K256" i="4"/>
  <c r="K91" i="4"/>
  <c r="K75" i="4"/>
  <c r="K78" i="4"/>
  <c r="K94" i="4"/>
  <c r="K92" i="4"/>
  <c r="K257" i="4"/>
  <c r="K135" i="4"/>
  <c r="K96" i="4"/>
  <c r="K251" i="4"/>
  <c r="K250" i="4"/>
  <c r="K253" i="4"/>
  <c r="K248" i="4"/>
  <c r="K76" i="4"/>
  <c r="K95" i="4"/>
  <c r="K42" i="4"/>
  <c r="K77" i="4"/>
  <c r="K97" i="4"/>
  <c r="K249" i="4"/>
  <c r="A49" i="36"/>
  <c r="A50" i="36" s="1"/>
  <c r="A151" i="8"/>
  <c r="A210" i="8"/>
  <c r="N46" i="4"/>
  <c r="A32" i="8"/>
  <c r="E143" i="36"/>
  <c r="H235" i="8" l="1"/>
  <c r="A34" i="8"/>
  <c r="A36" i="8" s="1"/>
  <c r="P34" i="8"/>
  <c r="A152" i="8"/>
  <c r="P152" i="8"/>
  <c r="Q124" i="4"/>
  <c r="Q127" i="4" s="1"/>
  <c r="O46" i="4"/>
  <c r="O121" i="4" s="1"/>
  <c r="Q282" i="4"/>
  <c r="J46" i="4"/>
  <c r="J279" i="4" s="1"/>
  <c r="Q279" i="4"/>
  <c r="J98" i="4"/>
  <c r="J104" i="4" s="1"/>
  <c r="J124" i="4" s="1"/>
  <c r="U264" i="4"/>
  <c r="Q105" i="4"/>
  <c r="Q298" i="4" s="1"/>
  <c r="Q300" i="4" s="1"/>
  <c r="Q24" i="4" s="1"/>
  <c r="A65" i="8"/>
  <c r="H216" i="8" s="1"/>
  <c r="P98" i="4"/>
  <c r="P104" i="4" s="1"/>
  <c r="P124" i="4" s="1"/>
  <c r="P46" i="4"/>
  <c r="P279" i="4" s="1"/>
  <c r="H46" i="4"/>
  <c r="H121" i="4" s="1"/>
  <c r="L46" i="4"/>
  <c r="L121" i="4" s="1"/>
  <c r="G83" i="4"/>
  <c r="M46" i="4"/>
  <c r="M279" i="4" s="1"/>
  <c r="G284" i="4"/>
  <c r="G80" i="4"/>
  <c r="L98" i="4"/>
  <c r="L104" i="4" s="1"/>
  <c r="L259" i="4" s="1"/>
  <c r="G84" i="4"/>
  <c r="G81" i="4"/>
  <c r="G291" i="4"/>
  <c r="G79" i="4"/>
  <c r="G289" i="4"/>
  <c r="M98" i="4"/>
  <c r="M104" i="4" s="1"/>
  <c r="O98" i="4"/>
  <c r="O104" i="4" s="1"/>
  <c r="G255" i="4"/>
  <c r="G101" i="4"/>
  <c r="G102" i="4" s="1"/>
  <c r="G126" i="4"/>
  <c r="G89" i="4"/>
  <c r="G88" i="4"/>
  <c r="G82" i="4"/>
  <c r="G90" i="4"/>
  <c r="G290" i="4"/>
  <c r="H98" i="4"/>
  <c r="H104" i="4" s="1"/>
  <c r="H282" i="4" s="1"/>
  <c r="G258" i="4"/>
  <c r="G87" i="4"/>
  <c r="G86" i="4"/>
  <c r="G44" i="4"/>
  <c r="G292" i="4"/>
  <c r="G299" i="4"/>
  <c r="G95" i="4"/>
  <c r="G297" i="4"/>
  <c r="G256" i="4"/>
  <c r="G91" i="4"/>
  <c r="G43" i="4"/>
  <c r="G97" i="4"/>
  <c r="G96" i="4"/>
  <c r="G93" i="4"/>
  <c r="G254" i="4"/>
  <c r="G135" i="4"/>
  <c r="G249" i="4"/>
  <c r="G94" i="4"/>
  <c r="G42" i="4"/>
  <c r="G76" i="4"/>
  <c r="G250" i="4"/>
  <c r="G92" i="4"/>
  <c r="G257" i="4"/>
  <c r="G77" i="4"/>
  <c r="G45" i="4"/>
  <c r="G75" i="4"/>
  <c r="G248" i="4"/>
  <c r="G78" i="4"/>
  <c r="G251" i="4"/>
  <c r="G253" i="4"/>
  <c r="I46" i="4"/>
  <c r="I121" i="4" s="1"/>
  <c r="I98" i="4"/>
  <c r="I104" i="4" s="1"/>
  <c r="I259" i="4" s="1"/>
  <c r="E16" i="4"/>
  <c r="G16" i="4" s="1"/>
  <c r="F258" i="4"/>
  <c r="F255" i="4"/>
  <c r="F284" i="4"/>
  <c r="F126" i="4"/>
  <c r="K102" i="4"/>
  <c r="F101" i="4"/>
  <c r="A53" i="4"/>
  <c r="A55" i="4" s="1"/>
  <c r="A56" i="4" s="1"/>
  <c r="F44" i="4"/>
  <c r="F90" i="4"/>
  <c r="F88" i="4"/>
  <c r="F86" i="4"/>
  <c r="F82" i="4"/>
  <c r="F80" i="4"/>
  <c r="F83" i="4"/>
  <c r="F84" i="4"/>
  <c r="F89" i="4"/>
  <c r="F85" i="4"/>
  <c r="F79" i="4"/>
  <c r="F87" i="4"/>
  <c r="F81" i="4"/>
  <c r="R53" i="4"/>
  <c r="A292" i="36"/>
  <c r="A293" i="36" s="1"/>
  <c r="A290" i="4"/>
  <c r="A291" i="4" s="1"/>
  <c r="F289" i="4"/>
  <c r="F290" i="4"/>
  <c r="F291" i="4"/>
  <c r="N104" i="4"/>
  <c r="N282" i="4" s="1"/>
  <c r="K98" i="4"/>
  <c r="A211" i="8"/>
  <c r="H236" i="8" s="1"/>
  <c r="A114" i="8"/>
  <c r="K46" i="4"/>
  <c r="K121" i="4" s="1"/>
  <c r="F151" i="8"/>
  <c r="F78" i="4"/>
  <c r="F76" i="4"/>
  <c r="F257" i="4"/>
  <c r="F92" i="4"/>
  <c r="F45" i="4"/>
  <c r="F297" i="4"/>
  <c r="F77" i="4"/>
  <c r="F248" i="4"/>
  <c r="F42" i="4"/>
  <c r="F251" i="4"/>
  <c r="F75" i="4"/>
  <c r="F254" i="4"/>
  <c r="F97" i="4"/>
  <c r="F299" i="4"/>
  <c r="F250" i="4"/>
  <c r="F91" i="4"/>
  <c r="F292" i="4"/>
  <c r="F93" i="4"/>
  <c r="F96" i="4"/>
  <c r="F256" i="4"/>
  <c r="F43" i="4"/>
  <c r="F95" i="4"/>
  <c r="F135" i="4"/>
  <c r="F253" i="4"/>
  <c r="F94" i="4"/>
  <c r="F249" i="4"/>
  <c r="A51" i="36"/>
  <c r="N279" i="4"/>
  <c r="N121" i="4"/>
  <c r="E14" i="36"/>
  <c r="A25" i="4"/>
  <c r="O105" i="4" l="1"/>
  <c r="O136" i="4" s="1"/>
  <c r="A38" i="8"/>
  <c r="P38" i="8"/>
  <c r="P32" i="8"/>
  <c r="Q285" i="4"/>
  <c r="Q20" i="4" s="1"/>
  <c r="O279" i="4"/>
  <c r="L279" i="4"/>
  <c r="J121" i="4"/>
  <c r="J127" i="4" s="1"/>
  <c r="P121" i="4"/>
  <c r="P127" i="4" s="1"/>
  <c r="U75" i="4"/>
  <c r="U85" i="4"/>
  <c r="U101" i="4"/>
  <c r="H279" i="4"/>
  <c r="H285" i="4" s="1"/>
  <c r="H20" i="4" s="1"/>
  <c r="U81" i="4"/>
  <c r="U250" i="4"/>
  <c r="U80" i="4"/>
  <c r="Q136" i="4"/>
  <c r="U79" i="4"/>
  <c r="Q129" i="4"/>
  <c r="Q139" i="4" s="1"/>
  <c r="U249" i="4"/>
  <c r="U290" i="4"/>
  <c r="U251" i="4"/>
  <c r="U84" i="4"/>
  <c r="U126" i="4"/>
  <c r="U297" i="4"/>
  <c r="U291" i="4"/>
  <c r="U83" i="4"/>
  <c r="M121" i="4"/>
  <c r="A66" i="8"/>
  <c r="A68" i="8" s="1"/>
  <c r="H220" i="8" s="1"/>
  <c r="P66" i="8"/>
  <c r="G46" i="4"/>
  <c r="M105" i="4"/>
  <c r="M136" i="4" s="1"/>
  <c r="U94" i="4"/>
  <c r="U292" i="4"/>
  <c r="U86" i="4"/>
  <c r="U88" i="4"/>
  <c r="U42" i="4"/>
  <c r="U82" i="4"/>
  <c r="U90" i="4"/>
  <c r="U284" i="4"/>
  <c r="U43" i="4"/>
  <c r="U45" i="4"/>
  <c r="U44" i="4"/>
  <c r="U255" i="4"/>
  <c r="U135" i="4"/>
  <c r="U91" i="4"/>
  <c r="U87" i="4"/>
  <c r="U77" i="4"/>
  <c r="U289" i="4"/>
  <c r="U89" i="4"/>
  <c r="U256" i="4"/>
  <c r="U92" i="4"/>
  <c r="G98" i="4"/>
  <c r="G104" i="4" s="1"/>
  <c r="G282" i="4" s="1"/>
  <c r="U257" i="4"/>
  <c r="U254" i="4"/>
  <c r="U93" i="4"/>
  <c r="U258" i="4"/>
  <c r="U253" i="4"/>
  <c r="U96" i="4"/>
  <c r="U78" i="4"/>
  <c r="U95" i="4"/>
  <c r="U248" i="4"/>
  <c r="U299" i="4"/>
  <c r="U76" i="4"/>
  <c r="U97" i="4"/>
  <c r="H16" i="4"/>
  <c r="Q16" i="4"/>
  <c r="I279" i="4"/>
  <c r="O16" i="4"/>
  <c r="P16" i="4"/>
  <c r="K16" i="4"/>
  <c r="N16" i="4"/>
  <c r="L16" i="4"/>
  <c r="M16" i="4"/>
  <c r="J16" i="4"/>
  <c r="I16" i="4"/>
  <c r="F16" i="4"/>
  <c r="J105" i="4"/>
  <c r="J259" i="4"/>
  <c r="J282" i="4"/>
  <c r="J285" i="4" s="1"/>
  <c r="J20" i="4" s="1"/>
  <c r="O124" i="4"/>
  <c r="O127" i="4" s="1"/>
  <c r="O129" i="4" s="1"/>
  <c r="O139" i="4" s="1"/>
  <c r="O259" i="4"/>
  <c r="O282" i="4"/>
  <c r="H259" i="4"/>
  <c r="I282" i="4"/>
  <c r="I105" i="4"/>
  <c r="I298" i="4" s="1"/>
  <c r="I300" i="4" s="1"/>
  <c r="I24" i="4" s="1"/>
  <c r="I124" i="4"/>
  <c r="I127" i="4" s="1"/>
  <c r="H105" i="4"/>
  <c r="H124" i="4"/>
  <c r="H127" i="4" s="1"/>
  <c r="K104" i="4"/>
  <c r="K282" i="4" s="1"/>
  <c r="A57" i="4"/>
  <c r="A58" i="4" s="1"/>
  <c r="A59" i="4" s="1"/>
  <c r="L105" i="4"/>
  <c r="A292" i="4"/>
  <c r="A293" i="4" s="1"/>
  <c r="R21" i="4" s="1"/>
  <c r="A157" i="4"/>
  <c r="L282" i="4"/>
  <c r="L124" i="4"/>
  <c r="L127" i="4" s="1"/>
  <c r="F102" i="4"/>
  <c r="U102" i="4" s="1"/>
  <c r="N124" i="4"/>
  <c r="N127" i="4" s="1"/>
  <c r="N105" i="4"/>
  <c r="P259" i="4"/>
  <c r="P282" i="4"/>
  <c r="P285" i="4" s="1"/>
  <c r="P20" i="4" s="1"/>
  <c r="N259" i="4"/>
  <c r="M259" i="4"/>
  <c r="P105" i="4"/>
  <c r="M124" i="4"/>
  <c r="M282" i="4"/>
  <c r="M285" i="4" s="1"/>
  <c r="M20" i="4" s="1"/>
  <c r="N285" i="4"/>
  <c r="N20" i="4" s="1"/>
  <c r="F98" i="4"/>
  <c r="A116" i="8"/>
  <c r="A118" i="8" s="1"/>
  <c r="A120" i="8" s="1"/>
  <c r="A122" i="8" s="1"/>
  <c r="A213" i="8"/>
  <c r="K279" i="4"/>
  <c r="A52" i="36"/>
  <c r="E16" i="36"/>
  <c r="A295" i="36"/>
  <c r="A296" i="36" s="1"/>
  <c r="F46" i="4"/>
  <c r="O298" i="4" l="1"/>
  <c r="O300" i="4" s="1"/>
  <c r="O24" i="4" s="1"/>
  <c r="D76" i="8" s="1"/>
  <c r="E76" i="8" s="1"/>
  <c r="G76" i="8" s="1"/>
  <c r="H238" i="8"/>
  <c r="A214" i="8"/>
  <c r="H239" i="8" s="1"/>
  <c r="O285" i="4"/>
  <c r="O20" i="4" s="1"/>
  <c r="L285" i="4"/>
  <c r="L20" i="4" s="1"/>
  <c r="Q134" i="4"/>
  <c r="Q288" i="4"/>
  <c r="Q293" i="4" s="1"/>
  <c r="Q21" i="4" s="1"/>
  <c r="Q137" i="4"/>
  <c r="Q252" i="4"/>
  <c r="Q260" i="4" s="1"/>
  <c r="Q262" i="4" s="1"/>
  <c r="Q19" i="4" s="1"/>
  <c r="M127" i="4"/>
  <c r="M129" i="4" s="1"/>
  <c r="M139" i="4" s="1"/>
  <c r="U46" i="4"/>
  <c r="M298" i="4"/>
  <c r="M300" i="4" s="1"/>
  <c r="M24" i="4" s="1"/>
  <c r="A70" i="8"/>
  <c r="G121" i="4"/>
  <c r="G279" i="4"/>
  <c r="G285" i="4" s="1"/>
  <c r="G105" i="4"/>
  <c r="G136" i="4" s="1"/>
  <c r="G124" i="4"/>
  <c r="G259" i="4"/>
  <c r="I285" i="4"/>
  <c r="I20" i="4" s="1"/>
  <c r="J136" i="4"/>
  <c r="J298" i="4"/>
  <c r="J300" i="4" s="1"/>
  <c r="J24" i="4" s="1"/>
  <c r="J129" i="4"/>
  <c r="J139" i="4" s="1"/>
  <c r="N129" i="4"/>
  <c r="N139" i="4" s="1"/>
  <c r="H136" i="4"/>
  <c r="I129" i="4"/>
  <c r="L298" i="4"/>
  <c r="L300" i="4" s="1"/>
  <c r="L24" i="4" s="1"/>
  <c r="L129" i="4"/>
  <c r="L139" i="4" s="1"/>
  <c r="K124" i="4"/>
  <c r="K127" i="4" s="1"/>
  <c r="P136" i="4"/>
  <c r="P129" i="4"/>
  <c r="P139" i="4" s="1"/>
  <c r="I136" i="4"/>
  <c r="H298" i="4"/>
  <c r="H300" i="4" s="1"/>
  <c r="H24" i="4" s="1"/>
  <c r="H129" i="4"/>
  <c r="K105" i="4"/>
  <c r="K259" i="4"/>
  <c r="R293" i="4"/>
  <c r="A60" i="4"/>
  <c r="A61" i="4" s="1"/>
  <c r="A62" i="4" s="1"/>
  <c r="A158" i="4"/>
  <c r="A159" i="4" s="1"/>
  <c r="L136" i="4"/>
  <c r="N298" i="4"/>
  <c r="N300" i="4" s="1"/>
  <c r="N24" i="4" s="1"/>
  <c r="O137" i="4"/>
  <c r="N136" i="4"/>
  <c r="F104" i="4"/>
  <c r="F259" i="4" s="1"/>
  <c r="A297" i="36"/>
  <c r="A298" i="36" s="1"/>
  <c r="A299" i="36" s="1"/>
  <c r="A300" i="36" s="1"/>
  <c r="P298" i="4"/>
  <c r="P300" i="4" s="1"/>
  <c r="P24" i="4" s="1"/>
  <c r="A216" i="8"/>
  <c r="K285" i="4"/>
  <c r="K20" i="4" s="1"/>
  <c r="A154" i="8"/>
  <c r="A155" i="8" s="1"/>
  <c r="A157" i="36"/>
  <c r="E25" i="36"/>
  <c r="K16" i="36"/>
  <c r="O16" i="36"/>
  <c r="M16" i="36"/>
  <c r="G16" i="36"/>
  <c r="H16" i="36"/>
  <c r="S16" i="36" s="1"/>
  <c r="N16" i="36"/>
  <c r="I16" i="36"/>
  <c r="J16" i="36"/>
  <c r="F16" i="36"/>
  <c r="L16" i="36"/>
  <c r="A53" i="36"/>
  <c r="A55" i="36" s="1"/>
  <c r="A56" i="36" s="1"/>
  <c r="A57" i="36" s="1"/>
  <c r="A58" i="36" s="1"/>
  <c r="A59" i="36" s="1"/>
  <c r="G147" i="8"/>
  <c r="E151" i="8"/>
  <c r="G18" i="8"/>
  <c r="F121" i="4"/>
  <c r="F279" i="4"/>
  <c r="H217" i="8" l="1"/>
  <c r="A72" i="8"/>
  <c r="H222" i="8"/>
  <c r="P156" i="8"/>
  <c r="P159" i="8"/>
  <c r="P147" i="8"/>
  <c r="H205" i="8"/>
  <c r="H208" i="8"/>
  <c r="H211" i="8"/>
  <c r="H214" i="8"/>
  <c r="Q141" i="4"/>
  <c r="Q143" i="4" s="1"/>
  <c r="Q14" i="4" s="1"/>
  <c r="Q22" i="4" s="1"/>
  <c r="A156" i="8"/>
  <c r="A158" i="8" s="1"/>
  <c r="A159" i="8" s="1"/>
  <c r="H202" i="8"/>
  <c r="A217" i="8"/>
  <c r="H288" i="4"/>
  <c r="H293" i="4" s="1"/>
  <c r="H21" i="4" s="1"/>
  <c r="H139" i="4"/>
  <c r="I288" i="4"/>
  <c r="I293" i="4" s="1"/>
  <c r="I21" i="4" s="1"/>
  <c r="I139" i="4"/>
  <c r="D18" i="8"/>
  <c r="U279" i="4"/>
  <c r="A158" i="36"/>
  <c r="A159" i="36" s="1"/>
  <c r="A60" i="36"/>
  <c r="A61" i="36" s="1"/>
  <c r="A62" i="36" s="1"/>
  <c r="A63" i="36" s="1"/>
  <c r="M137" i="4"/>
  <c r="M134" i="4"/>
  <c r="M252" i="4"/>
  <c r="M260" i="4" s="1"/>
  <c r="M262" i="4" s="1"/>
  <c r="M19" i="4" s="1"/>
  <c r="M288" i="4"/>
  <c r="M293" i="4" s="1"/>
  <c r="M21" i="4" s="1"/>
  <c r="U121" i="4"/>
  <c r="G127" i="4"/>
  <c r="G129" i="4" s="1"/>
  <c r="G298" i="4"/>
  <c r="G300" i="4" s="1"/>
  <c r="U259" i="4"/>
  <c r="U104" i="4"/>
  <c r="G20" i="4"/>
  <c r="A160" i="4"/>
  <c r="K136" i="4"/>
  <c r="K129" i="4"/>
  <c r="K139" i="4" s="1"/>
  <c r="K298" i="4"/>
  <c r="K300" i="4" s="1"/>
  <c r="K24" i="4" s="1"/>
  <c r="A63" i="4"/>
  <c r="A64" i="4" s="1"/>
  <c r="A65" i="4" s="1"/>
  <c r="L134" i="4"/>
  <c r="L252" i="4"/>
  <c r="L260" i="4" s="1"/>
  <c r="L288" i="4"/>
  <c r="L293" i="4" s="1"/>
  <c r="L21" i="4" s="1"/>
  <c r="L137" i="4"/>
  <c r="H252" i="4"/>
  <c r="H260" i="4" s="1"/>
  <c r="H134" i="4"/>
  <c r="H137" i="4"/>
  <c r="P137" i="4"/>
  <c r="F282" i="4"/>
  <c r="U282" i="4" s="1"/>
  <c r="F124" i="4"/>
  <c r="F105" i="4"/>
  <c r="U105" i="4" s="1"/>
  <c r="O288" i="4"/>
  <c r="O293" i="4" s="1"/>
  <c r="O21" i="4" s="1"/>
  <c r="N134" i="4"/>
  <c r="N252" i="4"/>
  <c r="N260" i="4" s="1"/>
  <c r="N288" i="4"/>
  <c r="N293" i="4" s="1"/>
  <c r="N21" i="4" s="1"/>
  <c r="N137" i="4"/>
  <c r="I137" i="4"/>
  <c r="O134" i="4"/>
  <c r="O252" i="4"/>
  <c r="O260" i="4" s="1"/>
  <c r="I252" i="4"/>
  <c r="I260" i="4" s="1"/>
  <c r="I134" i="4"/>
  <c r="G151" i="8"/>
  <c r="D147" i="8"/>
  <c r="J252" i="4"/>
  <c r="J260" i="4" s="1"/>
  <c r="J134" i="4"/>
  <c r="J137" i="4"/>
  <c r="J288" i="4"/>
  <c r="J293" i="4" s="1"/>
  <c r="J21" i="4" s="1"/>
  <c r="G159" i="8"/>
  <c r="G155" i="8"/>
  <c r="D124" i="8" l="1"/>
  <c r="N124" i="8" s="1"/>
  <c r="N125" i="8" s="1"/>
  <c r="Q23" i="4"/>
  <c r="Q25" i="4" s="1"/>
  <c r="D81" i="8" s="1"/>
  <c r="N81" i="8" s="1"/>
  <c r="N82" i="8" s="1"/>
  <c r="A160" i="8"/>
  <c r="A162" i="8" s="1"/>
  <c r="P160" i="8"/>
  <c r="A74" i="8"/>
  <c r="H224" i="8"/>
  <c r="M141" i="4"/>
  <c r="M143" i="4" s="1"/>
  <c r="M14" i="4" s="1"/>
  <c r="M23" i="4" s="1"/>
  <c r="G137" i="4"/>
  <c r="G139" i="4"/>
  <c r="G288" i="4"/>
  <c r="G293" i="4" s="1"/>
  <c r="G134" i="4"/>
  <c r="F127" i="4"/>
  <c r="U127" i="4" s="1"/>
  <c r="A160" i="36"/>
  <c r="A64" i="36"/>
  <c r="A65" i="36" s="1"/>
  <c r="A66" i="36" s="1"/>
  <c r="A67" i="36" s="1"/>
  <c r="A68" i="36" s="1"/>
  <c r="A69" i="36" s="1"/>
  <c r="A70" i="36" s="1"/>
  <c r="A71" i="36" s="1"/>
  <c r="A72" i="36" s="1"/>
  <c r="G252" i="4"/>
  <c r="G260" i="4" s="1"/>
  <c r="G262" i="4" s="1"/>
  <c r="I262" i="4"/>
  <c r="I19" i="4" s="1"/>
  <c r="O262" i="4"/>
  <c r="O19" i="4" s="1"/>
  <c r="J262" i="4"/>
  <c r="J19" i="4" s="1"/>
  <c r="L262" i="4"/>
  <c r="L19" i="4" s="1"/>
  <c r="H262" i="4"/>
  <c r="H19" i="4" s="1"/>
  <c r="N262" i="4"/>
  <c r="N19" i="4" s="1"/>
  <c r="A163" i="8"/>
  <c r="U124" i="4"/>
  <c r="R18" i="8"/>
  <c r="G24" i="4"/>
  <c r="A295" i="4"/>
  <c r="A296" i="4" s="1"/>
  <c r="A297" i="4" s="1"/>
  <c r="A298" i="4" s="1"/>
  <c r="A299" i="4" s="1"/>
  <c r="A300" i="4" s="1"/>
  <c r="R24" i="4" s="1"/>
  <c r="A161" i="4"/>
  <c r="K252" i="4"/>
  <c r="K260" i="4" s="1"/>
  <c r="K137" i="4"/>
  <c r="K134" i="4"/>
  <c r="K288" i="4"/>
  <c r="K293" i="4" s="1"/>
  <c r="K21" i="4" s="1"/>
  <c r="A66" i="4"/>
  <c r="A67" i="4" s="1"/>
  <c r="F285" i="4"/>
  <c r="L141" i="4"/>
  <c r="L143" i="4" s="1"/>
  <c r="L14" i="4" s="1"/>
  <c r="L22" i="4" s="1"/>
  <c r="H141" i="4"/>
  <c r="H143" i="4" s="1"/>
  <c r="H14" i="4" s="1"/>
  <c r="D105" i="8" s="1"/>
  <c r="P252" i="4"/>
  <c r="P260" i="4" s="1"/>
  <c r="P288" i="4"/>
  <c r="P293" i="4" s="1"/>
  <c r="P21" i="4" s="1"/>
  <c r="P134" i="4"/>
  <c r="F136" i="4"/>
  <c r="F298" i="4"/>
  <c r="U298" i="4" s="1"/>
  <c r="N141" i="4"/>
  <c r="N143" i="4" s="1"/>
  <c r="N14" i="4" s="1"/>
  <c r="N22" i="4" s="1"/>
  <c r="O141" i="4"/>
  <c r="O143" i="4" s="1"/>
  <c r="O14" i="4" s="1"/>
  <c r="O22" i="4" s="1"/>
  <c r="I141" i="4"/>
  <c r="I143" i="4" s="1"/>
  <c r="I14" i="4" s="1"/>
  <c r="I23" i="4" s="1"/>
  <c r="N148" i="8"/>
  <c r="D148" i="8"/>
  <c r="J148" i="8"/>
  <c r="M148" i="8"/>
  <c r="I148" i="8"/>
  <c r="K148" i="8"/>
  <c r="H148" i="8"/>
  <c r="L148" i="8"/>
  <c r="O148" i="8"/>
  <c r="F148" i="8"/>
  <c r="E148" i="8"/>
  <c r="D159" i="8"/>
  <c r="E160" i="8" s="1"/>
  <c r="D151" i="8"/>
  <c r="G152" i="8" s="1"/>
  <c r="D155" i="8"/>
  <c r="G156" i="8" s="1"/>
  <c r="G148" i="8"/>
  <c r="J141" i="4"/>
  <c r="J143" i="4" s="1"/>
  <c r="J14" i="4" s="1"/>
  <c r="R147" i="8"/>
  <c r="O124" i="8" l="1"/>
  <c r="D116" i="8"/>
  <c r="F116" i="8" s="1"/>
  <c r="M22" i="4"/>
  <c r="M25" i="4" s="1"/>
  <c r="D70" i="8" s="1"/>
  <c r="N70" i="8" s="1"/>
  <c r="A75" i="8"/>
  <c r="F129" i="4"/>
  <c r="F134" i="4" s="1"/>
  <c r="U134" i="4" s="1"/>
  <c r="O81" i="8"/>
  <c r="G141" i="4"/>
  <c r="G143" i="4" s="1"/>
  <c r="U136" i="4"/>
  <c r="A161" i="36"/>
  <c r="A162" i="36" s="1"/>
  <c r="P262" i="4"/>
  <c r="P19" i="4" s="1"/>
  <c r="K262" i="4"/>
  <c r="K19" i="4" s="1"/>
  <c r="A164" i="8"/>
  <c r="P165" i="8" s="1"/>
  <c r="F20" i="4"/>
  <c r="U20" i="4" s="1"/>
  <c r="U285" i="4"/>
  <c r="G21" i="4"/>
  <c r="A162" i="4"/>
  <c r="A163" i="4" s="1"/>
  <c r="A164" i="4" s="1"/>
  <c r="A165" i="4" s="1"/>
  <c r="K141" i="4"/>
  <c r="K143" i="4" s="1"/>
  <c r="K14" i="4" s="1"/>
  <c r="K23" i="4" s="1"/>
  <c r="A68" i="4"/>
  <c r="A69" i="4" s="1"/>
  <c r="A70" i="4" s="1"/>
  <c r="A71" i="4" s="1"/>
  <c r="P141" i="4"/>
  <c r="P143" i="4" s="1"/>
  <c r="P14" i="4" s="1"/>
  <c r="H22" i="4"/>
  <c r="L23" i="4"/>
  <c r="L25" i="4" s="1"/>
  <c r="D68" i="8" s="1"/>
  <c r="L68" i="8" s="1"/>
  <c r="H23" i="4"/>
  <c r="D114" i="8"/>
  <c r="M114" i="8" s="1"/>
  <c r="N23" i="4"/>
  <c r="N25" i="4" s="1"/>
  <c r="D72" i="8" s="1"/>
  <c r="F300" i="4"/>
  <c r="U300" i="4" s="1"/>
  <c r="D118" i="8"/>
  <c r="F118" i="8" s="1"/>
  <c r="A219" i="8"/>
  <c r="A220" i="8" s="1"/>
  <c r="I22" i="4"/>
  <c r="I25" i="4" s="1"/>
  <c r="D63" i="8" s="1"/>
  <c r="D109" i="8"/>
  <c r="O23" i="4"/>
  <c r="D75" i="8" s="1"/>
  <c r="D77" i="8" s="1"/>
  <c r="R300" i="4"/>
  <c r="R148" i="8"/>
  <c r="A123" i="8"/>
  <c r="A124" i="8" s="1"/>
  <c r="A125" i="8" s="1"/>
  <c r="A127" i="8" s="1"/>
  <c r="H156" i="8"/>
  <c r="H105" i="8" s="1"/>
  <c r="D156" i="8"/>
  <c r="J156" i="8"/>
  <c r="J105" i="8" s="1"/>
  <c r="M156" i="8"/>
  <c r="M105" i="8" s="1"/>
  <c r="N156" i="8"/>
  <c r="N105" i="8" s="1"/>
  <c r="K156" i="8"/>
  <c r="K105" i="8" s="1"/>
  <c r="L156" i="8"/>
  <c r="L105" i="8" s="1"/>
  <c r="I156" i="8"/>
  <c r="I105" i="8" s="1"/>
  <c r="O156" i="8"/>
  <c r="F156" i="8"/>
  <c r="F105" i="8" s="1"/>
  <c r="E156" i="8"/>
  <c r="E105" i="8" s="1"/>
  <c r="J23" i="4"/>
  <c r="D110" i="8"/>
  <c r="J22" i="4"/>
  <c r="H160" i="8"/>
  <c r="K160" i="8"/>
  <c r="D160" i="8"/>
  <c r="M160" i="8"/>
  <c r="L160" i="8"/>
  <c r="J160" i="8"/>
  <c r="N160" i="8"/>
  <c r="I160" i="8"/>
  <c r="O160" i="8"/>
  <c r="F160" i="8"/>
  <c r="J152" i="8"/>
  <c r="M152" i="8"/>
  <c r="K152" i="8"/>
  <c r="D152" i="8"/>
  <c r="I152" i="8"/>
  <c r="L152" i="8"/>
  <c r="N152" i="8"/>
  <c r="H152" i="8"/>
  <c r="O152" i="8"/>
  <c r="F152" i="8"/>
  <c r="E152" i="8"/>
  <c r="G160" i="8"/>
  <c r="U129" i="4" l="1"/>
  <c r="M116" i="8"/>
  <c r="F252" i="4"/>
  <c r="G252" i="36" s="1"/>
  <c r="J116" i="8"/>
  <c r="I116" i="8"/>
  <c r="F137" i="4"/>
  <c r="O137" i="36" s="1"/>
  <c r="F139" i="4"/>
  <c r="U139" i="4" s="1"/>
  <c r="H116" i="8"/>
  <c r="L116" i="8"/>
  <c r="F140" i="4"/>
  <c r="J140" i="36" s="1"/>
  <c r="K116" i="8"/>
  <c r="E116" i="8"/>
  <c r="N116" i="8"/>
  <c r="F288" i="4"/>
  <c r="M288" i="36" s="1"/>
  <c r="E70" i="8"/>
  <c r="E222" i="8" s="1"/>
  <c r="E223" i="8" s="1"/>
  <c r="D12" i="44" s="1"/>
  <c r="J70" i="8"/>
  <c r="H70" i="8"/>
  <c r="K70" i="8"/>
  <c r="M70" i="8"/>
  <c r="I70" i="8"/>
  <c r="L70" i="8"/>
  <c r="A221" i="8"/>
  <c r="A76" i="8"/>
  <c r="A77" i="8" s="1"/>
  <c r="F70" i="8"/>
  <c r="I296" i="36"/>
  <c r="F243" i="36"/>
  <c r="N170" i="36"/>
  <c r="G124" i="36"/>
  <c r="F42" i="36"/>
  <c r="N202" i="36"/>
  <c r="K280" i="36"/>
  <c r="K258" i="36"/>
  <c r="K281" i="36"/>
  <c r="N175" i="36"/>
  <c r="K161" i="36"/>
  <c r="F281" i="36"/>
  <c r="N96" i="36"/>
  <c r="K257" i="36"/>
  <c r="F90" i="36"/>
  <c r="L84" i="36"/>
  <c r="K87" i="36"/>
  <c r="F203" i="36"/>
  <c r="L296" i="36"/>
  <c r="J206" i="36"/>
  <c r="K162" i="36"/>
  <c r="F59" i="36"/>
  <c r="I290" i="36"/>
  <c r="K126" i="36"/>
  <c r="F255" i="36"/>
  <c r="K160" i="36"/>
  <c r="F229" i="36"/>
  <c r="J283" i="36"/>
  <c r="K88" i="36"/>
  <c r="K76" i="36"/>
  <c r="K242" i="36"/>
  <c r="K80" i="36"/>
  <c r="K70" i="36"/>
  <c r="K136" i="36"/>
  <c r="K200" i="36"/>
  <c r="K250" i="36"/>
  <c r="K171" i="36"/>
  <c r="F93" i="36"/>
  <c r="F70" i="36"/>
  <c r="F58" i="36"/>
  <c r="F79" i="36"/>
  <c r="F240" i="36"/>
  <c r="F292" i="36"/>
  <c r="N234" i="36"/>
  <c r="N123" i="36"/>
  <c r="N253" i="36"/>
  <c r="J170" i="36"/>
  <c r="J66" i="36"/>
  <c r="L83" i="36"/>
  <c r="L254" i="36"/>
  <c r="K93" i="36"/>
  <c r="K94" i="36"/>
  <c r="K77" i="36"/>
  <c r="K185" i="36"/>
  <c r="K75" i="36"/>
  <c r="K165" i="36"/>
  <c r="K125" i="36"/>
  <c r="K236" i="36"/>
  <c r="K241" i="36"/>
  <c r="K290" i="36"/>
  <c r="F283" i="36"/>
  <c r="F56" i="36"/>
  <c r="F125" i="36"/>
  <c r="F77" i="36"/>
  <c r="F241" i="36"/>
  <c r="F75" i="36"/>
  <c r="N199" i="36"/>
  <c r="N51" i="36"/>
  <c r="J83" i="36"/>
  <c r="L93" i="36"/>
  <c r="O90" i="36"/>
  <c r="G281" i="36"/>
  <c r="G257" i="36"/>
  <c r="G86" i="36"/>
  <c r="G62" i="36"/>
  <c r="G191" i="36"/>
  <c r="G79" i="36"/>
  <c r="G279" i="36"/>
  <c r="G125" i="36"/>
  <c r="G206" i="36"/>
  <c r="G83" i="36"/>
  <c r="G189" i="36"/>
  <c r="G175" i="36"/>
  <c r="G51" i="36"/>
  <c r="G241" i="36"/>
  <c r="G121" i="36"/>
  <c r="G203" i="36"/>
  <c r="G165" i="36"/>
  <c r="G162" i="36"/>
  <c r="G164" i="36"/>
  <c r="G250" i="36"/>
  <c r="G122" i="36"/>
  <c r="G84" i="36"/>
  <c r="G190" i="36"/>
  <c r="G60" i="36"/>
  <c r="G297" i="36"/>
  <c r="G254" i="36"/>
  <c r="G234" i="36"/>
  <c r="G90" i="36"/>
  <c r="G174" i="36"/>
  <c r="G58" i="36"/>
  <c r="G292" i="36"/>
  <c r="G123" i="36"/>
  <c r="G159" i="36"/>
  <c r="G81" i="36"/>
  <c r="G205" i="36"/>
  <c r="G172" i="36"/>
  <c r="G52" i="36"/>
  <c r="G255" i="36"/>
  <c r="G134" i="36"/>
  <c r="G251" i="36"/>
  <c r="G78" i="36"/>
  <c r="G44" i="36"/>
  <c r="G183" i="36"/>
  <c r="G68" i="36"/>
  <c r="G96" i="36"/>
  <c r="G193" i="36"/>
  <c r="G298" i="36"/>
  <c r="G290" i="36"/>
  <c r="G236" i="36"/>
  <c r="G93" i="36"/>
  <c r="G57" i="36"/>
  <c r="G176" i="36"/>
  <c r="G192" i="36"/>
  <c r="G284" i="36"/>
  <c r="G243" i="36"/>
  <c r="G197" i="36"/>
  <c r="G71" i="36"/>
  <c r="G291" i="36"/>
  <c r="G184" i="36"/>
  <c r="G296" i="36"/>
  <c r="G66" i="36"/>
  <c r="G75" i="36"/>
  <c r="G228" i="36"/>
  <c r="G95" i="36"/>
  <c r="G299" i="36"/>
  <c r="G170" i="36"/>
  <c r="G249" i="36"/>
  <c r="G101" i="36"/>
  <c r="G240" i="36"/>
  <c r="G67" i="36"/>
  <c r="G89" i="36"/>
  <c r="G166" i="36"/>
  <c r="G135" i="36"/>
  <c r="G233" i="36"/>
  <c r="G80" i="36"/>
  <c r="G173" i="36"/>
  <c r="G56" i="36"/>
  <c r="G76" i="36"/>
  <c r="G70" i="36"/>
  <c r="G82" i="36"/>
  <c r="G227" i="36"/>
  <c r="G65" i="36"/>
  <c r="G185" i="36"/>
  <c r="G280" i="36"/>
  <c r="G133" i="36"/>
  <c r="G225" i="36"/>
  <c r="G85" i="36"/>
  <c r="G45" i="36"/>
  <c r="G229" i="36"/>
  <c r="G92" i="36"/>
  <c r="G253" i="36"/>
  <c r="G138" i="36"/>
  <c r="G186" i="36"/>
  <c r="G63" i="36"/>
  <c r="G161" i="36"/>
  <c r="G248" i="36"/>
  <c r="G42" i="36"/>
  <c r="G59" i="36"/>
  <c r="G43" i="36"/>
  <c r="G49" i="36"/>
  <c r="G163" i="36"/>
  <c r="G259" i="36"/>
  <c r="G77" i="36"/>
  <c r="G50" i="36"/>
  <c r="G61" i="36"/>
  <c r="G202" i="36"/>
  <c r="G235" i="36"/>
  <c r="G282" i="36"/>
  <c r="G200" i="36"/>
  <c r="G201" i="36"/>
  <c r="G126" i="36"/>
  <c r="G204" i="36"/>
  <c r="G188" i="36"/>
  <c r="G283" i="36"/>
  <c r="G87" i="36"/>
  <c r="G91" i="36"/>
  <c r="G187" i="36"/>
  <c r="G242" i="36"/>
  <c r="G88" i="36"/>
  <c r="G256" i="36"/>
  <c r="G97" i="36"/>
  <c r="G100" i="36"/>
  <c r="G160" i="36"/>
  <c r="G258" i="36"/>
  <c r="G94" i="36"/>
  <c r="G289" i="36"/>
  <c r="G226" i="36"/>
  <c r="G69" i="36"/>
  <c r="G198" i="36"/>
  <c r="N171" i="36"/>
  <c r="N86" i="36"/>
  <c r="N249" i="36"/>
  <c r="N189" i="36"/>
  <c r="N66" i="36"/>
  <c r="N257" i="36"/>
  <c r="N95" i="36"/>
  <c r="N91" i="36"/>
  <c r="N203" i="36"/>
  <c r="N134" i="36"/>
  <c r="N78" i="36"/>
  <c r="N233" i="36"/>
  <c r="N290" i="36"/>
  <c r="N164" i="36"/>
  <c r="N192" i="36"/>
  <c r="N75" i="36"/>
  <c r="N279" i="36"/>
  <c r="N126" i="36"/>
  <c r="N225" i="36"/>
  <c r="N92" i="36"/>
  <c r="N292" i="36"/>
  <c r="N136" i="36"/>
  <c r="N242" i="36"/>
  <c r="N88" i="36"/>
  <c r="N94" i="36"/>
  <c r="N56" i="36"/>
  <c r="N284" i="36"/>
  <c r="N258" i="36"/>
  <c r="N296" i="36"/>
  <c r="N283" i="36"/>
  <c r="N228" i="36"/>
  <c r="N80" i="36"/>
  <c r="N43" i="36"/>
  <c r="N45" i="36"/>
  <c r="N235" i="36"/>
  <c r="N133" i="36"/>
  <c r="N291" i="36"/>
  <c r="N280" i="36"/>
  <c r="N87" i="36"/>
  <c r="N62" i="36"/>
  <c r="N176" i="36"/>
  <c r="N165" i="36"/>
  <c r="N226" i="36"/>
  <c r="N241" i="36"/>
  <c r="N79" i="36"/>
  <c r="N42" i="36"/>
  <c r="N186" i="36"/>
  <c r="N248" i="36"/>
  <c r="N97" i="36"/>
  <c r="N174" i="36"/>
  <c r="N65" i="36"/>
  <c r="N251" i="36"/>
  <c r="N122" i="36"/>
  <c r="N227" i="36"/>
  <c r="N255" i="36"/>
  <c r="N206" i="36"/>
  <c r="N198" i="36"/>
  <c r="N289" i="36"/>
  <c r="N204" i="36"/>
  <c r="N298" i="36"/>
  <c r="N240" i="36"/>
  <c r="N93" i="36"/>
  <c r="N191" i="36"/>
  <c r="N61" i="36"/>
  <c r="N83" i="36"/>
  <c r="N259" i="36"/>
  <c r="N187" i="36"/>
  <c r="N82" i="36"/>
  <c r="N282" i="36"/>
  <c r="N188" i="36"/>
  <c r="N243" i="36"/>
  <c r="N184" i="36"/>
  <c r="N125" i="36"/>
  <c r="N138" i="36"/>
  <c r="N124" i="36"/>
  <c r="N256" i="36"/>
  <c r="N159" i="36"/>
  <c r="N201" i="36"/>
  <c r="N60" i="36"/>
  <c r="N297" i="36"/>
  <c r="N166" i="36"/>
  <c r="N64" i="36"/>
  <c r="N193" i="36"/>
  <c r="N70" i="36"/>
  <c r="N163" i="36"/>
  <c r="N57" i="36"/>
  <c r="N254" i="36"/>
  <c r="N162" i="36"/>
  <c r="N160" i="36"/>
  <c r="N85" i="36"/>
  <c r="N58" i="36"/>
  <c r="N135" i="36"/>
  <c r="N84" i="36"/>
  <c r="N281" i="36"/>
  <c r="N205" i="36"/>
  <c r="N200" i="36"/>
  <c r="N77" i="36"/>
  <c r="N183" i="36"/>
  <c r="N50" i="36"/>
  <c r="N49" i="36"/>
  <c r="N229" i="36"/>
  <c r="N101" i="36"/>
  <c r="N173" i="36"/>
  <c r="N71" i="36"/>
  <c r="N68" i="36"/>
  <c r="N172" i="36"/>
  <c r="N100" i="36"/>
  <c r="N90" i="36"/>
  <c r="N81" i="36"/>
  <c r="N63" i="36"/>
  <c r="K176" i="36"/>
  <c r="K82" i="36"/>
  <c r="K79" i="36"/>
  <c r="K186" i="36"/>
  <c r="K187" i="36"/>
  <c r="K96" i="36"/>
  <c r="K100" i="36"/>
  <c r="K191" i="36"/>
  <c r="F279" i="36"/>
  <c r="F88" i="36"/>
  <c r="F290" i="36"/>
  <c r="F248" i="36"/>
  <c r="F43" i="36"/>
  <c r="F76" i="36"/>
  <c r="N89" i="36"/>
  <c r="N59" i="36"/>
  <c r="N190" i="36"/>
  <c r="J198" i="36"/>
  <c r="G64" i="36"/>
  <c r="L166" i="36"/>
  <c r="L161" i="36"/>
  <c r="L243" i="36"/>
  <c r="L89" i="36"/>
  <c r="L64" i="36"/>
  <c r="L186" i="36"/>
  <c r="L49" i="36"/>
  <c r="L249" i="36"/>
  <c r="L91" i="36"/>
  <c r="L227" i="36"/>
  <c r="L67" i="36"/>
  <c r="L297" i="36"/>
  <c r="L58" i="36"/>
  <c r="L241" i="36"/>
  <c r="L234" i="36"/>
  <c r="L101" i="36"/>
  <c r="L240" i="36"/>
  <c r="L298" i="36"/>
  <c r="L190" i="36"/>
  <c r="L188" i="36"/>
  <c r="L258" i="36"/>
  <c r="L124" i="36"/>
  <c r="L204" i="36"/>
  <c r="L63" i="36"/>
  <c r="L187" i="36"/>
  <c r="L125" i="36"/>
  <c r="L176" i="36"/>
  <c r="L159" i="36"/>
  <c r="L253" i="36"/>
  <c r="L95" i="36"/>
  <c r="L185" i="36"/>
  <c r="L171" i="36"/>
  <c r="L66" i="36"/>
  <c r="L248" i="36"/>
  <c r="L199" i="36"/>
  <c r="L202" i="36"/>
  <c r="L126" i="36"/>
  <c r="L205" i="36"/>
  <c r="L56" i="36"/>
  <c r="L175" i="36"/>
  <c r="L283" i="36"/>
  <c r="L123" i="36"/>
  <c r="L192" i="36"/>
  <c r="L62" i="36"/>
  <c r="L289" i="36"/>
  <c r="L100" i="36"/>
  <c r="L88" i="36"/>
  <c r="L198" i="36"/>
  <c r="L78" i="36"/>
  <c r="L82" i="36"/>
  <c r="L282" i="36"/>
  <c r="L173" i="36"/>
  <c r="L69" i="36"/>
  <c r="L165" i="36"/>
  <c r="L135" i="36"/>
  <c r="L228" i="36"/>
  <c r="L79" i="36"/>
  <c r="L160" i="36"/>
  <c r="L164" i="36"/>
  <c r="L61" i="36"/>
  <c r="L85" i="36"/>
  <c r="L255" i="36"/>
  <c r="L225" i="36"/>
  <c r="L87" i="36"/>
  <c r="L284" i="36"/>
  <c r="L197" i="36"/>
  <c r="L81" i="36"/>
  <c r="L206" i="36"/>
  <c r="L201" i="36"/>
  <c r="L70" i="36"/>
  <c r="L184" i="36"/>
  <c r="L122" i="36"/>
  <c r="L203" i="36"/>
  <c r="L189" i="36"/>
  <c r="L71" i="36"/>
  <c r="L134" i="36"/>
  <c r="L86" i="36"/>
  <c r="L250" i="36"/>
  <c r="L94" i="36"/>
  <c r="L59" i="36"/>
  <c r="L90" i="36"/>
  <c r="L44" i="36"/>
  <c r="L65" i="36"/>
  <c r="L97" i="36"/>
  <c r="L137" i="36"/>
  <c r="L43" i="36"/>
  <c r="L92" i="36"/>
  <c r="L60" i="36"/>
  <c r="L256" i="36"/>
  <c r="L42" i="36"/>
  <c r="L68" i="36"/>
  <c r="L200" i="36"/>
  <c r="L138" i="36"/>
  <c r="L50" i="36"/>
  <c r="L80" i="36"/>
  <c r="L51" i="36"/>
  <c r="L76" i="36"/>
  <c r="L257" i="36"/>
  <c r="L193" i="36"/>
  <c r="L57" i="36"/>
  <c r="L45" i="36"/>
  <c r="L163" i="36"/>
  <c r="L174" i="36"/>
  <c r="L96" i="36"/>
  <c r="L75" i="36"/>
  <c r="L290" i="36"/>
  <c r="L292" i="36"/>
  <c r="L242" i="36"/>
  <c r="L172" i="36"/>
  <c r="L77" i="36"/>
  <c r="L229" i="36"/>
  <c r="L170" i="36"/>
  <c r="L279" i="36"/>
  <c r="L136" i="36"/>
  <c r="L291" i="36"/>
  <c r="L235" i="36"/>
  <c r="L133" i="36"/>
  <c r="L233" i="36"/>
  <c r="L281" i="36"/>
  <c r="L251" i="36"/>
  <c r="L191" i="36"/>
  <c r="L259" i="36"/>
  <c r="L299" i="36"/>
  <c r="L121" i="36"/>
  <c r="L52" i="36"/>
  <c r="L236" i="36"/>
  <c r="K299" i="36"/>
  <c r="K56" i="36"/>
  <c r="K123" i="36"/>
  <c r="K255" i="36"/>
  <c r="K43" i="36"/>
  <c r="K227" i="36"/>
  <c r="K159" i="36"/>
  <c r="K297" i="36"/>
  <c r="K138" i="36"/>
  <c r="K233" i="36"/>
  <c r="K90" i="36"/>
  <c r="K192" i="36"/>
  <c r="K61" i="36"/>
  <c r="K289" i="36"/>
  <c r="K67" i="36"/>
  <c r="K249" i="36"/>
  <c r="K251" i="36"/>
  <c r="K201" i="36"/>
  <c r="K135" i="36"/>
  <c r="K284" i="36"/>
  <c r="K124" i="36"/>
  <c r="K193" i="36"/>
  <c r="K71" i="36"/>
  <c r="K59" i="36"/>
  <c r="K173" i="36"/>
  <c r="K292" i="36"/>
  <c r="K243" i="36"/>
  <c r="K296" i="36"/>
  <c r="K228" i="36"/>
  <c r="K68" i="36"/>
  <c r="K298" i="36"/>
  <c r="K226" i="36"/>
  <c r="K134" i="36"/>
  <c r="K225" i="36"/>
  <c r="K49" i="36"/>
  <c r="K166" i="36"/>
  <c r="K122" i="36"/>
  <c r="K229" i="36"/>
  <c r="K66" i="36"/>
  <c r="K184" i="36"/>
  <c r="K50" i="36"/>
  <c r="K279" i="36"/>
  <c r="K133" i="36"/>
  <c r="K57" i="36"/>
  <c r="K235" i="36"/>
  <c r="K89" i="36"/>
  <c r="K190" i="36"/>
  <c r="K121" i="36"/>
  <c r="K256" i="36"/>
  <c r="K65" i="36"/>
  <c r="K202" i="36"/>
  <c r="K60" i="36"/>
  <c r="K248" i="36"/>
  <c r="K101" i="36"/>
  <c r="K81" i="36"/>
  <c r="K199" i="36"/>
  <c r="K44" i="36"/>
  <c r="K283" i="36"/>
  <c r="K85" i="36"/>
  <c r="K203" i="36"/>
  <c r="K69" i="36"/>
  <c r="K83" i="36"/>
  <c r="K95" i="36"/>
  <c r="K92" i="36"/>
  <c r="K42" i="36"/>
  <c r="K204" i="36"/>
  <c r="K63" i="36"/>
  <c r="K51" i="36"/>
  <c r="K174" i="36"/>
  <c r="K91" i="36"/>
  <c r="K183" i="36"/>
  <c r="K170" i="36"/>
  <c r="K240" i="36"/>
  <c r="F57" i="36"/>
  <c r="F61" i="36"/>
  <c r="F298" i="36"/>
  <c r="F171" i="36"/>
  <c r="F228" i="36"/>
  <c r="N44" i="36"/>
  <c r="N76" i="36"/>
  <c r="N121" i="36"/>
  <c r="J248" i="36"/>
  <c r="L183" i="36"/>
  <c r="G199" i="36"/>
  <c r="J253" i="36"/>
  <c r="J165" i="36"/>
  <c r="J299" i="36"/>
  <c r="J225" i="36"/>
  <c r="J79" i="36"/>
  <c r="J292" i="36"/>
  <c r="J204" i="36"/>
  <c r="J186" i="36"/>
  <c r="J101" i="36"/>
  <c r="J44" i="36"/>
  <c r="J184" i="36"/>
  <c r="J88" i="36"/>
  <c r="J233" i="36"/>
  <c r="J201" i="36"/>
  <c r="J163" i="36"/>
  <c r="J296" i="36"/>
  <c r="J280" i="36"/>
  <c r="J205" i="36"/>
  <c r="J197" i="36"/>
  <c r="J133" i="36"/>
  <c r="J97" i="36"/>
  <c r="J171" i="36"/>
  <c r="J45" i="36"/>
  <c r="J70" i="36"/>
  <c r="J259" i="36"/>
  <c r="J52" i="36"/>
  <c r="J190" i="36"/>
  <c r="J175" i="36"/>
  <c r="J203" i="36"/>
  <c r="J126" i="36"/>
  <c r="J255" i="36"/>
  <c r="J75" i="36"/>
  <c r="J254" i="36"/>
  <c r="J243" i="36"/>
  <c r="J297" i="36"/>
  <c r="J60" i="36"/>
  <c r="J80" i="36"/>
  <c r="J228" i="36"/>
  <c r="J49" i="36"/>
  <c r="J61" i="36"/>
  <c r="J183" i="36"/>
  <c r="J226" i="36"/>
  <c r="J161" i="36"/>
  <c r="J84" i="36"/>
  <c r="J63" i="36"/>
  <c r="J187" i="36"/>
  <c r="J81" i="36"/>
  <c r="J284" i="36"/>
  <c r="J258" i="36"/>
  <c r="J164" i="36"/>
  <c r="J91" i="36"/>
  <c r="J86" i="36"/>
  <c r="J236" i="36"/>
  <c r="J162" i="36"/>
  <c r="J160" i="36"/>
  <c r="J188" i="36"/>
  <c r="J93" i="36"/>
  <c r="J85" i="36"/>
  <c r="J64" i="36"/>
  <c r="J193" i="36"/>
  <c r="J67" i="36"/>
  <c r="J289" i="36"/>
  <c r="J291" i="36"/>
  <c r="J251" i="36"/>
  <c r="J76" i="36"/>
  <c r="J249" i="36"/>
  <c r="J82" i="36"/>
  <c r="J257" i="36"/>
  <c r="J290" i="36"/>
  <c r="J58" i="36"/>
  <c r="J166" i="36"/>
  <c r="J172" i="36"/>
  <c r="J50" i="36"/>
  <c r="J125" i="36"/>
  <c r="J229" i="36"/>
  <c r="J90" i="36"/>
  <c r="J298" i="36"/>
  <c r="J122" i="36"/>
  <c r="J174" i="36"/>
  <c r="J282" i="36"/>
  <c r="J56" i="36"/>
  <c r="J185" i="36"/>
  <c r="J59" i="36"/>
  <c r="J89" i="36"/>
  <c r="J42" i="36"/>
  <c r="J62" i="36"/>
  <c r="J192" i="36"/>
  <c r="J227" i="36"/>
  <c r="J123" i="36"/>
  <c r="J240" i="36"/>
  <c r="J43" i="36"/>
  <c r="J202" i="36"/>
  <c r="J71" i="36"/>
  <c r="J65" i="36"/>
  <c r="J57" i="36"/>
  <c r="J96" i="36"/>
  <c r="J242" i="36"/>
  <c r="J68" i="36"/>
  <c r="J69" i="36"/>
  <c r="J191" i="36"/>
  <c r="J234" i="36"/>
  <c r="J176" i="36"/>
  <c r="J200" i="36"/>
  <c r="J51" i="36"/>
  <c r="J77" i="36"/>
  <c r="J256" i="36"/>
  <c r="J173" i="36"/>
  <c r="J189" i="36"/>
  <c r="J100" i="36"/>
  <c r="J134" i="36"/>
  <c r="J94" i="36"/>
  <c r="J250" i="36"/>
  <c r="J135" i="36"/>
  <c r="J78" i="36"/>
  <c r="J199" i="36"/>
  <c r="J95" i="36"/>
  <c r="J136" i="36"/>
  <c r="J121" i="36"/>
  <c r="J279" i="36"/>
  <c r="J124" i="36"/>
  <c r="F201" i="36"/>
  <c r="F205" i="36"/>
  <c r="F296" i="36"/>
  <c r="F124" i="36"/>
  <c r="F236" i="36"/>
  <c r="F297" i="36"/>
  <c r="F49" i="36"/>
  <c r="F134" i="36"/>
  <c r="F163" i="36"/>
  <c r="F62" i="36"/>
  <c r="F123" i="36"/>
  <c r="F226" i="36"/>
  <c r="F69" i="36"/>
  <c r="F284" i="36"/>
  <c r="F133" i="36"/>
  <c r="F87" i="36"/>
  <c r="F126" i="36"/>
  <c r="F199" i="36"/>
  <c r="F258" i="36"/>
  <c r="F175" i="36"/>
  <c r="F256" i="36"/>
  <c r="F159" i="36"/>
  <c r="F280" i="36"/>
  <c r="F86" i="36"/>
  <c r="F250" i="36"/>
  <c r="F202" i="36"/>
  <c r="F164" i="36"/>
  <c r="F64" i="36"/>
  <c r="F184" i="36"/>
  <c r="F136" i="36"/>
  <c r="F96" i="36"/>
  <c r="F204" i="36"/>
  <c r="F44" i="36"/>
  <c r="F259" i="36"/>
  <c r="F235" i="36"/>
  <c r="F165" i="36"/>
  <c r="F174" i="36"/>
  <c r="F291" i="36"/>
  <c r="F65" i="36"/>
  <c r="F225" i="36"/>
  <c r="F66" i="36"/>
  <c r="F68" i="36"/>
  <c r="F81" i="36"/>
  <c r="F138" i="36"/>
  <c r="F50" i="36"/>
  <c r="F100" i="36"/>
  <c r="F91" i="36"/>
  <c r="F51" i="36"/>
  <c r="F78" i="36"/>
  <c r="F190" i="36"/>
  <c r="F60" i="36"/>
  <c r="F198" i="36"/>
  <c r="F173" i="36"/>
  <c r="F299" i="36"/>
  <c r="F170" i="36"/>
  <c r="F289" i="36"/>
  <c r="F186" i="36"/>
  <c r="F82" i="36"/>
  <c r="F166" i="36"/>
  <c r="F251" i="36"/>
  <c r="F80" i="36"/>
  <c r="F94" i="36"/>
  <c r="F254" i="36"/>
  <c r="F227" i="36"/>
  <c r="F122" i="36"/>
  <c r="F193" i="36"/>
  <c r="F97" i="36"/>
  <c r="F189" i="36"/>
  <c r="F67" i="36"/>
  <c r="F197" i="36"/>
  <c r="F172" i="36"/>
  <c r="F89" i="36"/>
  <c r="F191" i="36"/>
  <c r="F233" i="36"/>
  <c r="F242" i="36"/>
  <c r="F52" i="36"/>
  <c r="F101" i="36"/>
  <c r="F187" i="36"/>
  <c r="F63" i="36"/>
  <c r="F84" i="36"/>
  <c r="F135" i="36"/>
  <c r="F183" i="36"/>
  <c r="F71" i="36"/>
  <c r="F249" i="36"/>
  <c r="F185" i="36"/>
  <c r="I256" i="36"/>
  <c r="I136" i="36"/>
  <c r="I49" i="36"/>
  <c r="I176" i="36"/>
  <c r="I67" i="36"/>
  <c r="I259" i="36"/>
  <c r="I70" i="36"/>
  <c r="I205" i="36"/>
  <c r="I164" i="36"/>
  <c r="I172" i="36"/>
  <c r="I249" i="36"/>
  <c r="I163" i="36"/>
  <c r="I91" i="36"/>
  <c r="I175" i="36"/>
  <c r="I125" i="36"/>
  <c r="I283" i="36"/>
  <c r="I162" i="36"/>
  <c r="I233" i="36"/>
  <c r="I52" i="36"/>
  <c r="I251" i="36"/>
  <c r="I83" i="36"/>
  <c r="I185" i="36"/>
  <c r="I126" i="36"/>
  <c r="I280" i="36"/>
  <c r="I65" i="36"/>
  <c r="I229" i="36"/>
  <c r="I253" i="36"/>
  <c r="I188" i="36"/>
  <c r="I57" i="36"/>
  <c r="I250" i="36"/>
  <c r="I122" i="36"/>
  <c r="I44" i="36"/>
  <c r="I165" i="36"/>
  <c r="I202" i="36"/>
  <c r="I254" i="36"/>
  <c r="I62" i="36"/>
  <c r="I258" i="36"/>
  <c r="I56" i="36"/>
  <c r="I203" i="36"/>
  <c r="I95" i="36"/>
  <c r="I299" i="36"/>
  <c r="I90" i="36"/>
  <c r="I124" i="36"/>
  <c r="I173" i="36"/>
  <c r="I289" i="36"/>
  <c r="I82" i="36"/>
  <c r="I235" i="36"/>
  <c r="I159" i="36"/>
  <c r="I64" i="36"/>
  <c r="I297" i="36"/>
  <c r="I69" i="36"/>
  <c r="I257" i="36"/>
  <c r="I199" i="36"/>
  <c r="I77" i="36"/>
  <c r="I88" i="36"/>
  <c r="I227" i="36"/>
  <c r="I94" i="36"/>
  <c r="I171" i="36"/>
  <c r="I97" i="36"/>
  <c r="I59" i="36"/>
  <c r="I186" i="36"/>
  <c r="I134" i="36"/>
  <c r="I298" i="36"/>
  <c r="I89" i="36"/>
  <c r="I248" i="36"/>
  <c r="I191" i="36"/>
  <c r="I236" i="36"/>
  <c r="I93" i="36"/>
  <c r="I61" i="36"/>
  <c r="I292" i="36"/>
  <c r="I187" i="36"/>
  <c r="I92" i="36"/>
  <c r="I50" i="36"/>
  <c r="I226" i="36"/>
  <c r="I166" i="36"/>
  <c r="I192" i="36"/>
  <c r="I87" i="36"/>
  <c r="I241" i="36"/>
  <c r="I133" i="36"/>
  <c r="I66" i="36"/>
  <c r="I184" i="36"/>
  <c r="I79" i="36"/>
  <c r="I279" i="36"/>
  <c r="I71" i="36"/>
  <c r="I206" i="36"/>
  <c r="I135" i="36"/>
  <c r="I284" i="36"/>
  <c r="I197" i="36"/>
  <c r="I291" i="36"/>
  <c r="I242" i="36"/>
  <c r="I101" i="36"/>
  <c r="I201" i="36"/>
  <c r="I86" i="36"/>
  <c r="I161" i="36"/>
  <c r="I96" i="36"/>
  <c r="I84" i="36"/>
  <c r="I190" i="36"/>
  <c r="I78" i="36"/>
  <c r="I81" i="36"/>
  <c r="I234" i="36"/>
  <c r="I174" i="36"/>
  <c r="I225" i="36"/>
  <c r="I85" i="36"/>
  <c r="I204" i="36"/>
  <c r="I183" i="36"/>
  <c r="I281" i="36"/>
  <c r="I58" i="36"/>
  <c r="I45" i="36"/>
  <c r="I200" i="36"/>
  <c r="I75" i="36"/>
  <c r="I80" i="36"/>
  <c r="I193" i="36"/>
  <c r="I60" i="36"/>
  <c r="I68" i="36"/>
  <c r="I76" i="36"/>
  <c r="I240" i="36"/>
  <c r="I100" i="36"/>
  <c r="I123" i="36"/>
  <c r="I63" i="36"/>
  <c r="I282" i="36"/>
  <c r="I198" i="36"/>
  <c r="I255" i="36"/>
  <c r="I43" i="36"/>
  <c r="I121" i="36"/>
  <c r="I160" i="36"/>
  <c r="I189" i="36"/>
  <c r="I243" i="36"/>
  <c r="I228" i="36"/>
  <c r="I170" i="36"/>
  <c r="I138" i="36"/>
  <c r="I51" i="36"/>
  <c r="K198" i="36"/>
  <c r="K62" i="36"/>
  <c r="K64" i="36"/>
  <c r="K189" i="36"/>
  <c r="K291" i="36"/>
  <c r="K206" i="36"/>
  <c r="K259" i="36"/>
  <c r="K164" i="36"/>
  <c r="K86" i="36"/>
  <c r="F161" i="36"/>
  <c r="F121" i="36"/>
  <c r="F85" i="36"/>
  <c r="F95" i="36"/>
  <c r="F192" i="36"/>
  <c r="F206" i="36"/>
  <c r="N250" i="36"/>
  <c r="N161" i="36"/>
  <c r="N236" i="36"/>
  <c r="J241" i="36"/>
  <c r="J92" i="36"/>
  <c r="L226" i="36"/>
  <c r="G171" i="36"/>
  <c r="J87" i="36"/>
  <c r="O240" i="36"/>
  <c r="O248" i="36"/>
  <c r="O204" i="36"/>
  <c r="O292" i="36"/>
  <c r="O135" i="36"/>
  <c r="O123" i="36"/>
  <c r="O44" i="36"/>
  <c r="O172" i="36"/>
  <c r="O125" i="36"/>
  <c r="O50" i="36"/>
  <c r="O298" i="36"/>
  <c r="O189" i="36"/>
  <c r="O284" i="36"/>
  <c r="O255" i="36"/>
  <c r="O64" i="36"/>
  <c r="O190" i="36"/>
  <c r="O256" i="36"/>
  <c r="O229" i="36"/>
  <c r="O93" i="36"/>
  <c r="O250" i="36"/>
  <c r="O251" i="36"/>
  <c r="O121" i="36"/>
  <c r="O52" i="36"/>
  <c r="O184" i="36"/>
  <c r="O299" i="36"/>
  <c r="O170" i="36"/>
  <c r="O68" i="36"/>
  <c r="O193" i="36"/>
  <c r="O42" i="36"/>
  <c r="O70" i="36"/>
  <c r="O164" i="36"/>
  <c r="O281" i="36"/>
  <c r="O253" i="36"/>
  <c r="O61" i="36"/>
  <c r="O235" i="36"/>
  <c r="O233" i="36"/>
  <c r="O236" i="36"/>
  <c r="O134" i="36"/>
  <c r="O290" i="36"/>
  <c r="O202" i="36"/>
  <c r="O136" i="36"/>
  <c r="O89" i="36"/>
  <c r="O79" i="36"/>
  <c r="O62" i="36"/>
  <c r="O60" i="36"/>
  <c r="O289" i="36"/>
  <c r="O243" i="36"/>
  <c r="O69" i="36"/>
  <c r="O188" i="36"/>
  <c r="O162" i="36"/>
  <c r="O138" i="36"/>
  <c r="O66" i="36"/>
  <c r="O205" i="36"/>
  <c r="O166" i="36"/>
  <c r="O206" i="36"/>
  <c r="O83" i="36"/>
  <c r="O87" i="36"/>
  <c r="O279" i="36"/>
  <c r="O45" i="36"/>
  <c r="O86" i="36"/>
  <c r="O241" i="36"/>
  <c r="O67" i="36"/>
  <c r="O174" i="36"/>
  <c r="O258" i="36"/>
  <c r="O82" i="36"/>
  <c r="O198" i="36"/>
  <c r="O186" i="36"/>
  <c r="O161" i="36"/>
  <c r="O100" i="36"/>
  <c r="O203" i="36"/>
  <c r="O160" i="36"/>
  <c r="O197" i="36"/>
  <c r="O296" i="36"/>
  <c r="O94" i="36"/>
  <c r="O63" i="36"/>
  <c r="O283" i="36"/>
  <c r="O84" i="36"/>
  <c r="O175" i="36"/>
  <c r="O65" i="36"/>
  <c r="O76" i="36"/>
  <c r="O171" i="36"/>
  <c r="O122" i="36"/>
  <c r="O234" i="36"/>
  <c r="O201" i="36"/>
  <c r="O159" i="36"/>
  <c r="O51" i="36"/>
  <c r="O242" i="36"/>
  <c r="O58" i="36"/>
  <c r="O192" i="36"/>
  <c r="O85" i="36"/>
  <c r="O226" i="36"/>
  <c r="O92" i="36"/>
  <c r="O191" i="36"/>
  <c r="O200" i="36"/>
  <c r="O91" i="36"/>
  <c r="O163" i="36"/>
  <c r="O75" i="36"/>
  <c r="O71" i="36"/>
  <c r="O185" i="36"/>
  <c r="O176" i="36"/>
  <c r="O254" i="36"/>
  <c r="O282" i="36"/>
  <c r="O165" i="36"/>
  <c r="O43" i="36"/>
  <c r="O124" i="36"/>
  <c r="O228" i="36"/>
  <c r="O133" i="36"/>
  <c r="O225" i="36"/>
  <c r="O101" i="36"/>
  <c r="O97" i="36"/>
  <c r="O199" i="36"/>
  <c r="O96" i="36"/>
  <c r="O280" i="36"/>
  <c r="O81" i="36"/>
  <c r="O227" i="36"/>
  <c r="O59" i="36"/>
  <c r="O297" i="36"/>
  <c r="O183" i="36"/>
  <c r="O259" i="36"/>
  <c r="O95" i="36"/>
  <c r="O80" i="36"/>
  <c r="O49" i="36"/>
  <c r="O291" i="36"/>
  <c r="O257" i="36"/>
  <c r="O187" i="36"/>
  <c r="O57" i="36"/>
  <c r="O249" i="36"/>
  <c r="O126" i="36"/>
  <c r="O88" i="36"/>
  <c r="O56" i="36"/>
  <c r="O77" i="36"/>
  <c r="O78" i="36"/>
  <c r="O173" i="36"/>
  <c r="K205" i="36"/>
  <c r="K163" i="36"/>
  <c r="K78" i="36"/>
  <c r="K253" i="36"/>
  <c r="K254" i="36"/>
  <c r="K97" i="36"/>
  <c r="K52" i="36"/>
  <c r="F234" i="36"/>
  <c r="F160" i="36"/>
  <c r="F92" i="36"/>
  <c r="F45" i="36"/>
  <c r="F257" i="36"/>
  <c r="F188" i="36"/>
  <c r="N69" i="36"/>
  <c r="N185" i="36"/>
  <c r="N197" i="36"/>
  <c r="J138" i="36"/>
  <c r="J281" i="36"/>
  <c r="L280" i="36"/>
  <c r="G136" i="36"/>
  <c r="M243" i="36"/>
  <c r="M81" i="36"/>
  <c r="M95" i="36"/>
  <c r="M172" i="36"/>
  <c r="M79" i="36"/>
  <c r="M256" i="36"/>
  <c r="M163" i="36"/>
  <c r="M190" i="36"/>
  <c r="M235" i="36"/>
  <c r="M258" i="36"/>
  <c r="M88" i="36"/>
  <c r="M52" i="36"/>
  <c r="M297" i="36"/>
  <c r="M86" i="36"/>
  <c r="M191" i="36"/>
  <c r="M193" i="36"/>
  <c r="M227" i="36"/>
  <c r="M229" i="36"/>
  <c r="M253" i="36"/>
  <c r="M80" i="36"/>
  <c r="M60" i="36"/>
  <c r="M185" i="36"/>
  <c r="M92" i="36"/>
  <c r="M280" i="36"/>
  <c r="M189" i="36"/>
  <c r="M85" i="36"/>
  <c r="M296" i="36"/>
  <c r="M123" i="36"/>
  <c r="M184" i="36"/>
  <c r="M226" i="36"/>
  <c r="M242" i="36"/>
  <c r="M291" i="36"/>
  <c r="M161" i="36"/>
  <c r="M174" i="36"/>
  <c r="M201" i="36"/>
  <c r="M283" i="36"/>
  <c r="M94" i="36"/>
  <c r="M203" i="36"/>
  <c r="M62" i="36"/>
  <c r="M87" i="36"/>
  <c r="M299" i="36"/>
  <c r="M56" i="36"/>
  <c r="M225" i="36"/>
  <c r="M101" i="36"/>
  <c r="M176" i="36"/>
  <c r="M173" i="36"/>
  <c r="M292" i="36"/>
  <c r="M186" i="36"/>
  <c r="M200" i="36"/>
  <c r="M279" i="36"/>
  <c r="M126" i="36"/>
  <c r="M165" i="36"/>
  <c r="M170" i="36"/>
  <c r="M228" i="36"/>
  <c r="M61" i="36"/>
  <c r="M43" i="36"/>
  <c r="M171" i="36"/>
  <c r="M121" i="36"/>
  <c r="M234" i="36"/>
  <c r="M90" i="36"/>
  <c r="M175" i="36"/>
  <c r="M77" i="36"/>
  <c r="M248" i="36"/>
  <c r="M125" i="36"/>
  <c r="M289" i="36"/>
  <c r="M255" i="36"/>
  <c r="M68" i="36"/>
  <c r="M59" i="36"/>
  <c r="M70" i="36"/>
  <c r="M164" i="36"/>
  <c r="M66" i="36"/>
  <c r="M78" i="36"/>
  <c r="M192" i="36"/>
  <c r="M51" i="36"/>
  <c r="M135" i="36"/>
  <c r="M44" i="36"/>
  <c r="M199" i="36"/>
  <c r="M91" i="36"/>
  <c r="M122" i="36"/>
  <c r="M69" i="36"/>
  <c r="M58" i="36"/>
  <c r="M236" i="36"/>
  <c r="M75" i="36"/>
  <c r="M249" i="36"/>
  <c r="M188" i="36"/>
  <c r="M83" i="36"/>
  <c r="M251" i="36"/>
  <c r="M160" i="36"/>
  <c r="M202" i="36"/>
  <c r="M281" i="36"/>
  <c r="M259" i="36"/>
  <c r="M97" i="36"/>
  <c r="M45" i="36"/>
  <c r="M205" i="36"/>
  <c r="M82" i="36"/>
  <c r="M162" i="36"/>
  <c r="M138" i="36"/>
  <c r="M93" i="36"/>
  <c r="M49" i="36"/>
  <c r="M134" i="36"/>
  <c r="M63" i="36"/>
  <c r="M133" i="36"/>
  <c r="M197" i="36"/>
  <c r="M71" i="36"/>
  <c r="M282" i="36"/>
  <c r="M198" i="36"/>
  <c r="M241" i="36"/>
  <c r="M67" i="36"/>
  <c r="M284" i="36"/>
  <c r="M96" i="36"/>
  <c r="M84" i="36"/>
  <c r="M233" i="36"/>
  <c r="M42" i="36"/>
  <c r="M100" i="36"/>
  <c r="M159" i="36"/>
  <c r="M50" i="36"/>
  <c r="M183" i="36"/>
  <c r="M257" i="36"/>
  <c r="M298" i="36"/>
  <c r="M64" i="36"/>
  <c r="M204" i="36"/>
  <c r="M254" i="36"/>
  <c r="M65" i="36"/>
  <c r="M124" i="36"/>
  <c r="M89" i="36"/>
  <c r="M290" i="36"/>
  <c r="M57" i="36"/>
  <c r="M187" i="36"/>
  <c r="M76" i="36"/>
  <c r="M240" i="36"/>
  <c r="M136" i="36"/>
  <c r="M206" i="36"/>
  <c r="M166" i="36"/>
  <c r="M250" i="36"/>
  <c r="K188" i="36"/>
  <c r="K45" i="36"/>
  <c r="K282" i="36"/>
  <c r="K84" i="36"/>
  <c r="K197" i="36"/>
  <c r="K234" i="36"/>
  <c r="K58" i="36"/>
  <c r="K172" i="36"/>
  <c r="K175" i="36"/>
  <c r="F83" i="36"/>
  <c r="F176" i="36"/>
  <c r="F162" i="36"/>
  <c r="F282" i="36"/>
  <c r="F253" i="36"/>
  <c r="F200" i="36"/>
  <c r="N67" i="36"/>
  <c r="N52" i="36"/>
  <c r="N299" i="36"/>
  <c r="J235" i="36"/>
  <c r="J159" i="36"/>
  <c r="L162" i="36"/>
  <c r="I42" i="36"/>
  <c r="A163" i="36"/>
  <c r="K22" i="4"/>
  <c r="K25" i="4" s="1"/>
  <c r="D65" i="8" s="1"/>
  <c r="A165" i="8"/>
  <c r="P166" i="8" s="1"/>
  <c r="O105" i="8"/>
  <c r="P22" i="4"/>
  <c r="D123" i="8"/>
  <c r="M123" i="8" s="1"/>
  <c r="G14" i="4"/>
  <c r="G19" i="4"/>
  <c r="D111" i="8"/>
  <c r="A166" i="4"/>
  <c r="I68" i="8"/>
  <c r="P23" i="4"/>
  <c r="I114" i="8"/>
  <c r="K114" i="8"/>
  <c r="J114" i="8"/>
  <c r="E114" i="8"/>
  <c r="H114" i="8"/>
  <c r="L114" i="8"/>
  <c r="N114" i="8"/>
  <c r="A72" i="4"/>
  <c r="A74" i="4" s="1"/>
  <c r="A75" i="4" s="1"/>
  <c r="R72" i="4"/>
  <c r="H25" i="4"/>
  <c r="D59" i="8" s="1"/>
  <c r="J68" i="8"/>
  <c r="E68" i="8"/>
  <c r="E220" i="8" s="1"/>
  <c r="F114" i="8"/>
  <c r="H68" i="8"/>
  <c r="F68" i="8"/>
  <c r="F220" i="8" s="1"/>
  <c r="N68" i="8"/>
  <c r="K68" i="8"/>
  <c r="M68" i="8"/>
  <c r="F24" i="4"/>
  <c r="U24" i="4" s="1"/>
  <c r="L118" i="8"/>
  <c r="H118" i="8"/>
  <c r="J118" i="8"/>
  <c r="M118" i="8"/>
  <c r="K118" i="8"/>
  <c r="N118" i="8"/>
  <c r="E118" i="8"/>
  <c r="G118" i="8" s="1"/>
  <c r="I118" i="8"/>
  <c r="O25" i="4"/>
  <c r="E109" i="8"/>
  <c r="K109" i="8"/>
  <c r="H109" i="8"/>
  <c r="N109" i="8"/>
  <c r="M109" i="8"/>
  <c r="I109" i="8"/>
  <c r="F109" i="8"/>
  <c r="G116" i="8"/>
  <c r="L63" i="8"/>
  <c r="J63" i="8"/>
  <c r="J25" i="4"/>
  <c r="D64" i="8" s="1"/>
  <c r="L64" i="8" s="1"/>
  <c r="H63" i="8"/>
  <c r="P125" i="8"/>
  <c r="K63" i="8"/>
  <c r="E63" i="8"/>
  <c r="I110" i="8"/>
  <c r="M110" i="8"/>
  <c r="F110" i="8"/>
  <c r="J110" i="8"/>
  <c r="N110" i="8"/>
  <c r="K110" i="8"/>
  <c r="L110" i="8"/>
  <c r="H110" i="8"/>
  <c r="E110" i="8"/>
  <c r="F63" i="8"/>
  <c r="I63" i="8"/>
  <c r="L109" i="8"/>
  <c r="J109" i="8"/>
  <c r="N63" i="8"/>
  <c r="M63" i="8"/>
  <c r="G105" i="8"/>
  <c r="K72" i="8"/>
  <c r="F72" i="8"/>
  <c r="L72" i="8"/>
  <c r="H72" i="8"/>
  <c r="M72" i="8"/>
  <c r="J72" i="8"/>
  <c r="I72" i="8"/>
  <c r="N72" i="8"/>
  <c r="E72" i="8"/>
  <c r="E224" i="8" s="1"/>
  <c r="E225" i="8" s="1"/>
  <c r="F260" i="4" l="1"/>
  <c r="F262" i="4" s="1"/>
  <c r="K252" i="36"/>
  <c r="K260" i="36" s="1"/>
  <c r="O252" i="36"/>
  <c r="O260" i="36" s="1"/>
  <c r="U252" i="4"/>
  <c r="K288" i="36"/>
  <c r="K293" i="36" s="1"/>
  <c r="K21" i="36" s="1"/>
  <c r="F293" i="4"/>
  <c r="U293" i="4" s="1"/>
  <c r="F288" i="36"/>
  <c r="F293" i="36" s="1"/>
  <c r="F21" i="36" s="1"/>
  <c r="U288" i="4"/>
  <c r="U137" i="4"/>
  <c r="I137" i="36"/>
  <c r="J137" i="36"/>
  <c r="O288" i="36"/>
  <c r="O293" i="36" s="1"/>
  <c r="O21" i="36" s="1"/>
  <c r="J288" i="36"/>
  <c r="J293" i="36" s="1"/>
  <c r="J21" i="36" s="1"/>
  <c r="M137" i="36"/>
  <c r="N137" i="36"/>
  <c r="K137" i="36"/>
  <c r="I288" i="36"/>
  <c r="I293" i="36" s="1"/>
  <c r="I21" i="36" s="1"/>
  <c r="F252" i="36"/>
  <c r="F260" i="36" s="1"/>
  <c r="L252" i="36"/>
  <c r="L260" i="36" s="1"/>
  <c r="M252" i="36"/>
  <c r="M260" i="36" s="1"/>
  <c r="I252" i="36"/>
  <c r="I260" i="36" s="1"/>
  <c r="L288" i="36"/>
  <c r="L293" i="36" s="1"/>
  <c r="L21" i="36" s="1"/>
  <c r="F137" i="36"/>
  <c r="G137" i="36"/>
  <c r="N288" i="36"/>
  <c r="N293" i="36" s="1"/>
  <c r="N21" i="36" s="1"/>
  <c r="G288" i="36"/>
  <c r="G293" i="36" s="1"/>
  <c r="G21" i="36" s="1"/>
  <c r="J252" i="36"/>
  <c r="J260" i="36" s="1"/>
  <c r="N252" i="36"/>
  <c r="N260" i="36" s="1"/>
  <c r="O139" i="36"/>
  <c r="I139" i="36"/>
  <c r="M139" i="36"/>
  <c r="F139" i="36"/>
  <c r="N139" i="36"/>
  <c r="L139" i="36"/>
  <c r="J139" i="36"/>
  <c r="J141" i="36" s="1"/>
  <c r="K139" i="36"/>
  <c r="G139" i="36"/>
  <c r="F141" i="4"/>
  <c r="U141" i="4" s="1"/>
  <c r="M140" i="36"/>
  <c r="O140" i="36"/>
  <c r="U140" i="4"/>
  <c r="K140" i="36"/>
  <c r="L140" i="36"/>
  <c r="I140" i="36"/>
  <c r="N140" i="36"/>
  <c r="H296" i="36"/>
  <c r="O116" i="8"/>
  <c r="R116" i="8" s="1"/>
  <c r="H202" i="36"/>
  <c r="G70" i="8"/>
  <c r="G222" i="8" s="1"/>
  <c r="G223" i="8" s="1"/>
  <c r="O70" i="8"/>
  <c r="H126" i="36"/>
  <c r="A79" i="8"/>
  <c r="A80" i="8" s="1"/>
  <c r="H213" i="8" s="1"/>
  <c r="H227" i="8"/>
  <c r="P77" i="8"/>
  <c r="A222" i="8"/>
  <c r="H174" i="36"/>
  <c r="N180" i="38" s="1"/>
  <c r="F222" i="8"/>
  <c r="F223" i="8" s="1"/>
  <c r="E12" i="44" s="1"/>
  <c r="H64" i="36"/>
  <c r="H186" i="36"/>
  <c r="H159" i="36"/>
  <c r="H83" i="36"/>
  <c r="H172" i="36"/>
  <c r="H250" i="36"/>
  <c r="H86" i="36"/>
  <c r="H166" i="36"/>
  <c r="H161" i="36"/>
  <c r="H234" i="36"/>
  <c r="H189" i="36"/>
  <c r="H50" i="36"/>
  <c r="H164" i="36"/>
  <c r="H243" i="36"/>
  <c r="H92" i="36"/>
  <c r="H201" i="36"/>
  <c r="H184" i="36"/>
  <c r="H248" i="36"/>
  <c r="P246" i="38" s="1"/>
  <c r="H68" i="36"/>
  <c r="H175" i="36"/>
  <c r="H57" i="36"/>
  <c r="H227" i="36"/>
  <c r="H62" i="36"/>
  <c r="H233" i="36"/>
  <c r="P228" i="38" s="1"/>
  <c r="H65" i="36"/>
  <c r="H284" i="36"/>
  <c r="H88" i="36"/>
  <c r="H253" i="36"/>
  <c r="H176" i="36"/>
  <c r="N182" i="38" s="1"/>
  <c r="H70" i="36"/>
  <c r="H188" i="36"/>
  <c r="H173" i="36"/>
  <c r="H61" i="36"/>
  <c r="H185" i="36"/>
  <c r="H191" i="36"/>
  <c r="H122" i="36"/>
  <c r="H204" i="36"/>
  <c r="H249" i="36"/>
  <c r="H52" i="36"/>
  <c r="H51" i="36"/>
  <c r="H226" i="36"/>
  <c r="G53" i="36"/>
  <c r="F244" i="36"/>
  <c r="K244" i="36"/>
  <c r="H162" i="36"/>
  <c r="J237" i="36"/>
  <c r="H60" i="36"/>
  <c r="H133" i="36"/>
  <c r="P84" i="38" s="1"/>
  <c r="H49" i="36"/>
  <c r="P15" i="38" s="1"/>
  <c r="H160" i="36"/>
  <c r="P166" i="36"/>
  <c r="R133" i="36"/>
  <c r="H124" i="36"/>
  <c r="P184" i="36"/>
  <c r="H165" i="36"/>
  <c r="H282" i="36"/>
  <c r="H63" i="36"/>
  <c r="H91" i="36"/>
  <c r="H123" i="36"/>
  <c r="H76" i="36"/>
  <c r="H228" i="36"/>
  <c r="H67" i="36"/>
  <c r="H163" i="36"/>
  <c r="P280" i="36"/>
  <c r="O244" i="36"/>
  <c r="H251" i="36"/>
  <c r="H198" i="36"/>
  <c r="H87" i="36"/>
  <c r="H298" i="36"/>
  <c r="G300" i="36"/>
  <c r="G24" i="36" s="1"/>
  <c r="P71" i="36"/>
  <c r="H200" i="36"/>
  <c r="R122" i="36"/>
  <c r="H95" i="36"/>
  <c r="H254" i="36"/>
  <c r="H259" i="36"/>
  <c r="P260" i="38" s="1"/>
  <c r="P261" i="38" s="1"/>
  <c r="R64" i="36"/>
  <c r="I53" i="36"/>
  <c r="R229" i="36"/>
  <c r="J167" i="36"/>
  <c r="P226" i="36"/>
  <c r="R233" i="36"/>
  <c r="L167" i="36"/>
  <c r="P185" i="36"/>
  <c r="R67" i="36"/>
  <c r="G230" i="36"/>
  <c r="G167" i="36"/>
  <c r="N237" i="36"/>
  <c r="R202" i="36"/>
  <c r="R171" i="36"/>
  <c r="R138" i="36"/>
  <c r="N230" i="36"/>
  <c r="K237" i="36"/>
  <c r="R185" i="36"/>
  <c r="P133" i="36"/>
  <c r="J102" i="36"/>
  <c r="P240" i="36"/>
  <c r="P52" i="36"/>
  <c r="R205" i="36"/>
  <c r="P171" i="36"/>
  <c r="P227" i="36"/>
  <c r="R184" i="36"/>
  <c r="J53" i="36"/>
  <c r="P64" i="36"/>
  <c r="P163" i="36"/>
  <c r="N53" i="36"/>
  <c r="P204" i="36"/>
  <c r="P202" i="36"/>
  <c r="R174" i="36"/>
  <c r="O230" i="36"/>
  <c r="O237" i="36"/>
  <c r="I177" i="36"/>
  <c r="I230" i="36"/>
  <c r="P122" i="36"/>
  <c r="P188" i="36"/>
  <c r="P283" i="36"/>
  <c r="R163" i="36"/>
  <c r="H242" i="36"/>
  <c r="N244" i="36"/>
  <c r="G102" i="36"/>
  <c r="H100" i="36"/>
  <c r="P64" i="38" s="1"/>
  <c r="P205" i="36"/>
  <c r="P243" i="36"/>
  <c r="H69" i="36"/>
  <c r="H236" i="36"/>
  <c r="H205" i="36"/>
  <c r="M127" i="36"/>
  <c r="P121" i="36"/>
  <c r="L72" i="36"/>
  <c r="P257" i="36"/>
  <c r="M102" i="36"/>
  <c r="O127" i="36"/>
  <c r="R94" i="36"/>
  <c r="L285" i="36"/>
  <c r="L20" i="36" s="1"/>
  <c r="H71" i="36"/>
  <c r="R96" i="36"/>
  <c r="O46" i="36"/>
  <c r="J285" i="36"/>
  <c r="J20" i="36" s="1"/>
  <c r="K127" i="36"/>
  <c r="L102" i="36"/>
  <c r="N194" i="36"/>
  <c r="M194" i="36"/>
  <c r="R279" i="36"/>
  <c r="H45" i="36"/>
  <c r="O207" i="36"/>
  <c r="P60" i="36"/>
  <c r="P62" i="36"/>
  <c r="P123" i="36"/>
  <c r="P79" i="36"/>
  <c r="P77" i="36"/>
  <c r="I300" i="36"/>
  <c r="I24" i="36" s="1"/>
  <c r="P82" i="36"/>
  <c r="R124" i="36"/>
  <c r="P203" i="36"/>
  <c r="P254" i="36"/>
  <c r="P251" i="36"/>
  <c r="P249" i="36"/>
  <c r="L194" i="36"/>
  <c r="P59" i="36"/>
  <c r="N285" i="36"/>
  <c r="N20" i="36" s="1"/>
  <c r="N46" i="36"/>
  <c r="P94" i="36"/>
  <c r="R199" i="36"/>
  <c r="P197" i="36"/>
  <c r="H183" i="36"/>
  <c r="P189" i="38" s="1"/>
  <c r="H94" i="36"/>
  <c r="H199" i="36"/>
  <c r="P192" i="36"/>
  <c r="K300" i="36"/>
  <c r="K24" i="36" s="1"/>
  <c r="P76" i="36"/>
  <c r="R59" i="36"/>
  <c r="P253" i="36"/>
  <c r="K207" i="36"/>
  <c r="H135" i="36"/>
  <c r="P297" i="36"/>
  <c r="R254" i="36"/>
  <c r="R136" i="36"/>
  <c r="F127" i="36"/>
  <c r="H84" i="36"/>
  <c r="H96" i="36"/>
  <c r="G46" i="36"/>
  <c r="P135" i="36"/>
  <c r="R203" i="36"/>
  <c r="H197" i="36"/>
  <c r="P203" i="38" s="1"/>
  <c r="P136" i="36"/>
  <c r="H187" i="36"/>
  <c r="H82" i="36"/>
  <c r="R123" i="36"/>
  <c r="F285" i="36"/>
  <c r="F20" i="36" s="1"/>
  <c r="H206" i="36"/>
  <c r="H85" i="36"/>
  <c r="H101" i="36"/>
  <c r="H80" i="36"/>
  <c r="H78" i="36"/>
  <c r="N127" i="36"/>
  <c r="H281" i="36"/>
  <c r="P63" i="36"/>
  <c r="I244" i="36"/>
  <c r="P193" i="36"/>
  <c r="P234" i="36"/>
  <c r="P190" i="36"/>
  <c r="P279" i="36"/>
  <c r="P236" i="36"/>
  <c r="P235" i="36"/>
  <c r="P162" i="36"/>
  <c r="J244" i="36"/>
  <c r="J230" i="36"/>
  <c r="L53" i="36"/>
  <c r="N300" i="36"/>
  <c r="N24" i="36" s="1"/>
  <c r="R280" i="36"/>
  <c r="G72" i="36"/>
  <c r="G244" i="36"/>
  <c r="R193" i="36"/>
  <c r="G194" i="36"/>
  <c r="R190" i="36"/>
  <c r="G127" i="36"/>
  <c r="G285" i="36"/>
  <c r="G20" i="36" s="1"/>
  <c r="H77" i="36"/>
  <c r="H58" i="36"/>
  <c r="K98" i="36"/>
  <c r="K194" i="36"/>
  <c r="K230" i="36"/>
  <c r="P296" i="36"/>
  <c r="L300" i="36"/>
  <c r="L24" i="36" s="1"/>
  <c r="M285" i="36"/>
  <c r="M20" i="36" s="1"/>
  <c r="R166" i="36"/>
  <c r="R71" i="36"/>
  <c r="R161" i="36"/>
  <c r="P173" i="36"/>
  <c r="R297" i="36"/>
  <c r="R93" i="36"/>
  <c r="R135" i="36"/>
  <c r="P228" i="36"/>
  <c r="P68" i="36"/>
  <c r="P281" i="36"/>
  <c r="P101" i="36"/>
  <c r="R61" i="36"/>
  <c r="P186" i="36"/>
  <c r="P199" i="36"/>
  <c r="P289" i="36"/>
  <c r="P56" i="36"/>
  <c r="R126" i="36"/>
  <c r="P125" i="36"/>
  <c r="P256" i="36"/>
  <c r="R299" i="36"/>
  <c r="P290" i="36"/>
  <c r="J98" i="36"/>
  <c r="R70" i="36"/>
  <c r="N177" i="36"/>
  <c r="R253" i="36"/>
  <c r="P58" i="36"/>
  <c r="F237" i="36"/>
  <c r="R204" i="36"/>
  <c r="R170" i="36"/>
  <c r="P170" i="36"/>
  <c r="R172" i="36"/>
  <c r="M167" i="36"/>
  <c r="R241" i="36"/>
  <c r="M207" i="36"/>
  <c r="P259" i="36"/>
  <c r="M98" i="36"/>
  <c r="R283" i="36"/>
  <c r="H255" i="36"/>
  <c r="R192" i="36"/>
  <c r="R134" i="36"/>
  <c r="R249" i="36"/>
  <c r="R226" i="36"/>
  <c r="H291" i="36"/>
  <c r="R291" i="36"/>
  <c r="H258" i="36"/>
  <c r="R258" i="36"/>
  <c r="R95" i="36"/>
  <c r="K53" i="36"/>
  <c r="R284" i="36"/>
  <c r="K72" i="36"/>
  <c r="K46" i="36"/>
  <c r="P242" i="36"/>
  <c r="R45" i="36"/>
  <c r="P138" i="36"/>
  <c r="P201" i="36"/>
  <c r="P255" i="36"/>
  <c r="L98" i="36"/>
  <c r="P248" i="36"/>
  <c r="L127" i="36"/>
  <c r="R227" i="36"/>
  <c r="H290" i="36"/>
  <c r="R290" i="36"/>
  <c r="P100" i="36"/>
  <c r="N102" i="36"/>
  <c r="R57" i="36"/>
  <c r="R198" i="36"/>
  <c r="N167" i="36"/>
  <c r="P292" i="36"/>
  <c r="H241" i="36"/>
  <c r="R235" i="36"/>
  <c r="R234" i="36"/>
  <c r="M72" i="36"/>
  <c r="P49" i="36"/>
  <c r="M46" i="36"/>
  <c r="M293" i="36"/>
  <c r="M21" i="36" s="1"/>
  <c r="M237" i="36"/>
  <c r="P187" i="36"/>
  <c r="O102" i="36"/>
  <c r="R282" i="36"/>
  <c r="R200" i="36"/>
  <c r="R51" i="36"/>
  <c r="R175" i="36"/>
  <c r="P69" i="36"/>
  <c r="R92" i="36"/>
  <c r="P291" i="36"/>
  <c r="R206" i="36"/>
  <c r="R164" i="36"/>
  <c r="J207" i="36"/>
  <c r="P189" i="36"/>
  <c r="P191" i="36"/>
  <c r="R298" i="36"/>
  <c r="J72" i="36"/>
  <c r="J46" i="36"/>
  <c r="H289" i="36"/>
  <c r="R289" i="36"/>
  <c r="R66" i="36"/>
  <c r="R52" i="36"/>
  <c r="R251" i="36"/>
  <c r="H257" i="36"/>
  <c r="R257" i="36"/>
  <c r="H256" i="36"/>
  <c r="R256" i="36"/>
  <c r="P161" i="36"/>
  <c r="R242" i="36"/>
  <c r="R250" i="36"/>
  <c r="R281" i="36"/>
  <c r="R255" i="36"/>
  <c r="O194" i="36"/>
  <c r="M53" i="36"/>
  <c r="R191" i="36"/>
  <c r="P225" i="36"/>
  <c r="R240" i="36"/>
  <c r="L207" i="36"/>
  <c r="I127" i="36"/>
  <c r="F300" i="36"/>
  <c r="F24" i="36" s="1"/>
  <c r="K285" i="36"/>
  <c r="K20" i="36" s="1"/>
  <c r="R125" i="36"/>
  <c r="R101" i="36"/>
  <c r="K102" i="36"/>
  <c r="P175" i="36"/>
  <c r="P126" i="36"/>
  <c r="P258" i="36"/>
  <c r="R75" i="36"/>
  <c r="R162" i="36"/>
  <c r="M244" i="36"/>
  <c r="M177" i="36"/>
  <c r="O167" i="36"/>
  <c r="H171" i="36"/>
  <c r="N177" i="38" s="1"/>
  <c r="H125" i="36"/>
  <c r="J177" i="36"/>
  <c r="F102" i="36"/>
  <c r="R43" i="36"/>
  <c r="H121" i="36"/>
  <c r="P71" i="38" s="1"/>
  <c r="H138" i="36"/>
  <c r="P92" i="38" s="1"/>
  <c r="H134" i="36"/>
  <c r="H56" i="36"/>
  <c r="P21" i="38" s="1"/>
  <c r="H93" i="36"/>
  <c r="R50" i="36"/>
  <c r="L244" i="36"/>
  <c r="G237" i="36"/>
  <c r="R296" i="36"/>
  <c r="P50" i="36"/>
  <c r="J300" i="36"/>
  <c r="J24" i="36" s="1"/>
  <c r="P45" i="36"/>
  <c r="R159" i="36"/>
  <c r="F207" i="36"/>
  <c r="R243" i="36"/>
  <c r="O53" i="36"/>
  <c r="P282" i="36"/>
  <c r="R248" i="36"/>
  <c r="R228" i="36"/>
  <c r="I207" i="36"/>
  <c r="P298" i="36"/>
  <c r="R100" i="36"/>
  <c r="P65" i="36"/>
  <c r="R173" i="36"/>
  <c r="P70" i="36"/>
  <c r="P75" i="36"/>
  <c r="P160" i="36"/>
  <c r="P124" i="36"/>
  <c r="H97" i="36"/>
  <c r="H136" i="36"/>
  <c r="H280" i="36"/>
  <c r="L177" i="36"/>
  <c r="G177" i="36"/>
  <c r="H283" i="36"/>
  <c r="H59" i="36"/>
  <c r="P164" i="36"/>
  <c r="R197" i="36"/>
  <c r="F167" i="36"/>
  <c r="R259" i="36"/>
  <c r="R65" i="36"/>
  <c r="I285" i="36"/>
  <c r="I20" i="36" s="1"/>
  <c r="H43" i="36"/>
  <c r="H193" i="36"/>
  <c r="H190" i="36"/>
  <c r="H90" i="36"/>
  <c r="F72" i="36"/>
  <c r="R189" i="36"/>
  <c r="R62" i="36"/>
  <c r="P250" i="36"/>
  <c r="J194" i="36"/>
  <c r="R225" i="36"/>
  <c r="P183" i="36"/>
  <c r="R183" i="36"/>
  <c r="I72" i="36"/>
  <c r="P241" i="36"/>
  <c r="I167" i="36"/>
  <c r="K167" i="36"/>
  <c r="I102" i="36"/>
  <c r="P206" i="36"/>
  <c r="P42" i="36"/>
  <c r="M230" i="36"/>
  <c r="M300" i="36"/>
  <c r="M24" i="36" s="1"/>
  <c r="N207" i="36"/>
  <c r="O98" i="36"/>
  <c r="O300" i="36"/>
  <c r="O24" i="36" s="1"/>
  <c r="O285" i="36"/>
  <c r="O20" i="36" s="1"/>
  <c r="P51" i="36"/>
  <c r="P43" i="36"/>
  <c r="P200" i="36"/>
  <c r="P174" i="36"/>
  <c r="P284" i="36"/>
  <c r="P66" i="36"/>
  <c r="P159" i="36"/>
  <c r="P299" i="36"/>
  <c r="P165" i="36"/>
  <c r="P229" i="36"/>
  <c r="P233" i="36"/>
  <c r="P172" i="36"/>
  <c r="P176" i="36"/>
  <c r="J127" i="36"/>
  <c r="R42" i="36"/>
  <c r="L237" i="36"/>
  <c r="N98" i="36"/>
  <c r="G207" i="36"/>
  <c r="H81" i="36"/>
  <c r="H292" i="36"/>
  <c r="H229" i="36"/>
  <c r="I194" i="36"/>
  <c r="L230" i="36"/>
  <c r="R187" i="36"/>
  <c r="H192" i="36"/>
  <c r="H66" i="36"/>
  <c r="H235" i="36"/>
  <c r="H279" i="36"/>
  <c r="P268" i="38" s="1"/>
  <c r="H75" i="36"/>
  <c r="P39" i="38" s="1"/>
  <c r="H240" i="36"/>
  <c r="P238" i="38" s="1"/>
  <c r="F230" i="36"/>
  <c r="F194" i="36"/>
  <c r="R121" i="36"/>
  <c r="R201" i="36"/>
  <c r="R188" i="36"/>
  <c r="R76" i="36"/>
  <c r="R58" i="36"/>
  <c r="O177" i="36"/>
  <c r="P198" i="36"/>
  <c r="K177" i="36"/>
  <c r="H79" i="36"/>
  <c r="H203" i="36"/>
  <c r="H225" i="36"/>
  <c r="P219" i="38" s="1"/>
  <c r="H89" i="36"/>
  <c r="H297" i="36"/>
  <c r="I237" i="36"/>
  <c r="R186" i="36"/>
  <c r="R160" i="36"/>
  <c r="F46" i="36"/>
  <c r="F177" i="36"/>
  <c r="H170" i="36"/>
  <c r="P176" i="38" s="1"/>
  <c r="R165" i="36"/>
  <c r="R176" i="36"/>
  <c r="R68" i="36"/>
  <c r="R78" i="36"/>
  <c r="R69" i="36"/>
  <c r="R292" i="36"/>
  <c r="R236" i="36"/>
  <c r="H299" i="36"/>
  <c r="G260" i="36"/>
  <c r="R90" i="36"/>
  <c r="R91" i="36"/>
  <c r="N72" i="36"/>
  <c r="H42" i="36"/>
  <c r="P9" i="38" s="1"/>
  <c r="L46" i="36"/>
  <c r="P85" i="36"/>
  <c r="P88" i="36"/>
  <c r="P91" i="36"/>
  <c r="P81" i="36"/>
  <c r="P44" i="36"/>
  <c r="R79" i="36"/>
  <c r="P93" i="36"/>
  <c r="R89" i="36"/>
  <c r="P61" i="36"/>
  <c r="I98" i="36"/>
  <c r="R77" i="36"/>
  <c r="R49" i="36"/>
  <c r="P96" i="36"/>
  <c r="P57" i="36"/>
  <c r="O72" i="36"/>
  <c r="R97" i="36"/>
  <c r="R56" i="36"/>
  <c r="R82" i="36"/>
  <c r="P67" i="36"/>
  <c r="R81" i="36"/>
  <c r="R84" i="36"/>
  <c r="R86" i="36"/>
  <c r="G98" i="36"/>
  <c r="I46" i="36"/>
  <c r="R87" i="36"/>
  <c r="P78" i="36"/>
  <c r="P97" i="36"/>
  <c r="P83" i="36"/>
  <c r="P87" i="36"/>
  <c r="F53" i="36"/>
  <c r="R80" i="36"/>
  <c r="H44" i="36"/>
  <c r="R44" i="36"/>
  <c r="R83" i="36"/>
  <c r="R88" i="36"/>
  <c r="P80" i="36"/>
  <c r="F98" i="36"/>
  <c r="R85" i="36"/>
  <c r="P92" i="36"/>
  <c r="P84" i="36"/>
  <c r="P89" i="36"/>
  <c r="P90" i="36"/>
  <c r="P86" i="36"/>
  <c r="P95" i="36"/>
  <c r="A164" i="36"/>
  <c r="A165" i="36" s="1"/>
  <c r="A166" i="36" s="1"/>
  <c r="A167" i="36" s="1"/>
  <c r="A169" i="36" s="1"/>
  <c r="A170" i="36" s="1"/>
  <c r="E65" i="8"/>
  <c r="E216" i="8" s="1"/>
  <c r="J65" i="8"/>
  <c r="I65" i="8"/>
  <c r="H65" i="8"/>
  <c r="M65" i="8"/>
  <c r="N65" i="8"/>
  <c r="F65" i="8"/>
  <c r="F216" i="8" s="1"/>
  <c r="K65" i="8"/>
  <c r="L65" i="8"/>
  <c r="L66" i="8" s="1"/>
  <c r="U260" i="4"/>
  <c r="A166" i="8"/>
  <c r="A168" i="8" s="1"/>
  <c r="E221" i="8"/>
  <c r="F221" i="8"/>
  <c r="O114" i="8"/>
  <c r="P25" i="4"/>
  <c r="D80" i="8" s="1"/>
  <c r="M80" i="8" s="1"/>
  <c r="O80" i="8" s="1"/>
  <c r="O123" i="8"/>
  <c r="R123" i="8" s="1"/>
  <c r="M125" i="8"/>
  <c r="O63" i="8"/>
  <c r="O109" i="8"/>
  <c r="O110" i="8"/>
  <c r="O68" i="8"/>
  <c r="O72" i="8"/>
  <c r="O118" i="8"/>
  <c r="R118" i="8" s="1"/>
  <c r="G22" i="4"/>
  <c r="D104" i="8"/>
  <c r="G23" i="4"/>
  <c r="N111" i="8"/>
  <c r="N112" i="8" s="1"/>
  <c r="J111" i="8"/>
  <c r="J112" i="8" s="1"/>
  <c r="E111" i="8"/>
  <c r="E112" i="8" s="1"/>
  <c r="L111" i="8"/>
  <c r="L112" i="8" s="1"/>
  <c r="F111" i="8"/>
  <c r="F112" i="8" s="1"/>
  <c r="M111" i="8"/>
  <c r="M112" i="8" s="1"/>
  <c r="I111" i="8"/>
  <c r="I112" i="8" s="1"/>
  <c r="H111" i="8"/>
  <c r="H112" i="8" s="1"/>
  <c r="K111" i="8"/>
  <c r="K112" i="8" s="1"/>
  <c r="D112" i="8"/>
  <c r="R167" i="4"/>
  <c r="A167" i="4"/>
  <c r="J59" i="8"/>
  <c r="H59" i="8"/>
  <c r="N59" i="8"/>
  <c r="I59" i="8"/>
  <c r="L59" i="8"/>
  <c r="M59" i="8"/>
  <c r="K59" i="8"/>
  <c r="F59" i="8"/>
  <c r="F207" i="8" s="1"/>
  <c r="F208" i="8" s="1"/>
  <c r="E59" i="8"/>
  <c r="E207" i="8" s="1"/>
  <c r="E208" i="8" s="1"/>
  <c r="G114" i="8"/>
  <c r="A76" i="4"/>
  <c r="A77" i="4" s="1"/>
  <c r="A78" i="4" s="1"/>
  <c r="G68" i="8"/>
  <c r="G220" i="8" s="1"/>
  <c r="G221" i="8" s="1"/>
  <c r="P134" i="36"/>
  <c r="G109" i="8"/>
  <c r="D13" i="44"/>
  <c r="F224" i="8"/>
  <c r="J64" i="8"/>
  <c r="M64" i="8"/>
  <c r="F64" i="8"/>
  <c r="H64" i="8"/>
  <c r="E64" i="8"/>
  <c r="I64" i="8"/>
  <c r="D66" i="8"/>
  <c r="N64" i="8"/>
  <c r="K64" i="8"/>
  <c r="R105" i="8"/>
  <c r="G110" i="8"/>
  <c r="G63" i="8"/>
  <c r="E210" i="8"/>
  <c r="E211" i="8" s="1"/>
  <c r="F210" i="8"/>
  <c r="F211" i="8" s="1"/>
  <c r="G72" i="8"/>
  <c r="G224" i="8" s="1"/>
  <c r="G225" i="8" s="1"/>
  <c r="P10" i="38" l="1"/>
  <c r="P274" i="38"/>
  <c r="N274" i="38" s="1"/>
  <c r="O274" i="38" s="1"/>
  <c r="P85" i="38"/>
  <c r="N85" i="38" s="1"/>
  <c r="O85" i="38" s="1"/>
  <c r="P65" i="38"/>
  <c r="N65" i="38" s="1"/>
  <c r="O65" i="38" s="1"/>
  <c r="P12" i="38"/>
  <c r="N12" i="38" s="1"/>
  <c r="O12" i="38" s="1"/>
  <c r="P206" i="38"/>
  <c r="N206" i="38" s="1"/>
  <c r="O206" i="38" s="1"/>
  <c r="P273" i="38"/>
  <c r="N273" i="38" s="1"/>
  <c r="O273" i="38" s="1"/>
  <c r="P17" i="38"/>
  <c r="N17" i="38" s="1"/>
  <c r="O17" i="38" s="1"/>
  <c r="P179" i="38"/>
  <c r="N179" i="38" s="1"/>
  <c r="P207" i="38"/>
  <c r="N207" i="38" s="1"/>
  <c r="O207" i="38" s="1"/>
  <c r="P172" i="38"/>
  <c r="N172" i="38" s="1"/>
  <c r="P280" i="38"/>
  <c r="N280" i="38" s="1"/>
  <c r="O280" i="38" s="1"/>
  <c r="P253" i="38"/>
  <c r="N253" i="38" s="1"/>
  <c r="O253" i="38" s="1"/>
  <c r="P49" i="38"/>
  <c r="N49" i="38" s="1"/>
  <c r="P205" i="38"/>
  <c r="N205" i="38" s="1"/>
  <c r="O205" i="38" s="1"/>
  <c r="P36" i="38"/>
  <c r="N36" i="38" s="1"/>
  <c r="O36" i="38" s="1"/>
  <c r="P169" i="38"/>
  <c r="N169" i="38" s="1"/>
  <c r="O169" i="38" s="1"/>
  <c r="P171" i="38"/>
  <c r="N171" i="38" s="1"/>
  <c r="O171" i="38" s="1"/>
  <c r="P25" i="38"/>
  <c r="N25" i="38" s="1"/>
  <c r="O25" i="38" s="1"/>
  <c r="P18" i="38"/>
  <c r="N18" i="38" s="1"/>
  <c r="O18" i="38" s="1"/>
  <c r="P194" i="38"/>
  <c r="N194" i="38" s="1"/>
  <c r="O194" i="38" s="1"/>
  <c r="P27" i="38"/>
  <c r="N27" i="38" s="1"/>
  <c r="O27" i="38" s="1"/>
  <c r="P56" i="38"/>
  <c r="N56" i="38" s="1"/>
  <c r="O56" i="38" s="1"/>
  <c r="P50" i="38"/>
  <c r="N50" i="38" s="1"/>
  <c r="O50" i="38" s="1"/>
  <c r="P208" i="38"/>
  <c r="N208" i="38" s="1"/>
  <c r="O208" i="38" s="1"/>
  <c r="P254" i="38"/>
  <c r="N254" i="38" s="1"/>
  <c r="O254" i="38" s="1"/>
  <c r="P239" i="38"/>
  <c r="P281" i="38"/>
  <c r="N281" i="38" s="1"/>
  <c r="O281" i="38" s="1"/>
  <c r="P256" i="38"/>
  <c r="N256" i="38" s="1"/>
  <c r="O256" i="38" s="1"/>
  <c r="P212" i="38"/>
  <c r="N212" i="38" s="1"/>
  <c r="O212" i="38" s="1"/>
  <c r="P86" i="38"/>
  <c r="N86" i="38" s="1"/>
  <c r="O86" i="38" s="1"/>
  <c r="P58" i="38"/>
  <c r="N58" i="38" s="1"/>
  <c r="O58" i="38" s="1"/>
  <c r="P211" i="38"/>
  <c r="N211" i="38" s="1"/>
  <c r="O211" i="38" s="1"/>
  <c r="P240" i="38"/>
  <c r="N240" i="38" s="1"/>
  <c r="O240" i="38" s="1"/>
  <c r="P32" i="38"/>
  <c r="N32" i="38" s="1"/>
  <c r="O32" i="38" s="1"/>
  <c r="P247" i="38"/>
  <c r="N247" i="38" s="1"/>
  <c r="O247" i="38" s="1"/>
  <c r="P35" i="38"/>
  <c r="N35" i="38" s="1"/>
  <c r="O35" i="38" s="1"/>
  <c r="P221" i="38"/>
  <c r="N221" i="38" s="1"/>
  <c r="O221" i="38" s="1"/>
  <c r="P241" i="38"/>
  <c r="N241" i="38" s="1"/>
  <c r="O241" i="38" s="1"/>
  <c r="P248" i="38"/>
  <c r="P291" i="38"/>
  <c r="N291" i="38" s="1"/>
  <c r="O291" i="38" s="1"/>
  <c r="P223" i="38"/>
  <c r="N223" i="38" s="1"/>
  <c r="O223" i="38" s="1"/>
  <c r="P271" i="38"/>
  <c r="N271" i="38" s="1"/>
  <c r="O271" i="38" s="1"/>
  <c r="P231" i="38"/>
  <c r="N231" i="38" s="1"/>
  <c r="O231" i="38" s="1"/>
  <c r="P292" i="38"/>
  <c r="N292" i="38" s="1"/>
  <c r="O292" i="38" s="1"/>
  <c r="P222" i="38"/>
  <c r="N222" i="38" s="1"/>
  <c r="O222" i="38" s="1"/>
  <c r="P76" i="38"/>
  <c r="N76" i="38" s="1"/>
  <c r="O76" i="38" s="1"/>
  <c r="P168" i="38"/>
  <c r="N168" i="38" s="1"/>
  <c r="P210" i="38"/>
  <c r="N210" i="38" s="1"/>
  <c r="O210" i="38" s="1"/>
  <c r="P22" i="38"/>
  <c r="N22" i="38" s="1"/>
  <c r="O22" i="38" s="1"/>
  <c r="P170" i="38"/>
  <c r="P178" i="38"/>
  <c r="N178" i="38" s="1"/>
  <c r="O178" i="38" s="1"/>
  <c r="P290" i="38"/>
  <c r="P53" i="38"/>
  <c r="N53" i="38" s="1"/>
  <c r="O53" i="38" s="1"/>
  <c r="P283" i="38"/>
  <c r="N283" i="38" s="1"/>
  <c r="O283" i="38" s="1"/>
  <c r="P87" i="38"/>
  <c r="N87" i="38" s="1"/>
  <c r="O87" i="38" s="1"/>
  <c r="P255" i="38"/>
  <c r="N255" i="38" s="1"/>
  <c r="O255" i="38" s="1"/>
  <c r="P282" i="38"/>
  <c r="N282" i="38" s="1"/>
  <c r="O282" i="38" s="1"/>
  <c r="P272" i="38"/>
  <c r="P60" i="38"/>
  <c r="N60" i="38" s="1"/>
  <c r="O60" i="38" s="1"/>
  <c r="P34" i="38"/>
  <c r="N34" i="38" s="1"/>
  <c r="O34" i="38" s="1"/>
  <c r="P51" i="38"/>
  <c r="N51" i="38" s="1"/>
  <c r="O51" i="38" s="1"/>
  <c r="P40" i="38"/>
  <c r="P74" i="38"/>
  <c r="N74" i="38" s="1"/>
  <c r="O74" i="38" s="1"/>
  <c r="P251" i="38"/>
  <c r="N251" i="38" s="1"/>
  <c r="O251" i="38" s="1"/>
  <c r="P181" i="38"/>
  <c r="P16" i="38"/>
  <c r="P47" i="38"/>
  <c r="N47" i="38" s="1"/>
  <c r="P293" i="38"/>
  <c r="N293" i="38" s="1"/>
  <c r="O293" i="38" s="1"/>
  <c r="P230" i="38"/>
  <c r="P45" i="38"/>
  <c r="N45" i="38" s="1"/>
  <c r="O45" i="38" s="1"/>
  <c r="P54" i="38"/>
  <c r="N54" i="38" s="1"/>
  <c r="O54" i="38" s="1"/>
  <c r="P61" i="38"/>
  <c r="N61" i="38" s="1"/>
  <c r="P23" i="38"/>
  <c r="P46" i="38"/>
  <c r="N46" i="38" s="1"/>
  <c r="O46" i="38" s="1"/>
  <c r="P48" i="38"/>
  <c r="N48" i="38" s="1"/>
  <c r="O48" i="38" s="1"/>
  <c r="P252" i="38"/>
  <c r="N252" i="38" s="1"/>
  <c r="O252" i="38" s="1"/>
  <c r="P204" i="38"/>
  <c r="P75" i="38"/>
  <c r="N75" i="38" s="1"/>
  <c r="O75" i="38" s="1"/>
  <c r="P197" i="38"/>
  <c r="N197" i="38" s="1"/>
  <c r="O197" i="38" s="1"/>
  <c r="P52" i="38"/>
  <c r="N52" i="38" s="1"/>
  <c r="O52" i="38" s="1"/>
  <c r="P33" i="38"/>
  <c r="N33" i="38" s="1"/>
  <c r="O33" i="38" s="1"/>
  <c r="P195" i="38"/>
  <c r="N195" i="38" s="1"/>
  <c r="O195" i="38" s="1"/>
  <c r="P165" i="38"/>
  <c r="N165" i="38" s="1"/>
  <c r="O165" i="38" s="1"/>
  <c r="P209" i="38"/>
  <c r="N209" i="38" s="1"/>
  <c r="O209" i="38" s="1"/>
  <c r="P31" i="38"/>
  <c r="N31" i="38" s="1"/>
  <c r="O31" i="38" s="1"/>
  <c r="P196" i="38"/>
  <c r="N196" i="38" s="1"/>
  <c r="O196" i="38" s="1"/>
  <c r="P57" i="38"/>
  <c r="N57" i="38" s="1"/>
  <c r="O57" i="38" s="1"/>
  <c r="P77" i="38"/>
  <c r="N77" i="38" s="1"/>
  <c r="O77" i="38" s="1"/>
  <c r="P41" i="38"/>
  <c r="N41" i="38" s="1"/>
  <c r="O41" i="38" s="1"/>
  <c r="P42" i="38"/>
  <c r="N42" i="38" s="1"/>
  <c r="O42" i="38" s="1"/>
  <c r="P193" i="38"/>
  <c r="N193" i="38" s="1"/>
  <c r="O193" i="38" s="1"/>
  <c r="P59" i="38"/>
  <c r="N59" i="38" s="1"/>
  <c r="O59" i="38" s="1"/>
  <c r="P249" i="38"/>
  <c r="N249" i="38" s="1"/>
  <c r="O249" i="38" s="1"/>
  <c r="P55" i="38"/>
  <c r="N55" i="38" s="1"/>
  <c r="O55" i="38" s="1"/>
  <c r="P166" i="38"/>
  <c r="N166" i="38" s="1"/>
  <c r="O166" i="38" s="1"/>
  <c r="P191" i="38"/>
  <c r="N191" i="38" s="1"/>
  <c r="O191" i="38" s="1"/>
  <c r="P275" i="38"/>
  <c r="N275" i="38" s="1"/>
  <c r="O275" i="38" s="1"/>
  <c r="P229" i="38"/>
  <c r="N229" i="38" s="1"/>
  <c r="O229" i="38" s="1"/>
  <c r="P192" i="38"/>
  <c r="N192" i="38" s="1"/>
  <c r="O192" i="38" s="1"/>
  <c r="P78" i="38"/>
  <c r="N78" i="38" s="1"/>
  <c r="O78" i="38" s="1"/>
  <c r="P11" i="38"/>
  <c r="N11" i="38" s="1"/>
  <c r="O11" i="38" s="1"/>
  <c r="P43" i="38"/>
  <c r="N43" i="38" s="1"/>
  <c r="O43" i="38" s="1"/>
  <c r="P198" i="38"/>
  <c r="N198" i="38" s="1"/>
  <c r="O198" i="38" s="1"/>
  <c r="P199" i="38"/>
  <c r="N199" i="38" s="1"/>
  <c r="O199" i="38" s="1"/>
  <c r="P24" i="38"/>
  <c r="N24" i="38" s="1"/>
  <c r="O24" i="38" s="1"/>
  <c r="P44" i="38"/>
  <c r="N44" i="38" s="1"/>
  <c r="P66" i="38"/>
  <c r="P28" i="38"/>
  <c r="N28" i="38" s="1"/>
  <c r="O28" i="38" s="1"/>
  <c r="P220" i="38"/>
  <c r="P26" i="38"/>
  <c r="N26" i="38" s="1"/>
  <c r="O26" i="38" s="1"/>
  <c r="P30" i="38"/>
  <c r="N30" i="38" s="1"/>
  <c r="O30" i="38" s="1"/>
  <c r="P190" i="38"/>
  <c r="P167" i="38"/>
  <c r="N167" i="38" s="1"/>
  <c r="P29" i="38"/>
  <c r="N29" i="38" s="1"/>
  <c r="O29" i="38" s="1"/>
  <c r="S135" i="36"/>
  <c r="M141" i="36"/>
  <c r="F21" i="4"/>
  <c r="U21" i="4" s="1"/>
  <c r="S64" i="36"/>
  <c r="H252" i="36"/>
  <c r="H139" i="36"/>
  <c r="P137" i="36"/>
  <c r="O141" i="36"/>
  <c r="H137" i="36"/>
  <c r="R137" i="36"/>
  <c r="P252" i="36"/>
  <c r="P260" i="36" s="1"/>
  <c r="F143" i="4"/>
  <c r="U143" i="4" s="1"/>
  <c r="P288" i="36"/>
  <c r="P293" i="36" s="1"/>
  <c r="I141" i="36"/>
  <c r="R288" i="36"/>
  <c r="R252" i="36"/>
  <c r="H288" i="36"/>
  <c r="S202" i="36"/>
  <c r="L141" i="36"/>
  <c r="R139" i="36"/>
  <c r="K141" i="36"/>
  <c r="P139" i="36"/>
  <c r="P140" i="36"/>
  <c r="N141" i="36"/>
  <c r="S126" i="36"/>
  <c r="R70" i="8"/>
  <c r="S296" i="36"/>
  <c r="S161" i="36"/>
  <c r="A223" i="8"/>
  <c r="A81" i="8"/>
  <c r="A82" i="8" s="1"/>
  <c r="A84" i="8" s="1"/>
  <c r="S164" i="36"/>
  <c r="I209" i="36"/>
  <c r="S159" i="36"/>
  <c r="E217" i="8"/>
  <c r="D10" i="44" s="1"/>
  <c r="F217" i="8"/>
  <c r="E10" i="44" s="1"/>
  <c r="S189" i="36"/>
  <c r="S68" i="36"/>
  <c r="S248" i="36"/>
  <c r="S234" i="36"/>
  <c r="S62" i="36"/>
  <c r="S166" i="36"/>
  <c r="I179" i="36"/>
  <c r="S250" i="36"/>
  <c r="N21" i="38"/>
  <c r="O21" i="38" s="1"/>
  <c r="S243" i="36"/>
  <c r="N176" i="38"/>
  <c r="O176" i="38" s="1"/>
  <c r="N219" i="38"/>
  <c r="O219" i="38" s="1"/>
  <c r="S172" i="36"/>
  <c r="N64" i="38"/>
  <c r="O64" i="38" s="1"/>
  <c r="N15" i="38"/>
  <c r="O15" i="38" s="1"/>
  <c r="N203" i="38"/>
  <c r="O203" i="38" s="1"/>
  <c r="N189" i="38"/>
  <c r="O189" i="38" s="1"/>
  <c r="N228" i="38"/>
  <c r="O228" i="38" s="1"/>
  <c r="N238" i="38"/>
  <c r="N71" i="38"/>
  <c r="O71" i="38" s="1"/>
  <c r="S50" i="36"/>
  <c r="S185" i="36"/>
  <c r="S91" i="36"/>
  <c r="S284" i="36"/>
  <c r="S201" i="36"/>
  <c r="O104" i="36"/>
  <c r="O105" i="36" s="1"/>
  <c r="N209" i="36"/>
  <c r="G179" i="36"/>
  <c r="S70" i="36"/>
  <c r="S92" i="36"/>
  <c r="S249" i="36"/>
  <c r="S233" i="36"/>
  <c r="S282" i="36"/>
  <c r="S184" i="36"/>
  <c r="S198" i="36"/>
  <c r="S162" i="36"/>
  <c r="S122" i="36"/>
  <c r="N92" i="38"/>
  <c r="O92" i="38" s="1"/>
  <c r="N261" i="38"/>
  <c r="N260" i="38"/>
  <c r="O260" i="38" s="1"/>
  <c r="O261" i="38" s="1"/>
  <c r="O263" i="38" s="1"/>
  <c r="S279" i="36"/>
  <c r="N246" i="38"/>
  <c r="O246" i="38" s="1"/>
  <c r="S253" i="36"/>
  <c r="N84" i="38"/>
  <c r="O84" i="38" s="1"/>
  <c r="S57" i="36"/>
  <c r="O209" i="36"/>
  <c r="S75" i="36"/>
  <c r="S138" i="36"/>
  <c r="S136" i="36"/>
  <c r="S259" i="36"/>
  <c r="S95" i="36"/>
  <c r="S227" i="36"/>
  <c r="S65" i="36"/>
  <c r="S204" i="36"/>
  <c r="S191" i="36"/>
  <c r="S188" i="36"/>
  <c r="S298" i="36"/>
  <c r="S52" i="36"/>
  <c r="S61" i="36"/>
  <c r="L179" i="36"/>
  <c r="S124" i="36"/>
  <c r="S254" i="36"/>
  <c r="S226" i="36"/>
  <c r="S67" i="36"/>
  <c r="S165" i="36"/>
  <c r="S51" i="36"/>
  <c r="S133" i="36"/>
  <c r="H53" i="36"/>
  <c r="S71" i="36"/>
  <c r="S43" i="36"/>
  <c r="S228" i="36"/>
  <c r="S280" i="36"/>
  <c r="S49" i="36"/>
  <c r="H167" i="36"/>
  <c r="S200" i="36"/>
  <c r="G104" i="36"/>
  <c r="G105" i="36" s="1"/>
  <c r="G129" i="36" s="1"/>
  <c r="N104" i="36"/>
  <c r="N105" i="36" s="1"/>
  <c r="N129" i="36" s="1"/>
  <c r="S197" i="36"/>
  <c r="J179" i="36"/>
  <c r="S170" i="36"/>
  <c r="S160" i="36"/>
  <c r="J104" i="36"/>
  <c r="J105" i="36" s="1"/>
  <c r="J129" i="36" s="1"/>
  <c r="J143" i="36" s="1"/>
  <c r="J14" i="36" s="1"/>
  <c r="J22" i="36" s="1"/>
  <c r="S163" i="36"/>
  <c r="S59" i="36"/>
  <c r="M104" i="36"/>
  <c r="M105" i="36" s="1"/>
  <c r="M129" i="36" s="1"/>
  <c r="S56" i="36"/>
  <c r="S240" i="36"/>
  <c r="S251" i="36"/>
  <c r="S123" i="36"/>
  <c r="K104" i="36"/>
  <c r="K105" i="36" s="1"/>
  <c r="K129" i="36" s="1"/>
  <c r="S205" i="36"/>
  <c r="S66" i="36"/>
  <c r="H127" i="36"/>
  <c r="S76" i="36"/>
  <c r="S242" i="36"/>
  <c r="S94" i="36"/>
  <c r="S299" i="36"/>
  <c r="H230" i="36"/>
  <c r="K179" i="36"/>
  <c r="S190" i="36"/>
  <c r="M179" i="36"/>
  <c r="S121" i="36"/>
  <c r="P244" i="36"/>
  <c r="S125" i="36"/>
  <c r="S69" i="36"/>
  <c r="S58" i="36"/>
  <c r="S236" i="36"/>
  <c r="S77" i="36"/>
  <c r="R244" i="36"/>
  <c r="N179" i="36"/>
  <c r="R237" i="36"/>
  <c r="R53" i="36"/>
  <c r="F179" i="36"/>
  <c r="S235" i="36"/>
  <c r="S199" i="36"/>
  <c r="L104" i="36"/>
  <c r="L105" i="36" s="1"/>
  <c r="P300" i="36"/>
  <c r="I104" i="36"/>
  <c r="I105" i="36" s="1"/>
  <c r="I129" i="36" s="1"/>
  <c r="S42" i="36"/>
  <c r="S297" i="36"/>
  <c r="S45" i="36"/>
  <c r="L209" i="36"/>
  <c r="P127" i="36"/>
  <c r="S183" i="36"/>
  <c r="M209" i="36"/>
  <c r="S255" i="36"/>
  <c r="S281" i="36"/>
  <c r="K209" i="36"/>
  <c r="S101" i="36"/>
  <c r="S192" i="36"/>
  <c r="P72" i="36"/>
  <c r="R285" i="36"/>
  <c r="H285" i="36"/>
  <c r="H102" i="36"/>
  <c r="R260" i="36"/>
  <c r="H207" i="36"/>
  <c r="S292" i="36"/>
  <c r="S96" i="36"/>
  <c r="P46" i="36"/>
  <c r="H98" i="36"/>
  <c r="H300" i="36"/>
  <c r="S78" i="36"/>
  <c r="S206" i="36"/>
  <c r="H194" i="36"/>
  <c r="F209" i="36"/>
  <c r="P20" i="36"/>
  <c r="S187" i="36"/>
  <c r="P102" i="36"/>
  <c r="R127" i="36"/>
  <c r="P21" i="36"/>
  <c r="P194" i="36"/>
  <c r="S93" i="36"/>
  <c r="J209" i="36"/>
  <c r="R230" i="36"/>
  <c r="P167" i="36"/>
  <c r="S193" i="36"/>
  <c r="P207" i="36"/>
  <c r="S186" i="36"/>
  <c r="R194" i="36"/>
  <c r="H237" i="36"/>
  <c r="H177" i="36"/>
  <c r="S241" i="36"/>
  <c r="S229" i="36"/>
  <c r="P24" i="36"/>
  <c r="P285" i="36"/>
  <c r="R167" i="36"/>
  <c r="S225" i="36"/>
  <c r="P177" i="36"/>
  <c r="P53" i="36"/>
  <c r="H244" i="36"/>
  <c r="P237" i="36"/>
  <c r="O179" i="36"/>
  <c r="S100" i="36"/>
  <c r="R207" i="36"/>
  <c r="S97" i="36"/>
  <c r="H72" i="36"/>
  <c r="G209" i="36"/>
  <c r="S203" i="36"/>
  <c r="R102" i="36"/>
  <c r="P230" i="36"/>
  <c r="R300" i="36"/>
  <c r="R177" i="36"/>
  <c r="R72" i="36"/>
  <c r="R46" i="36"/>
  <c r="R98" i="36"/>
  <c r="F104" i="36"/>
  <c r="F105" i="36" s="1"/>
  <c r="F129" i="36" s="1"/>
  <c r="S44" i="36"/>
  <c r="P98" i="36"/>
  <c r="H46" i="36"/>
  <c r="J66" i="8"/>
  <c r="A171" i="36"/>
  <c r="A172" i="36" s="1"/>
  <c r="A173" i="36" s="1"/>
  <c r="A174" i="36" s="1"/>
  <c r="A175" i="36" s="1"/>
  <c r="A176" i="36" s="1"/>
  <c r="A177" i="36" s="1"/>
  <c r="M66" i="8"/>
  <c r="I66" i="8"/>
  <c r="N66" i="8"/>
  <c r="G65" i="8"/>
  <c r="G216" i="8" s="1"/>
  <c r="G217" i="8" s="1"/>
  <c r="K66" i="8"/>
  <c r="O65" i="8"/>
  <c r="F213" i="8"/>
  <c r="F214" i="8" s="1"/>
  <c r="E66" i="8"/>
  <c r="E213" i="8"/>
  <c r="E214" i="8" s="1"/>
  <c r="A169" i="8"/>
  <c r="M82" i="8"/>
  <c r="E11" i="44"/>
  <c r="D11" i="44"/>
  <c r="F19" i="4"/>
  <c r="U19" i="4" s="1"/>
  <c r="U262" i="4"/>
  <c r="O111" i="8"/>
  <c r="O59" i="8"/>
  <c r="H66" i="8"/>
  <c r="O64" i="8"/>
  <c r="G111" i="8"/>
  <c r="G112" i="8" s="1"/>
  <c r="D106" i="8"/>
  <c r="K104" i="8"/>
  <c r="K106" i="8" s="1"/>
  <c r="N104" i="8"/>
  <c r="N106" i="8" s="1"/>
  <c r="I104" i="8"/>
  <c r="I106" i="8" s="1"/>
  <c r="M104" i="8"/>
  <c r="M106" i="8" s="1"/>
  <c r="L104" i="8"/>
  <c r="L106" i="8" s="1"/>
  <c r="E104" i="8"/>
  <c r="H104" i="8"/>
  <c r="J104" i="8"/>
  <c r="J106" i="8" s="1"/>
  <c r="F104" i="8"/>
  <c r="F106" i="8" s="1"/>
  <c r="G25" i="4"/>
  <c r="A169" i="4"/>
  <c r="G59" i="8"/>
  <c r="G207" i="8" s="1"/>
  <c r="G208" i="8" s="1"/>
  <c r="R114" i="8"/>
  <c r="A79" i="4"/>
  <c r="R68" i="8"/>
  <c r="D125" i="8"/>
  <c r="R109" i="8"/>
  <c r="R293" i="36"/>
  <c r="D54" i="46"/>
  <c r="C61" i="45"/>
  <c r="C63" i="45" s="1"/>
  <c r="A74" i="36"/>
  <c r="A75" i="36" s="1"/>
  <c r="F225" i="8"/>
  <c r="F66" i="8"/>
  <c r="G64" i="8"/>
  <c r="R110" i="8"/>
  <c r="H24" i="36"/>
  <c r="R24" i="36"/>
  <c r="R63" i="8"/>
  <c r="G210" i="8"/>
  <c r="G211" i="8" s="1"/>
  <c r="R21" i="36"/>
  <c r="H21" i="36"/>
  <c r="H20" i="36"/>
  <c r="R20" i="36"/>
  <c r="R124" i="8"/>
  <c r="O125" i="8"/>
  <c r="R72" i="8"/>
  <c r="P183" i="38" l="1"/>
  <c r="N183" i="38" s="1"/>
  <c r="P224" i="38"/>
  <c r="N224" i="38" s="1"/>
  <c r="P232" i="38"/>
  <c r="N232" i="38" s="1"/>
  <c r="P19" i="38"/>
  <c r="N19" i="38" s="1"/>
  <c r="N181" i="38"/>
  <c r="O181" i="38" s="1"/>
  <c r="O183" i="38" s="1"/>
  <c r="P200" i="38"/>
  <c r="N200" i="38" s="1"/>
  <c r="N190" i="38"/>
  <c r="O190" i="38" s="1"/>
  <c r="O200" i="38" s="1"/>
  <c r="P79" i="38"/>
  <c r="N79" i="38" s="1"/>
  <c r="O66" i="38"/>
  <c r="P213" i="38"/>
  <c r="N213" i="38" s="1"/>
  <c r="P13" i="38"/>
  <c r="N13" i="38" s="1"/>
  <c r="O79" i="38"/>
  <c r="P294" i="38"/>
  <c r="N294" i="38" s="1"/>
  <c r="O294" i="38" s="1"/>
  <c r="P279" i="38"/>
  <c r="P284" i="38" s="1"/>
  <c r="N284" i="38" s="1"/>
  <c r="P88" i="38"/>
  <c r="P89" i="38" s="1"/>
  <c r="N89" i="38" s="1"/>
  <c r="N290" i="38"/>
  <c r="O290" i="38" s="1"/>
  <c r="P94" i="38"/>
  <c r="N94" i="38" s="1"/>
  <c r="O94" i="38" s="1"/>
  <c r="P37" i="38"/>
  <c r="N37" i="38" s="1"/>
  <c r="P62" i="38"/>
  <c r="N62" i="38" s="1"/>
  <c r="P276" i="38"/>
  <c r="N276" i="38" s="1"/>
  <c r="P173" i="38"/>
  <c r="N248" i="38"/>
  <c r="O248" i="38" s="1"/>
  <c r="P250" i="38"/>
  <c r="P257" i="38" s="1"/>
  <c r="N220" i="38"/>
  <c r="O220" i="38" s="1"/>
  <c r="O224" i="38" s="1"/>
  <c r="N204" i="38"/>
  <c r="O204" i="38" s="1"/>
  <c r="O213" i="38" s="1"/>
  <c r="N23" i="38"/>
  <c r="O23" i="38" s="1"/>
  <c r="O37" i="38" s="1"/>
  <c r="N230" i="38"/>
  <c r="O230" i="38" s="1"/>
  <c r="O232" i="38" s="1"/>
  <c r="N16" i="38"/>
  <c r="O16" i="38" s="1"/>
  <c r="O19" i="38" s="1"/>
  <c r="N40" i="38"/>
  <c r="O40" i="38" s="1"/>
  <c r="N272" i="38"/>
  <c r="O272" i="38" s="1"/>
  <c r="N170" i="38"/>
  <c r="O170" i="38" s="1"/>
  <c r="O173" i="38" s="1"/>
  <c r="P242" i="38"/>
  <c r="N242" i="38" s="1"/>
  <c r="N10" i="38"/>
  <c r="O10" i="38" s="1"/>
  <c r="N239" i="38"/>
  <c r="O239" i="38" s="1"/>
  <c r="O242" i="38" s="1"/>
  <c r="M143" i="36"/>
  <c r="M14" i="36" s="1"/>
  <c r="M22" i="36" s="1"/>
  <c r="S139" i="36"/>
  <c r="F14" i="4"/>
  <c r="U14" i="4" s="1"/>
  <c r="S252" i="36"/>
  <c r="S137" i="36"/>
  <c r="I143" i="36"/>
  <c r="I14" i="36" s="1"/>
  <c r="I22" i="36" s="1"/>
  <c r="P141" i="36"/>
  <c r="S288" i="36"/>
  <c r="H293" i="36"/>
  <c r="S293" i="36" s="1"/>
  <c r="K143" i="36"/>
  <c r="K14" i="36" s="1"/>
  <c r="K22" i="36" s="1"/>
  <c r="N143" i="36"/>
  <c r="N14" i="36" s="1"/>
  <c r="N22" i="36" s="1"/>
  <c r="P181" i="8"/>
  <c r="P175" i="8"/>
  <c r="I262" i="36"/>
  <c r="I19" i="36" s="1"/>
  <c r="A224" i="8"/>
  <c r="A170" i="8"/>
  <c r="A171" i="8" s="1"/>
  <c r="P172" i="8" s="1"/>
  <c r="P186" i="8"/>
  <c r="I264" i="36"/>
  <c r="N66" i="38"/>
  <c r="G264" i="36"/>
  <c r="N262" i="36"/>
  <c r="N19" i="36" s="1"/>
  <c r="N9" i="38"/>
  <c r="O9" i="38" s="1"/>
  <c r="N39" i="38"/>
  <c r="O39" i="38" s="1"/>
  <c r="N268" i="38"/>
  <c r="O268" i="38" s="1"/>
  <c r="O264" i="36"/>
  <c r="S53" i="36"/>
  <c r="S167" i="36"/>
  <c r="H179" i="36"/>
  <c r="L264" i="36"/>
  <c r="H260" i="36"/>
  <c r="L262" i="36"/>
  <c r="L19" i="36" s="1"/>
  <c r="S20" i="36"/>
  <c r="S72" i="36"/>
  <c r="S244" i="36"/>
  <c r="J264" i="36"/>
  <c r="K264" i="36"/>
  <c r="S127" i="36"/>
  <c r="S230" i="36"/>
  <c r="S24" i="36"/>
  <c r="S300" i="36"/>
  <c r="M262" i="36"/>
  <c r="M19" i="36" s="1"/>
  <c r="C65" i="45"/>
  <c r="C66" i="45" s="1"/>
  <c r="O262" i="36"/>
  <c r="O19" i="36" s="1"/>
  <c r="H209" i="36"/>
  <c r="P215" i="38" s="1"/>
  <c r="S207" i="36"/>
  <c r="S46" i="36"/>
  <c r="R179" i="36"/>
  <c r="N264" i="36"/>
  <c r="S21" i="36"/>
  <c r="K262" i="36"/>
  <c r="K19" i="36" s="1"/>
  <c r="S237" i="36"/>
  <c r="F262" i="36"/>
  <c r="F19" i="36" s="1"/>
  <c r="H104" i="36"/>
  <c r="H105" i="36" s="1"/>
  <c r="P68" i="38" s="1"/>
  <c r="P179" i="36"/>
  <c r="S102" i="36"/>
  <c r="F264" i="36"/>
  <c r="G262" i="36"/>
  <c r="G19" i="36" s="1"/>
  <c r="P209" i="36"/>
  <c r="S285" i="36"/>
  <c r="S194" i="36"/>
  <c r="P104" i="36"/>
  <c r="P105" i="36" s="1"/>
  <c r="P129" i="36" s="1"/>
  <c r="M264" i="36"/>
  <c r="J262" i="36"/>
  <c r="J19" i="36" s="1"/>
  <c r="R209" i="36"/>
  <c r="S177" i="36"/>
  <c r="L129" i="36"/>
  <c r="L143" i="36" s="1"/>
  <c r="L14" i="36" s="1"/>
  <c r="O129" i="36"/>
  <c r="O143" i="36" s="1"/>
  <c r="O14" i="36" s="1"/>
  <c r="S98" i="36"/>
  <c r="R105" i="36"/>
  <c r="R104" i="36"/>
  <c r="A179" i="36"/>
  <c r="A76" i="36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O66" i="8"/>
  <c r="R65" i="8"/>
  <c r="G213" i="8"/>
  <c r="G214" i="8" s="1"/>
  <c r="A172" i="8"/>
  <c r="P171" i="8"/>
  <c r="R111" i="8"/>
  <c r="D59" i="46"/>
  <c r="D60" i="46"/>
  <c r="O104" i="8"/>
  <c r="O106" i="8" s="1"/>
  <c r="D58" i="8"/>
  <c r="G104" i="8"/>
  <c r="E106" i="8"/>
  <c r="H106" i="8"/>
  <c r="O112" i="8"/>
  <c r="R112" i="8" s="1"/>
  <c r="R59" i="8"/>
  <c r="A170" i="4"/>
  <c r="A80" i="4"/>
  <c r="R125" i="8"/>
  <c r="D82" i="8"/>
  <c r="J23" i="36"/>
  <c r="E13" i="44"/>
  <c r="D56" i="46"/>
  <c r="D65" i="46"/>
  <c r="G66" i="8"/>
  <c r="R64" i="8"/>
  <c r="O82" i="8"/>
  <c r="P185" i="38" l="1"/>
  <c r="P234" i="38"/>
  <c r="N234" i="38" s="1"/>
  <c r="P143" i="36"/>
  <c r="N173" i="38"/>
  <c r="N250" i="38"/>
  <c r="O250" i="38" s="1"/>
  <c r="O276" i="38"/>
  <c r="O234" i="38"/>
  <c r="N88" i="38"/>
  <c r="O88" i="38" s="1"/>
  <c r="O89" i="38" s="1"/>
  <c r="O185" i="38"/>
  <c r="D101" i="8"/>
  <c r="D127" i="8" s="1"/>
  <c r="O62" i="38"/>
  <c r="N279" i="38"/>
  <c r="O279" i="38" s="1"/>
  <c r="O284" i="38" s="1"/>
  <c r="P263" i="38"/>
  <c r="N263" i="38" s="1"/>
  <c r="O13" i="38"/>
  <c r="M23" i="36"/>
  <c r="M25" i="36" s="1"/>
  <c r="F22" i="4"/>
  <c r="U22" i="4" s="1"/>
  <c r="F23" i="4"/>
  <c r="U23" i="4" s="1"/>
  <c r="I23" i="36"/>
  <c r="I25" i="36" s="1"/>
  <c r="N23" i="36"/>
  <c r="N25" i="36" s="1"/>
  <c r="K23" i="36"/>
  <c r="K25" i="36" s="1"/>
  <c r="A225" i="8"/>
  <c r="R66" i="8"/>
  <c r="S179" i="36"/>
  <c r="S260" i="36"/>
  <c r="N185" i="38"/>
  <c r="H264" i="36"/>
  <c r="N215" i="38"/>
  <c r="O215" i="38" s="1"/>
  <c r="N257" i="38"/>
  <c r="H129" i="36"/>
  <c r="P81" i="38" s="1"/>
  <c r="N68" i="38"/>
  <c r="O68" i="38" s="1"/>
  <c r="H262" i="36"/>
  <c r="P265" i="38" s="1"/>
  <c r="P286" i="38" s="1"/>
  <c r="P262" i="36"/>
  <c r="P264" i="36"/>
  <c r="R264" i="36"/>
  <c r="S209" i="36"/>
  <c r="P19" i="36"/>
  <c r="S104" i="36"/>
  <c r="R262" i="36"/>
  <c r="J25" i="36"/>
  <c r="O23" i="36"/>
  <c r="O22" i="36"/>
  <c r="L23" i="36"/>
  <c r="L22" i="36"/>
  <c r="P14" i="36"/>
  <c r="D93" i="46"/>
  <c r="A181" i="36"/>
  <c r="A182" i="36" s="1"/>
  <c r="A183" i="36" s="1"/>
  <c r="A174" i="8"/>
  <c r="A175" i="8" s="1"/>
  <c r="G106" i="8"/>
  <c r="R106" i="8" s="1"/>
  <c r="R104" i="8"/>
  <c r="M58" i="8"/>
  <c r="M60" i="8" s="1"/>
  <c r="L58" i="8"/>
  <c r="L60" i="8" s="1"/>
  <c r="J58" i="8"/>
  <c r="J60" i="8" s="1"/>
  <c r="H58" i="8"/>
  <c r="I58" i="8"/>
  <c r="I60" i="8" s="1"/>
  <c r="E58" i="8"/>
  <c r="K58" i="8"/>
  <c r="K60" i="8" s="1"/>
  <c r="N58" i="8"/>
  <c r="N60" i="8" s="1"/>
  <c r="F58" i="8"/>
  <c r="D60" i="8"/>
  <c r="E54" i="46"/>
  <c r="A171" i="4"/>
  <c r="A81" i="4"/>
  <c r="S105" i="36"/>
  <c r="R82" i="8"/>
  <c r="D66" i="46"/>
  <c r="H22" i="44" s="1"/>
  <c r="M61" i="45"/>
  <c r="G61" i="45"/>
  <c r="G63" i="45" s="1"/>
  <c r="G65" i="45" s="1"/>
  <c r="G66" i="45" s="1"/>
  <c r="K63" i="45"/>
  <c r="K65" i="45" s="1"/>
  <c r="K66" i="45" s="1"/>
  <c r="H19" i="36"/>
  <c r="R19" i="36"/>
  <c r="R129" i="36"/>
  <c r="O265" i="38" l="1"/>
  <c r="O286" i="38" s="1"/>
  <c r="N101" i="8"/>
  <c r="N127" i="8" s="1"/>
  <c r="N14" i="8" s="1"/>
  <c r="M101" i="8"/>
  <c r="E101" i="8"/>
  <c r="K101" i="8"/>
  <c r="K127" i="8" s="1"/>
  <c r="K14" i="8" s="1"/>
  <c r="F101" i="8"/>
  <c r="J101" i="8"/>
  <c r="J127" i="8" s="1"/>
  <c r="J14" i="8" s="1"/>
  <c r="L101" i="8"/>
  <c r="L127" i="8" s="1"/>
  <c r="L14" i="8" s="1"/>
  <c r="H101" i="8"/>
  <c r="I101" i="8"/>
  <c r="I127" i="8" s="1"/>
  <c r="I14" i="8" s="1"/>
  <c r="F25" i="4"/>
  <c r="U25" i="4" s="1"/>
  <c r="A227" i="8"/>
  <c r="M63" i="45"/>
  <c r="M65" i="45" s="1"/>
  <c r="M66" i="45" s="1"/>
  <c r="N81" i="38"/>
  <c r="O81" i="38" s="1"/>
  <c r="N265" i="38"/>
  <c r="M127" i="8"/>
  <c r="M14" i="8" s="1"/>
  <c r="S264" i="36"/>
  <c r="S262" i="36"/>
  <c r="L25" i="36"/>
  <c r="P22" i="36"/>
  <c r="O25" i="36"/>
  <c r="P23" i="36"/>
  <c r="D103" i="46"/>
  <c r="H29" i="44" s="1"/>
  <c r="A184" i="36"/>
  <c r="A185" i="36" s="1"/>
  <c r="A176" i="8"/>
  <c r="A177" i="8" s="1"/>
  <c r="P178" i="8" s="1"/>
  <c r="C54" i="46"/>
  <c r="C59" i="46" s="1"/>
  <c r="C93" i="46" s="1"/>
  <c r="E60" i="46"/>
  <c r="C101" i="46" s="1"/>
  <c r="E59" i="46"/>
  <c r="O58" i="8"/>
  <c r="O60" i="8" s="1"/>
  <c r="F204" i="8"/>
  <c r="F235" i="8" s="1"/>
  <c r="F60" i="8"/>
  <c r="H60" i="8"/>
  <c r="E204" i="8"/>
  <c r="E235" i="8" s="1"/>
  <c r="G58" i="8"/>
  <c r="E60" i="8"/>
  <c r="E65" i="46"/>
  <c r="E56" i="46"/>
  <c r="A172" i="4"/>
  <c r="A82" i="4"/>
  <c r="S19" i="36"/>
  <c r="S129" i="36"/>
  <c r="G101" i="8" l="1"/>
  <c r="E120" i="8" s="1"/>
  <c r="F140" i="36" s="1"/>
  <c r="O101" i="8"/>
  <c r="O127" i="8" s="1"/>
  <c r="H127" i="8"/>
  <c r="H14" i="8" s="1"/>
  <c r="O14" i="8" s="1"/>
  <c r="D55" i="8"/>
  <c r="D84" i="8" s="1"/>
  <c r="A228" i="8"/>
  <c r="H232" i="8"/>
  <c r="H230" i="8"/>
  <c r="E25" i="8"/>
  <c r="E28" i="8" s="1"/>
  <c r="F205" i="8"/>
  <c r="F236" i="8" s="1"/>
  <c r="E205" i="8"/>
  <c r="E236" i="8" s="1"/>
  <c r="P25" i="36"/>
  <c r="E93" i="46"/>
  <c r="A186" i="36"/>
  <c r="A187" i="36" s="1"/>
  <c r="A188" i="36" s="1"/>
  <c r="A189" i="36" s="1"/>
  <c r="A190" i="36" s="1"/>
  <c r="A191" i="36" s="1"/>
  <c r="A192" i="36" s="1"/>
  <c r="A193" i="36" s="1"/>
  <c r="A194" i="36" s="1"/>
  <c r="A196" i="36" s="1"/>
  <c r="A197" i="36" s="1"/>
  <c r="P177" i="8"/>
  <c r="A178" i="8"/>
  <c r="A180" i="8" s="1"/>
  <c r="A181" i="8" s="1"/>
  <c r="H228" i="8" s="1"/>
  <c r="C60" i="46"/>
  <c r="C56" i="46"/>
  <c r="C65" i="46"/>
  <c r="C66" i="46" s="1"/>
  <c r="J22" i="44" s="1"/>
  <c r="E66" i="46"/>
  <c r="I22" i="44" s="1"/>
  <c r="G204" i="8"/>
  <c r="G235" i="8" s="1"/>
  <c r="R58" i="8"/>
  <c r="G60" i="8"/>
  <c r="R60" i="8" s="1"/>
  <c r="A173" i="4"/>
  <c r="R177" i="4"/>
  <c r="A83" i="4"/>
  <c r="A120" i="36"/>
  <c r="F120" i="8" l="1"/>
  <c r="G140" i="36" s="1"/>
  <c r="G141" i="36" s="1"/>
  <c r="G143" i="36" s="1"/>
  <c r="G14" i="36" s="1"/>
  <c r="G22" i="36" s="1"/>
  <c r="E127" i="8"/>
  <c r="E14" i="8" s="1"/>
  <c r="E75" i="8"/>
  <c r="E77" i="8" s="1"/>
  <c r="E227" i="8" s="1"/>
  <c r="E232" i="8" s="1"/>
  <c r="M55" i="8"/>
  <c r="M84" i="8" s="1"/>
  <c r="M20" i="8" s="1"/>
  <c r="R101" i="8"/>
  <c r="L55" i="8"/>
  <c r="L84" i="8" s="1"/>
  <c r="L20" i="8" s="1"/>
  <c r="I55" i="8"/>
  <c r="I84" i="8" s="1"/>
  <c r="I20" i="8" s="1"/>
  <c r="E55" i="8"/>
  <c r="E201" i="8" s="1"/>
  <c r="F55" i="8"/>
  <c r="F201" i="8" s="1"/>
  <c r="F238" i="8" s="1"/>
  <c r="N55" i="8"/>
  <c r="N84" i="8" s="1"/>
  <c r="N20" i="8" s="1"/>
  <c r="K55" i="8"/>
  <c r="K84" i="8" s="1"/>
  <c r="K20" i="8" s="1"/>
  <c r="H55" i="8"/>
  <c r="H84" i="8" s="1"/>
  <c r="H20" i="8" s="1"/>
  <c r="J55" i="8"/>
  <c r="J84" i="8" s="1"/>
  <c r="J20" i="8" s="1"/>
  <c r="H221" i="8"/>
  <c r="H223" i="8"/>
  <c r="H225" i="8"/>
  <c r="A230" i="8"/>
  <c r="A232" i="8" s="1"/>
  <c r="H233" i="8"/>
  <c r="G205" i="8"/>
  <c r="G236" i="8" s="1"/>
  <c r="F141" i="36"/>
  <c r="H140" i="36"/>
  <c r="P95" i="38" s="1"/>
  <c r="P96" i="38" s="1"/>
  <c r="E103" i="46"/>
  <c r="I29" i="44" s="1"/>
  <c r="C100" i="46"/>
  <c r="C103" i="46" s="1"/>
  <c r="J29" i="44" s="1"/>
  <c r="A198" i="36"/>
  <c r="A199" i="36" s="1"/>
  <c r="A96" i="36"/>
  <c r="A97" i="36" s="1"/>
  <c r="A98" i="36" s="1"/>
  <c r="A99" i="36" s="1"/>
  <c r="A182" i="8"/>
  <c r="A183" i="8" s="1"/>
  <c r="P184" i="8" s="1"/>
  <c r="A174" i="4"/>
  <c r="A84" i="4"/>
  <c r="A85" i="4" s="1"/>
  <c r="A86" i="4" s="1"/>
  <c r="A87" i="4" s="1"/>
  <c r="A88" i="4" s="1"/>
  <c r="A89" i="4" s="1"/>
  <c r="A90" i="4" s="1"/>
  <c r="A91" i="4" s="1"/>
  <c r="A92" i="4" s="1"/>
  <c r="A128" i="36"/>
  <c r="R140" i="36" l="1"/>
  <c r="G120" i="8"/>
  <c r="G127" i="8" s="1"/>
  <c r="R127" i="8" s="1"/>
  <c r="F75" i="8"/>
  <c r="F77" i="8" s="1"/>
  <c r="F227" i="8" s="1"/>
  <c r="F232" i="8" s="1"/>
  <c r="F127" i="8"/>
  <c r="F14" i="8" s="1"/>
  <c r="G14" i="8" s="1"/>
  <c r="D14" i="8" s="1"/>
  <c r="G23" i="36"/>
  <c r="G25" i="36" s="1"/>
  <c r="F202" i="8"/>
  <c r="F239" i="8" s="1"/>
  <c r="G55" i="8"/>
  <c r="G201" i="8" s="1"/>
  <c r="G238" i="8" s="1"/>
  <c r="O20" i="8"/>
  <c r="O55" i="8"/>
  <c r="O84" i="8" s="1"/>
  <c r="A233" i="8"/>
  <c r="A235" i="8" s="1"/>
  <c r="A236" i="8" s="1"/>
  <c r="A238" i="8" s="1"/>
  <c r="A239" i="8" s="1"/>
  <c r="E238" i="8"/>
  <c r="E230" i="8"/>
  <c r="F25" i="8"/>
  <c r="F26" i="8" s="1"/>
  <c r="E202" i="8"/>
  <c r="E239" i="8" s="1"/>
  <c r="H141" i="36"/>
  <c r="S140" i="36"/>
  <c r="R141" i="36"/>
  <c r="F143" i="36"/>
  <c r="E228" i="8"/>
  <c r="E233" i="8" s="1"/>
  <c r="E84" i="8"/>
  <c r="E20" i="8" s="1"/>
  <c r="A200" i="36"/>
  <c r="A100" i="36"/>
  <c r="A101" i="36" s="1"/>
  <c r="A102" i="36" s="1"/>
  <c r="A104" i="36" s="1"/>
  <c r="A105" i="36" s="1"/>
  <c r="P183" i="8"/>
  <c r="A184" i="8"/>
  <c r="A186" i="8" s="1"/>
  <c r="A175" i="4"/>
  <c r="A93" i="4"/>
  <c r="A94" i="4" s="1"/>
  <c r="A95" i="4" s="1"/>
  <c r="A96" i="4" s="1"/>
  <c r="A97" i="4" s="1"/>
  <c r="A98" i="4" s="1"/>
  <c r="A130" i="36"/>
  <c r="E26" i="8"/>
  <c r="F230" i="8" l="1"/>
  <c r="F228" i="8"/>
  <c r="F233" i="8" s="1"/>
  <c r="G75" i="8"/>
  <c r="G77" i="8" s="1"/>
  <c r="G84" i="8" s="1"/>
  <c r="R84" i="8" s="1"/>
  <c r="F84" i="8"/>
  <c r="F20" i="8" s="1"/>
  <c r="E36" i="44" s="1"/>
  <c r="G202" i="8"/>
  <c r="G239" i="8" s="1"/>
  <c r="R55" i="8"/>
  <c r="D36" i="44"/>
  <c r="D118" i="46" s="1"/>
  <c r="D125" i="46" s="1"/>
  <c r="G227" i="8"/>
  <c r="G230" i="8" s="1"/>
  <c r="R14" i="8"/>
  <c r="E22" i="8"/>
  <c r="H21" i="44" s="1"/>
  <c r="S141" i="36"/>
  <c r="H143" i="36"/>
  <c r="P98" i="38" s="1"/>
  <c r="D14" i="44"/>
  <c r="D15" i="44" s="1"/>
  <c r="N95" i="38"/>
  <c r="O95" i="38" s="1"/>
  <c r="O96" i="38" s="1"/>
  <c r="N96" i="38"/>
  <c r="F14" i="36"/>
  <c r="R143" i="36"/>
  <c r="A201" i="36"/>
  <c r="A202" i="36" s="1"/>
  <c r="A203" i="36" s="1"/>
  <c r="A204" i="36" s="1"/>
  <c r="A205" i="36" s="1"/>
  <c r="A206" i="36" s="1"/>
  <c r="A207" i="36" s="1"/>
  <c r="A209" i="36" s="1"/>
  <c r="A224" i="36" s="1"/>
  <c r="A225" i="36" s="1"/>
  <c r="A226" i="36" s="1"/>
  <c r="A227" i="36" s="1"/>
  <c r="A228" i="36" s="1"/>
  <c r="A229" i="36" s="1"/>
  <c r="A230" i="36" s="1"/>
  <c r="A232" i="36" s="1"/>
  <c r="A233" i="36" s="1"/>
  <c r="A234" i="36" s="1"/>
  <c r="A235" i="36" s="1"/>
  <c r="A236" i="36" s="1"/>
  <c r="A237" i="36" s="1"/>
  <c r="A239" i="36" s="1"/>
  <c r="A240" i="36" s="1"/>
  <c r="A241" i="36" s="1"/>
  <c r="A242" i="36" s="1"/>
  <c r="A243" i="36" s="1"/>
  <c r="A244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5" i="36" s="1"/>
  <c r="A119" i="36"/>
  <c r="A176" i="4"/>
  <c r="A100" i="4"/>
  <c r="F28" i="8"/>
  <c r="F30" i="8" s="1"/>
  <c r="G25" i="8"/>
  <c r="E30" i="8"/>
  <c r="G20" i="8" l="1"/>
  <c r="D20" i="8" s="1"/>
  <c r="E14" i="44"/>
  <c r="E15" i="44" s="1"/>
  <c r="F22" i="8"/>
  <c r="I21" i="44" s="1"/>
  <c r="I23" i="44" s="1"/>
  <c r="G232" i="8"/>
  <c r="F111" i="45"/>
  <c r="F113" i="45" s="1"/>
  <c r="F115" i="45" s="1"/>
  <c r="F116" i="45" s="1"/>
  <c r="E111" i="45"/>
  <c r="E113" i="45" s="1"/>
  <c r="E115" i="45" s="1"/>
  <c r="E116" i="45" s="1"/>
  <c r="H23" i="44"/>
  <c r="H30" i="44"/>
  <c r="D111" i="45"/>
  <c r="D113" i="45" s="1"/>
  <c r="D115" i="45" s="1"/>
  <c r="D116" i="45" s="1"/>
  <c r="C111" i="45"/>
  <c r="C113" i="45" s="1"/>
  <c r="C115" i="45" s="1"/>
  <c r="C116" i="45" s="1"/>
  <c r="G228" i="8"/>
  <c r="G233" i="8" s="1"/>
  <c r="E118" i="46"/>
  <c r="E125" i="46" s="1"/>
  <c r="E130" i="46" s="1"/>
  <c r="J111" i="45"/>
  <c r="J113" i="45" s="1"/>
  <c r="J115" i="45" s="1"/>
  <c r="J116" i="45" s="1"/>
  <c r="I111" i="45"/>
  <c r="I113" i="45" s="1"/>
  <c r="I115" i="45" s="1"/>
  <c r="I116" i="45" s="1"/>
  <c r="G26" i="8"/>
  <c r="D136" i="46"/>
  <c r="D137" i="46" s="1"/>
  <c r="H36" i="44" s="1"/>
  <c r="H37" i="44" s="1"/>
  <c r="D130" i="46"/>
  <c r="D131" i="46"/>
  <c r="D127" i="46"/>
  <c r="L111" i="45"/>
  <c r="L113" i="45" s="1"/>
  <c r="L115" i="45" s="1"/>
  <c r="L116" i="45" s="1"/>
  <c r="H111" i="45"/>
  <c r="H113" i="45" s="1"/>
  <c r="H115" i="45" s="1"/>
  <c r="H116" i="45" s="1"/>
  <c r="M111" i="45"/>
  <c r="G111" i="45"/>
  <c r="G113" i="45" s="1"/>
  <c r="G115" i="45" s="1"/>
  <c r="G116" i="45" s="1"/>
  <c r="K111" i="45"/>
  <c r="K113" i="45" s="1"/>
  <c r="K115" i="45" s="1"/>
  <c r="K116" i="45" s="1"/>
  <c r="N111" i="45"/>
  <c r="N113" i="45" s="1"/>
  <c r="N115" i="45" s="1"/>
  <c r="N116" i="45" s="1"/>
  <c r="F36" i="8"/>
  <c r="F38" i="8" s="1"/>
  <c r="F23" i="8"/>
  <c r="N98" i="38"/>
  <c r="O98" i="38" s="1"/>
  <c r="S143" i="36"/>
  <c r="E23" i="8"/>
  <c r="G22" i="8"/>
  <c r="E36" i="8"/>
  <c r="E38" i="8" s="1"/>
  <c r="F22" i="36"/>
  <c r="R14" i="36"/>
  <c r="F23" i="36"/>
  <c r="H14" i="36"/>
  <c r="A256" i="36"/>
  <c r="A257" i="36" s="1"/>
  <c r="A258" i="36" s="1"/>
  <c r="A259" i="36" s="1"/>
  <c r="A260" i="36" s="1"/>
  <c r="A121" i="36"/>
  <c r="A122" i="36" s="1"/>
  <c r="A123" i="36" s="1"/>
  <c r="A124" i="36" s="1"/>
  <c r="A125" i="36" s="1"/>
  <c r="A126" i="36" s="1"/>
  <c r="A127" i="36" s="1"/>
  <c r="A177" i="4"/>
  <c r="A101" i="4"/>
  <c r="G28" i="8"/>
  <c r="G30" i="8"/>
  <c r="I30" i="44" l="1"/>
  <c r="R20" i="8"/>
  <c r="J21" i="44"/>
  <c r="J30" i="44" s="1"/>
  <c r="K356" i="38"/>
  <c r="E136" i="46"/>
  <c r="E137" i="46" s="1"/>
  <c r="I36" i="44" s="1"/>
  <c r="I37" i="44" s="1"/>
  <c r="E131" i="46"/>
  <c r="E127" i="46"/>
  <c r="C125" i="46"/>
  <c r="C130" i="46" s="1"/>
  <c r="M113" i="45"/>
  <c r="M115" i="45" s="1"/>
  <c r="M116" i="45" s="1"/>
  <c r="F32" i="8"/>
  <c r="F34" i="8" s="1"/>
  <c r="G23" i="8"/>
  <c r="R23" i="8" s="1"/>
  <c r="S14" i="36"/>
  <c r="H23" i="36"/>
  <c r="S23" i="36" s="1"/>
  <c r="R23" i="36"/>
  <c r="H22" i="36"/>
  <c r="F25" i="36"/>
  <c r="R22" i="36"/>
  <c r="A262" i="36"/>
  <c r="A264" i="36" s="1"/>
  <c r="A129" i="36"/>
  <c r="R179" i="4"/>
  <c r="A179" i="4"/>
  <c r="A102" i="4"/>
  <c r="R104" i="4" s="1"/>
  <c r="J23" i="44" l="1"/>
  <c r="C127" i="46"/>
  <c r="C136" i="46"/>
  <c r="C137" i="46" s="1"/>
  <c r="J36" i="44" s="1"/>
  <c r="J37" i="44" s="1"/>
  <c r="C131" i="46"/>
  <c r="R25" i="36"/>
  <c r="S22" i="36"/>
  <c r="H25" i="36"/>
  <c r="S25" i="36" s="1"/>
  <c r="A131" i="36"/>
  <c r="A132" i="36" s="1"/>
  <c r="A133" i="36" s="1"/>
  <c r="A134" i="36" s="1"/>
  <c r="A181" i="4"/>
  <c r="A104" i="4"/>
  <c r="R105" i="4" s="1"/>
  <c r="A105" i="4" l="1"/>
  <c r="A119" i="4" s="1"/>
  <c r="A182" i="4"/>
  <c r="A135" i="36"/>
  <c r="A136" i="36" s="1"/>
  <c r="A121" i="4" l="1"/>
  <c r="A183" i="4"/>
  <c r="A137" i="36"/>
  <c r="A138" i="36" s="1"/>
  <c r="A184" i="4" l="1"/>
  <c r="A122" i="4"/>
  <c r="A139" i="36"/>
  <c r="A185" i="4" l="1"/>
  <c r="A123" i="4"/>
  <c r="A124" i="4" s="1"/>
  <c r="A140" i="36"/>
  <c r="A141" i="36" l="1"/>
  <c r="A143" i="36" s="1"/>
  <c r="A186" i="4"/>
  <c r="A125" i="4"/>
  <c r="A126" i="4" s="1"/>
  <c r="R127" i="4" s="1"/>
  <c r="A187" i="4" l="1"/>
  <c r="A127" i="4"/>
  <c r="R129" i="4" s="1"/>
  <c r="E32" i="8"/>
  <c r="G36" i="8"/>
  <c r="G38" i="8" s="1"/>
  <c r="A188" i="4" l="1"/>
  <c r="A129" i="4"/>
  <c r="A131" i="4" s="1"/>
  <c r="A132" i="4" s="1"/>
  <c r="G32" i="8"/>
  <c r="G34" i="8" s="1"/>
  <c r="E34" i="8"/>
  <c r="A189" i="4" l="1"/>
  <c r="A133" i="4"/>
  <c r="A134" i="4" s="1"/>
  <c r="A135" i="4" s="1"/>
  <c r="A136" i="4" s="1"/>
  <c r="A137" i="4" s="1"/>
  <c r="A138" i="4" s="1"/>
  <c r="A139" i="4" s="1"/>
  <c r="A140" i="4" s="1"/>
  <c r="R141" i="4" s="1"/>
  <c r="A190" i="4" l="1"/>
  <c r="A141" i="4" l="1"/>
  <c r="R143" i="4" s="1"/>
  <c r="A191" i="4"/>
  <c r="A143" i="4" l="1"/>
  <c r="R14" i="4" s="1"/>
  <c r="A192" i="4"/>
  <c r="A193" i="4" l="1"/>
  <c r="A194" i="4" l="1"/>
  <c r="R194" i="4"/>
  <c r="A196" i="4" l="1"/>
  <c r="A197" i="4" s="1"/>
  <c r="A198" i="4" l="1"/>
  <c r="A199" i="4" s="1"/>
  <c r="A200" i="4" s="1"/>
  <c r="A201" i="4" s="1"/>
  <c r="A202" i="4" s="1"/>
  <c r="A203" i="4" s="1"/>
  <c r="A204" i="4" s="1"/>
  <c r="A205" i="4" s="1"/>
  <c r="A206" i="4" s="1"/>
  <c r="A207" i="4" s="1"/>
  <c r="A209" i="4" l="1"/>
  <c r="R209" i="4"/>
  <c r="R207" i="4"/>
  <c r="A224" i="4" l="1"/>
  <c r="A225" i="4" l="1"/>
  <c r="A226" i="4" l="1"/>
  <c r="A227" i="4" l="1"/>
  <c r="A228" i="4" s="1"/>
  <c r="A229" i="4" s="1"/>
  <c r="A230" i="4" s="1"/>
  <c r="A232" i="4" l="1"/>
  <c r="A233" i="4" s="1"/>
  <c r="R230" i="4"/>
  <c r="A234" i="4" l="1"/>
  <c r="A235" i="4" s="1"/>
  <c r="A236" i="4" s="1"/>
  <c r="A237" i="4" s="1"/>
  <c r="R237" i="4" l="1"/>
  <c r="A239" i="4"/>
  <c r="A240" i="4" s="1"/>
  <c r="A241" i="4" s="1"/>
  <c r="A242" i="4" l="1"/>
  <c r="A243" i="4" s="1"/>
  <c r="A244" i="4" s="1"/>
  <c r="R264" i="4" l="1"/>
  <c r="R244" i="4"/>
  <c r="A246" i="4"/>
  <c r="A247" i="4" s="1"/>
  <c r="A248" i="4" s="1"/>
  <c r="A249" i="4" l="1"/>
  <c r="A250" i="4" s="1"/>
  <c r="A251" i="4" s="1"/>
  <c r="A252" i="4" s="1"/>
  <c r="A253" i="4" s="1"/>
  <c r="A254" i="4" s="1"/>
  <c r="A255" i="4" l="1"/>
  <c r="A256" i="4" s="1"/>
  <c r="A257" i="4" l="1"/>
  <c r="A258" i="4" s="1"/>
  <c r="A259" i="4" s="1"/>
  <c r="R260" i="4" s="1"/>
  <c r="A260" i="4" l="1"/>
  <c r="R262" i="4" s="1"/>
  <c r="A262" i="4" l="1"/>
  <c r="R19" i="4" l="1"/>
  <c r="A264" i="4"/>
</calcChain>
</file>

<file path=xl/sharedStrings.xml><?xml version="1.0" encoding="utf-8"?>
<sst xmlns="http://schemas.openxmlformats.org/spreadsheetml/2006/main" count="3169" uniqueCount="731">
  <si>
    <t>[A]</t>
  </si>
  <si>
    <t>[B]</t>
  </si>
  <si>
    <t>[C]</t>
  </si>
  <si>
    <t>[D]</t>
  </si>
  <si>
    <t>[E]</t>
  </si>
  <si>
    <t>[F]</t>
  </si>
  <si>
    <t>Line</t>
  </si>
  <si>
    <t>Number</t>
  </si>
  <si>
    <t>Description</t>
  </si>
  <si>
    <t>Return Under Existing Rates</t>
  </si>
  <si>
    <t>Rate Base</t>
  </si>
  <si>
    <t>Sales Revenues</t>
  </si>
  <si>
    <t>Cost of Gas</t>
  </si>
  <si>
    <t>Sales Revenues Excluding Gas Cost</t>
  </si>
  <si>
    <t>Net Cost of Service</t>
  </si>
  <si>
    <t xml:space="preserve">   Percent</t>
  </si>
  <si>
    <t>Incremental Taxes at</t>
  </si>
  <si>
    <t>Incremental Return</t>
  </si>
  <si>
    <t>Return Under Current Rates</t>
  </si>
  <si>
    <t>Rate of Return Under Current Rates</t>
  </si>
  <si>
    <t>Total</t>
  </si>
  <si>
    <t>Jurisdictional</t>
  </si>
  <si>
    <t>Residential</t>
  </si>
  <si>
    <t>Service</t>
  </si>
  <si>
    <t>Commercial</t>
  </si>
  <si>
    <t>Non-</t>
  </si>
  <si>
    <t>[G]</t>
  </si>
  <si>
    <t>$</t>
  </si>
  <si>
    <t>Basis of Allocation or Reference</t>
  </si>
  <si>
    <t>Page 1 of 1</t>
  </si>
  <si>
    <t>Total Cost of Service</t>
  </si>
  <si>
    <t>Total Cost of Service - $</t>
  </si>
  <si>
    <t>Allocation Bases</t>
  </si>
  <si>
    <t>Commodity</t>
  </si>
  <si>
    <t>Services</t>
  </si>
  <si>
    <t>Meters &amp; Regulators</t>
  </si>
  <si>
    <t>Table 1 of 5</t>
  </si>
  <si>
    <t>Table 2 of 5</t>
  </si>
  <si>
    <t>Table 3 of 5</t>
  </si>
  <si>
    <t>Table 4 of 5</t>
  </si>
  <si>
    <t>Table 5 of 5</t>
  </si>
  <si>
    <t>Supply</t>
  </si>
  <si>
    <t>Transmission</t>
  </si>
  <si>
    <t>Demand</t>
  </si>
  <si>
    <t>Total Transmission</t>
  </si>
  <si>
    <t>Distribution</t>
  </si>
  <si>
    <t>Customer</t>
  </si>
  <si>
    <t>Direct</t>
  </si>
  <si>
    <t>Forfeited Discounts</t>
  </si>
  <si>
    <t>Meters and Regulators</t>
  </si>
  <si>
    <t>Customer Accounts</t>
  </si>
  <si>
    <t>Total Rate Base</t>
  </si>
  <si>
    <t>Allocation Factor</t>
  </si>
  <si>
    <t>Load Factor</t>
  </si>
  <si>
    <t>Average Number of Customers</t>
  </si>
  <si>
    <t>Weighting Factor</t>
  </si>
  <si>
    <t>Weighted Number of Customers</t>
  </si>
  <si>
    <t>Services Cost Allocator</t>
  </si>
  <si>
    <t>Meters &amp; Regulators Cost Allocator</t>
  </si>
  <si>
    <t>Customer Accounts Cost Allocator</t>
  </si>
  <si>
    <t>Page 2 of 2</t>
  </si>
  <si>
    <t>[H]</t>
  </si>
  <si>
    <t>[I]</t>
  </si>
  <si>
    <t>[J]</t>
  </si>
  <si>
    <t>[K]</t>
  </si>
  <si>
    <t>Per Books</t>
  </si>
  <si>
    <t>Energy Options</t>
  </si>
  <si>
    <t>Supervised O&amp;M</t>
  </si>
  <si>
    <t>Sum of Lines 2, 3, 7, 12, 13, 14, 15, 17 and 18</t>
  </si>
  <si>
    <t>Supply - Commodity - $</t>
  </si>
  <si>
    <t>Transmission - Demand -$</t>
  </si>
  <si>
    <t>Transmission - Commodity - $</t>
  </si>
  <si>
    <t>Distribution - Demand - $</t>
  </si>
  <si>
    <t>Distribution - Commodity - $</t>
  </si>
  <si>
    <t>Distribution - Customer - $</t>
  </si>
  <si>
    <t>Page 1 of 2</t>
  </si>
  <si>
    <t>Interruptible</t>
  </si>
  <si>
    <t>Non-Jurisdictional</t>
  </si>
  <si>
    <t>Total Non-Jurisdictional</t>
  </si>
  <si>
    <t>[L]</t>
  </si>
  <si>
    <t>[M]</t>
  </si>
  <si>
    <t>[N]</t>
  </si>
  <si>
    <t>Meters</t>
  </si>
  <si>
    <t>and</t>
  </si>
  <si>
    <t>Regulators</t>
  </si>
  <si>
    <t>Accounts</t>
  </si>
  <si>
    <t>Allocation Basis or Reference</t>
  </si>
  <si>
    <t>Acct.</t>
  </si>
  <si>
    <t>No.</t>
  </si>
  <si>
    <t>Rate of Return</t>
  </si>
  <si>
    <t>Operation &amp; Maintenance Expenses</t>
  </si>
  <si>
    <t>Depreciation Expenses</t>
  </si>
  <si>
    <t>Taxes Other Than Income Taxes</t>
  </si>
  <si>
    <t>Return</t>
  </si>
  <si>
    <t>Income Taxes</t>
  </si>
  <si>
    <t>Other Operating Revenues</t>
  </si>
  <si>
    <t>Summary</t>
  </si>
  <si>
    <t>Gas Plant in Service</t>
  </si>
  <si>
    <t>Intangible Plant</t>
  </si>
  <si>
    <t>Transmission Plant</t>
  </si>
  <si>
    <t>Distribution Plant</t>
  </si>
  <si>
    <t>General Plant</t>
  </si>
  <si>
    <t>Total Plant in Service</t>
  </si>
  <si>
    <t>Accumulated Depreciation</t>
  </si>
  <si>
    <t>Intangible</t>
  </si>
  <si>
    <t>General</t>
  </si>
  <si>
    <t>Total Accumulated Depreciation</t>
  </si>
  <si>
    <t>Net Plant</t>
  </si>
  <si>
    <t>Other Rate Base Items</t>
  </si>
  <si>
    <t>Materials &amp; Supplies</t>
  </si>
  <si>
    <t>Prepayments</t>
  </si>
  <si>
    <t>Customer Deposits</t>
  </si>
  <si>
    <t>Total Other Rate Base Items</t>
  </si>
  <si>
    <t>O &amp; M Expenses</t>
  </si>
  <si>
    <t>Transmission Expenses</t>
  </si>
  <si>
    <t>Distribution Expenses</t>
  </si>
  <si>
    <t>Customer Accounts Expenses</t>
  </si>
  <si>
    <t>Customer Service &amp; Inform. Exp.</t>
  </si>
  <si>
    <t>Sales Expenses</t>
  </si>
  <si>
    <t>Administrative &amp; General Expenses</t>
  </si>
  <si>
    <t xml:space="preserve">Total Operation &amp; Maintenance </t>
  </si>
  <si>
    <t>Supervised O &amp; M before General</t>
  </si>
  <si>
    <t>Depreciation Expense</t>
  </si>
  <si>
    <t>Total Depreciation Expense</t>
  </si>
  <si>
    <t>Payroll Taxes</t>
  </si>
  <si>
    <t>Miscellaneous</t>
  </si>
  <si>
    <t>Total Taxes Other than Income Taxes</t>
  </si>
  <si>
    <t>Misc. Service Revenues</t>
  </si>
  <si>
    <t>Total Other Operating Revenues</t>
  </si>
  <si>
    <t>Structures and Improvements</t>
  </si>
  <si>
    <t>Transportation Equipment</t>
  </si>
  <si>
    <t>Stores Equipment</t>
  </si>
  <si>
    <t>Laboratory Equipment</t>
  </si>
  <si>
    <t>Communication Equipment</t>
  </si>
  <si>
    <t>Total General Plant</t>
  </si>
  <si>
    <t>Total Intangible Plant</t>
  </si>
  <si>
    <t>Structures &amp; Improvements</t>
  </si>
  <si>
    <t>Mains</t>
  </si>
  <si>
    <t>Other Equipment</t>
  </si>
  <si>
    <t>Total Transmission Plant</t>
  </si>
  <si>
    <t>Meas. &amp; Reg. Sta. Equip. - CG</t>
  </si>
  <si>
    <t>Meter Installations</t>
  </si>
  <si>
    <t>House Regulators</t>
  </si>
  <si>
    <t>Total Distribution Plant</t>
  </si>
  <si>
    <t>Operation</t>
  </si>
  <si>
    <t>Supervision &amp; Engineering</t>
  </si>
  <si>
    <t>Other Expenses</t>
  </si>
  <si>
    <t>Total Operation</t>
  </si>
  <si>
    <t>Maintenance</t>
  </si>
  <si>
    <t>Total Maintenance</t>
  </si>
  <si>
    <t>Total Transmission Expenses</t>
  </si>
  <si>
    <t>Load Dispatching</t>
  </si>
  <si>
    <t>Compressor Station Expenses</t>
  </si>
  <si>
    <t>Mains &amp; Services</t>
  </si>
  <si>
    <t>Meters &amp; House Regulators</t>
  </si>
  <si>
    <t>Customer Installation Expenses</t>
  </si>
  <si>
    <t>Rents</t>
  </si>
  <si>
    <t>Main. Of Compressor Sta. Eq.</t>
  </si>
  <si>
    <t>Meas. &amp; Reg. Sta. Eq. - Gen.</t>
  </si>
  <si>
    <t>Meas. &amp; Reg. Sta. Eq. - Ind.</t>
  </si>
  <si>
    <t>Meas. &amp; Reg. Sta. Eq. - City Gate</t>
  </si>
  <si>
    <t>Total Distribution</t>
  </si>
  <si>
    <t>Supervision</t>
  </si>
  <si>
    <t>Meter Reading Expenses</t>
  </si>
  <si>
    <t>Customer Records &amp; Collection</t>
  </si>
  <si>
    <t>Uncollectible Accounts</t>
  </si>
  <si>
    <t>Total Customer Accounts Expenses</t>
  </si>
  <si>
    <t>Customer Assistance Expenses</t>
  </si>
  <si>
    <t>Information &amp; Instruction Exp.</t>
  </si>
  <si>
    <t>Total Cust. Service &amp; Inf. Exp.</t>
  </si>
  <si>
    <t>Demonstrating &amp; Selling Exp.</t>
  </si>
  <si>
    <t>Advertising Expenses</t>
  </si>
  <si>
    <t>Total Sales Expenses</t>
  </si>
  <si>
    <t>A &amp; G Salaries</t>
  </si>
  <si>
    <t>Office Supplies &amp; Expenses</t>
  </si>
  <si>
    <t>Transfers</t>
  </si>
  <si>
    <t>Outside Services Employed</t>
  </si>
  <si>
    <t>Property Insurance</t>
  </si>
  <si>
    <t>Injuries &amp; Damages</t>
  </si>
  <si>
    <t>Employee Pensions &amp; Benefits</t>
  </si>
  <si>
    <t>Maintenance of General Plant</t>
  </si>
  <si>
    <t>Total A &amp; G Expenses</t>
  </si>
  <si>
    <t>Plant in Service</t>
  </si>
  <si>
    <t>Accounts 871 - 880</t>
  </si>
  <si>
    <t>Accounts 376 and 380</t>
  </si>
  <si>
    <t>Accounts 886 - 894</t>
  </si>
  <si>
    <t>Table 4 of 4</t>
  </si>
  <si>
    <t>Table 3 of 4</t>
  </si>
  <si>
    <t>Table 2 of 4</t>
  </si>
  <si>
    <t>Table 1 of 4</t>
  </si>
  <si>
    <t>Total - $</t>
  </si>
  <si>
    <t>Customer Charge - $</t>
  </si>
  <si>
    <t>Cost of Gas - $</t>
  </si>
  <si>
    <t>Reference</t>
  </si>
  <si>
    <t>Non-Juris</t>
  </si>
  <si>
    <t>[O]</t>
  </si>
  <si>
    <t>[P]</t>
  </si>
  <si>
    <t>Non-Jurisdictional Customer Classes (View as Aggregate)</t>
  </si>
  <si>
    <t>Other Tangible Property</t>
  </si>
  <si>
    <t>Base Year</t>
  </si>
  <si>
    <t>Meas. &amp; Reg. Sta. Equip. - General</t>
  </si>
  <si>
    <t>Meas. &amp; Reg. Sta. Equip. - Ind.</t>
  </si>
  <si>
    <t>50% Dist. Demand, 50% Dist. Commodity</t>
  </si>
  <si>
    <t>Direct - Distribution Commodity</t>
  </si>
  <si>
    <t>Accounts 369 and 378</t>
  </si>
  <si>
    <t>Account 385</t>
  </si>
  <si>
    <t>Direct - Services</t>
  </si>
  <si>
    <t>Direct - Meters and Regulators</t>
  </si>
  <si>
    <t>Accounts 366 and 375</t>
  </si>
  <si>
    <t>Direct - Customer Accounts</t>
  </si>
  <si>
    <t>1/3 Dist. Commodity, 2/3 Customer Accounts</t>
  </si>
  <si>
    <t>$/month/customer</t>
  </si>
  <si>
    <t>Account 376</t>
  </si>
  <si>
    <t>Cash Working Capital</t>
  </si>
  <si>
    <t>Gas Purchases</t>
  </si>
  <si>
    <t>Other</t>
  </si>
  <si>
    <t>Direct - Supply</t>
  </si>
  <si>
    <t>Annual Gas Purchases</t>
  </si>
  <si>
    <t>Non-Jurisdictional Direct</t>
  </si>
  <si>
    <t>Nebraska</t>
  </si>
  <si>
    <t>Rents from Gas Property</t>
  </si>
  <si>
    <t>Account 367</t>
  </si>
  <si>
    <t>Direct to Residential Class</t>
  </si>
  <si>
    <t>Direct - Residential</t>
  </si>
  <si>
    <t>Annual Throughput - therms</t>
  </si>
  <si>
    <t>Peak Day - therms/Day</t>
  </si>
  <si>
    <t xml:space="preserve"> Jurisdictional Direct</t>
  </si>
  <si>
    <t>Total Jurisdictional Direct</t>
  </si>
  <si>
    <t>Total Non-Jurisdictional Direct</t>
  </si>
  <si>
    <t>A</t>
  </si>
  <si>
    <t>B</t>
  </si>
  <si>
    <t>BLACK HILLS NEBRASKA GAS, LLC</t>
  </si>
  <si>
    <t>Exhibit MCC-1</t>
  </si>
  <si>
    <t>PER BOOKS AND PRO FORMA ADJUSTED REVENUE REQUIREMENT ANALYSIS</t>
  </si>
  <si>
    <t>Statement N</t>
  </si>
  <si>
    <t xml:space="preserve">Line  </t>
  </si>
  <si>
    <t>FERC</t>
  </si>
  <si>
    <t>(a)</t>
  </si>
  <si>
    <t>(b)</t>
  </si>
  <si>
    <t>(c)</t>
  </si>
  <si>
    <t xml:space="preserve">Acct </t>
  </si>
  <si>
    <t>Pro Forma Adjusted</t>
  </si>
  <si>
    <t>Intangibles Organization</t>
  </si>
  <si>
    <t>Sched D-1</t>
  </si>
  <si>
    <t>Intangibles Franchises &amp; Consents</t>
  </si>
  <si>
    <t>Intangibles Miscellaneous</t>
  </si>
  <si>
    <t>Stmt D</t>
  </si>
  <si>
    <t>Land</t>
  </si>
  <si>
    <t>Land Rights (Non-Depreciable)</t>
  </si>
  <si>
    <t xml:space="preserve">Right-of-Way </t>
  </si>
  <si>
    <t xml:space="preserve">Transmission Plant - Mains </t>
  </si>
  <si>
    <t xml:space="preserve">Transmission Plant - Meas. &amp; Reg. Sta. Equip. </t>
  </si>
  <si>
    <t>Distribution Plant - Land</t>
  </si>
  <si>
    <t>Land Rights - Right of Way</t>
  </si>
  <si>
    <t>Distribution Plant - Mains</t>
  </si>
  <si>
    <t>Distribution Plant - Meas. &amp; Reg. Sta. Equip. - General</t>
  </si>
  <si>
    <t>Distribution Plant - Services</t>
  </si>
  <si>
    <t>Distribution Plant - House Regulators</t>
  </si>
  <si>
    <t>House regulator installations</t>
  </si>
  <si>
    <t>Other Property on Customers' Premises</t>
  </si>
  <si>
    <t xml:space="preserve">Structures and Improvements </t>
  </si>
  <si>
    <t>Office Machines</t>
  </si>
  <si>
    <t>Office Furniture</t>
  </si>
  <si>
    <t>Computer Hardware</t>
  </si>
  <si>
    <t>Software</t>
  </si>
  <si>
    <t>System Development</t>
  </si>
  <si>
    <t>Ipad Hardware</t>
  </si>
  <si>
    <t>Cars</t>
  </si>
  <si>
    <t>Light Trucks</t>
  </si>
  <si>
    <t>Medium Trucks</t>
  </si>
  <si>
    <t>Heavy Trucks</t>
  </si>
  <si>
    <t>Trailers</t>
  </si>
  <si>
    <t>Tools, Shop, and Garage Equipment</t>
  </si>
  <si>
    <t>Miscellaneous Equipment</t>
  </si>
  <si>
    <t>Other Utility Plant</t>
  </si>
  <si>
    <t>TOTAL PLANT IN SERVICE</t>
  </si>
  <si>
    <t>Stmt E</t>
  </si>
  <si>
    <t>Gathering and Processing</t>
  </si>
  <si>
    <t>Storage Plant</t>
  </si>
  <si>
    <t xml:space="preserve">  Net Plant</t>
  </si>
  <si>
    <t>Working Capital</t>
  </si>
  <si>
    <t>Schedule F-2</t>
  </si>
  <si>
    <t>Stmt F</t>
  </si>
  <si>
    <t>Total Working Capital</t>
  </si>
  <si>
    <t xml:space="preserve">  Customer Deposits</t>
  </si>
  <si>
    <t>Sched M-1</t>
  </si>
  <si>
    <t xml:space="preserve">  Customer Advances</t>
  </si>
  <si>
    <t xml:space="preserve">  Total Rate Base</t>
  </si>
  <si>
    <t>Operation and Maintenance Expense</t>
  </si>
  <si>
    <t>Production and Gathering</t>
  </si>
  <si>
    <t>Operation Supervision &amp; Engineering</t>
  </si>
  <si>
    <t>Stmt H</t>
  </si>
  <si>
    <t>Total Production Operation Expenses</t>
  </si>
  <si>
    <t xml:space="preserve">Maintenance Supervision &amp; Engineering </t>
  </si>
  <si>
    <t>Maintenance of Structures &amp; Improvements</t>
  </si>
  <si>
    <t>Maintenance of Producing Gas Wells</t>
  </si>
  <si>
    <t>Maintenance of Field Lines</t>
  </si>
  <si>
    <t>Maintenance of Field Compressor Station Equipment</t>
  </si>
  <si>
    <t>Maintenance of Field Measuring &amp; Regulating Station Equipment</t>
  </si>
  <si>
    <t>Maintenance of Purification Equipment</t>
  </si>
  <si>
    <t>Total Production Maintenance Expenses</t>
  </si>
  <si>
    <t>Other Gas Supply Expense</t>
  </si>
  <si>
    <t xml:space="preserve">  Operation </t>
  </si>
  <si>
    <t>Natural Gas City Gate Purchase</t>
  </si>
  <si>
    <t>Other Gas Purchases</t>
  </si>
  <si>
    <t>Purchased Gas Cost Adjustments</t>
  </si>
  <si>
    <t>Exchange Gas</t>
  </si>
  <si>
    <t>Gas Storage-Gas Ops</t>
  </si>
  <si>
    <t>Withdrawals from Storage</t>
  </si>
  <si>
    <t>Gas Delivered to Storage</t>
  </si>
  <si>
    <t>Gas Used for Other Utility Operation</t>
  </si>
  <si>
    <t>Total Other Gas Supply Expense</t>
  </si>
  <si>
    <t>Underground Storage Expense</t>
  </si>
  <si>
    <t>Wells Expense</t>
  </si>
  <si>
    <t>Lines Expense</t>
  </si>
  <si>
    <t>Compressor Station Expense</t>
  </si>
  <si>
    <t>Compressor Station Fuel and Power</t>
  </si>
  <si>
    <t>Purification Expense</t>
  </si>
  <si>
    <t>Total Operation Underground Storage Expense</t>
  </si>
  <si>
    <t>Maintenance Supervision &amp; Engineering</t>
  </si>
  <si>
    <t>Maintenance of Reservoirs &amp; Wells</t>
  </si>
  <si>
    <t>Maintenance of Lines</t>
  </si>
  <si>
    <t>Maintenance of Compressor Station Equipment</t>
  </si>
  <si>
    <t>Maintenance of Measuring &amp; Regulating Station Equipment</t>
  </si>
  <si>
    <t>Total Maintenance Underground Storage Expense</t>
  </si>
  <si>
    <t>Total Underground Storage Expense</t>
  </si>
  <si>
    <t xml:space="preserve">  Operation</t>
  </si>
  <si>
    <t>System Control &amp; Load Dispatching</t>
  </si>
  <si>
    <t>Communication System Expenses</t>
  </si>
  <si>
    <t>Compressor Labor &amp; Expense</t>
  </si>
  <si>
    <t>Mains Expense</t>
  </si>
  <si>
    <t>Measuring &amp; Regulating Station Expenses</t>
  </si>
  <si>
    <t xml:space="preserve">    Total Transmission Operation</t>
  </si>
  <si>
    <t xml:space="preserve">  Maintenance</t>
  </si>
  <si>
    <t>Maintenance of Communication Equipment</t>
  </si>
  <si>
    <t>Maint. of Other Equipment</t>
  </si>
  <si>
    <t xml:space="preserve">    Total Transmission Maintenance</t>
  </si>
  <si>
    <t>Distribution  Expense</t>
  </si>
  <si>
    <t>Dist. Operating and Supervision Engineering</t>
  </si>
  <si>
    <t>Dist. Load Dispatching</t>
  </si>
  <si>
    <t>Compressor Station Labor &amp; Expense</t>
  </si>
  <si>
    <t>Dist. Mains &amp; Services Expenses</t>
  </si>
  <si>
    <t>Dist. Measuring &amp; Regulating Station Expenses - General</t>
  </si>
  <si>
    <t>Dist. Measuring &amp; Regulating Station Expenses - Industrial</t>
  </si>
  <si>
    <t>Measuring &amp; Regulating Station Expense - City Gate Check Station</t>
  </si>
  <si>
    <t>Dist. Customer Installation Expenses</t>
  </si>
  <si>
    <t>Dist. Other Expenses</t>
  </si>
  <si>
    <t>Dist. Rents</t>
  </si>
  <si>
    <t xml:space="preserve">        Total Distribution Operation</t>
  </si>
  <si>
    <t>Dist. Maint Supervision &amp; Engineering</t>
  </si>
  <si>
    <t>Dist. Maint. of Compressor Station Equipment</t>
  </si>
  <si>
    <t>Maintenance of Measuring &amp; Regulating Station Expense -General</t>
  </si>
  <si>
    <t>Dist. Maint. of Measuring &amp; Regulating Station Equip - Industrial</t>
  </si>
  <si>
    <t>Maintenance of Measuring &amp; Regulating Station Expense - City Gate Check Station</t>
  </si>
  <si>
    <t>Dist. Maint. of Services</t>
  </si>
  <si>
    <t>Dist. Maint. of Meters &amp; House Regulators</t>
  </si>
  <si>
    <t>Dist. Maint. of Other Equipment</t>
  </si>
  <si>
    <t xml:space="preserve">        Total Distribution Maintenance</t>
  </si>
  <si>
    <t xml:space="preserve">        Total Distribution Expenses</t>
  </si>
  <si>
    <t>Customer Accounting Expense</t>
  </si>
  <si>
    <t xml:space="preserve">  Total Customer Accounting Expense</t>
  </si>
  <si>
    <t>Customer Service &amp; Information</t>
  </si>
  <si>
    <t xml:space="preserve">  Total Customer Service and Information</t>
  </si>
  <si>
    <t xml:space="preserve">      Total Customer Expense</t>
  </si>
  <si>
    <t>Sales Expense</t>
  </si>
  <si>
    <t xml:space="preserve">  Total Sales Expense</t>
  </si>
  <si>
    <t>Administrative and General Expenses</t>
  </si>
  <si>
    <t xml:space="preserve">      Total Admin &amp; General Operations</t>
  </si>
  <si>
    <t xml:space="preserve">        Total Admin &amp; General  Maintenance</t>
  </si>
  <si>
    <t>Total Administrative &amp; General Expenses</t>
  </si>
  <si>
    <t xml:space="preserve">      Total Operating &amp; Maintenance  Expenses</t>
  </si>
  <si>
    <t>Stmt J</t>
  </si>
  <si>
    <t>Gathering and Processing Plant</t>
  </si>
  <si>
    <t xml:space="preserve">  Total Depreciation  Expense</t>
  </si>
  <si>
    <t>Taxes Other Than Income</t>
  </si>
  <si>
    <t>Ad Valorem Taxes</t>
  </si>
  <si>
    <t>Stmt L</t>
  </si>
  <si>
    <t>Unemployment - Federal</t>
  </si>
  <si>
    <t>Unemployment - State</t>
  </si>
  <si>
    <t xml:space="preserve">  Total Taxes Other Than Income</t>
  </si>
  <si>
    <t>Total Oper. Exp. Before Inc. Tax</t>
  </si>
  <si>
    <t>Other Operating Revenue</t>
  </si>
  <si>
    <t>Sales for Resale</t>
  </si>
  <si>
    <t>Stmt I</t>
  </si>
  <si>
    <t>Miscellaneous Service Revenues</t>
  </si>
  <si>
    <t>Rent From Gas Property</t>
  </si>
  <si>
    <t>Other Gas Revenues</t>
  </si>
  <si>
    <t xml:space="preserve">  Total Other Operating Revenue</t>
  </si>
  <si>
    <t>Revenue Under Existing Rates</t>
  </si>
  <si>
    <t xml:space="preserve">  Total Operating Revenue</t>
  </si>
  <si>
    <t>Oper. Expense Before Income Tax</t>
  </si>
  <si>
    <t xml:space="preserve">  Oper. Income Before Income Tax</t>
  </si>
  <si>
    <t xml:space="preserve"> </t>
  </si>
  <si>
    <t>Federal Income Tax Calculation</t>
  </si>
  <si>
    <t xml:space="preserve">    Total Federal Income Tax</t>
  </si>
  <si>
    <t>Total Operating Expense</t>
  </si>
  <si>
    <t>Return to equity pretax</t>
  </si>
  <si>
    <t>Rate of Return, Existing Rates</t>
  </si>
  <si>
    <t>Revenue from Gas Sales</t>
  </si>
  <si>
    <t>Depreciation and Amortization Expense</t>
  </si>
  <si>
    <t>Taxes Other than Income Tax</t>
  </si>
  <si>
    <t>Federal Income Tax - Existing Rates</t>
  </si>
  <si>
    <t>Rate of Return, Current Rates</t>
  </si>
  <si>
    <t>Overall Revenue Requirement and Revenue Deficiency</t>
  </si>
  <si>
    <t>Stmt G</t>
  </si>
  <si>
    <t>Operation and Maintenance Expenses</t>
  </si>
  <si>
    <t xml:space="preserve">  Total Pre-tax Revenue Requirement</t>
  </si>
  <si>
    <t>Less:  Other Operating Revenue</t>
  </si>
  <si>
    <t xml:space="preserve">  Net Pre-tax Revenue Requirement</t>
  </si>
  <si>
    <t>Revenue Deficiency</t>
  </si>
  <si>
    <t xml:space="preserve">  Amount before tax adjustment</t>
  </si>
  <si>
    <t xml:space="preserve"> Property Taxes</t>
  </si>
  <si>
    <t>Account 856</t>
  </si>
  <si>
    <t>Account 863</t>
  </si>
  <si>
    <t>Other Gas Revenue</t>
  </si>
  <si>
    <t>Customer Accounting</t>
  </si>
  <si>
    <t>Agricultural</t>
  </si>
  <si>
    <t>Sales</t>
  </si>
  <si>
    <t>Negotiated</t>
  </si>
  <si>
    <t>Winter Period Peak Demand - Transmission</t>
  </si>
  <si>
    <t>Winter Period Peak Demand - Distribution</t>
  </si>
  <si>
    <t>Commodity - Transmission</t>
  </si>
  <si>
    <t>Commodity - Distribution</t>
  </si>
  <si>
    <t>Customer Charge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</si>
  <si>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</si>
  <si>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</si>
  <si>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</si>
  <si>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</si>
  <si>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</si>
  <si>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</si>
  <si>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</si>
  <si>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</si>
  <si>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</si>
  <si>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</si>
  <si>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Line No.</t>
  </si>
  <si>
    <t>Total Sales</t>
  </si>
  <si>
    <t>Maximum Rate</t>
  </si>
  <si>
    <t>Interruptible Sales</t>
  </si>
  <si>
    <t>Negotiated Distribution</t>
  </si>
  <si>
    <t>Negotiated Transmission</t>
  </si>
  <si>
    <t>Negotiated Direct</t>
  </si>
  <si>
    <t>1. Number of Bills</t>
  </si>
  <si>
    <t>Customer Growth</t>
  </si>
  <si>
    <t xml:space="preserve">Total Test Year </t>
  </si>
  <si>
    <t>Average Number of Monthly Bills</t>
  </si>
  <si>
    <t>2. Volumes - therms</t>
  </si>
  <si>
    <t>Weather Normalization</t>
  </si>
  <si>
    <t>Agricultural Normalization</t>
  </si>
  <si>
    <t>Total Base Year Volumes</t>
  </si>
  <si>
    <t>Average Therms per Bill (all customers)</t>
  </si>
  <si>
    <t>Weather Normalized Annual UPC</t>
  </si>
  <si>
    <t>Winter Volumes</t>
  </si>
  <si>
    <t>November thru March</t>
  </si>
  <si>
    <t xml:space="preserve">   Total</t>
  </si>
  <si>
    <t>Number of Monthly Bills (Winter)</t>
  </si>
  <si>
    <t>Summer Volumes</t>
  </si>
  <si>
    <t xml:space="preserve">April thru October </t>
  </si>
  <si>
    <t>3. Base Year Revenues Under Current Rates</t>
  </si>
  <si>
    <t>Total Base Year Cost of Gas - $</t>
  </si>
  <si>
    <t>Volumetric Charge - $</t>
  </si>
  <si>
    <t>Distribution - Excess</t>
  </si>
  <si>
    <t>Transport Delivery</t>
  </si>
  <si>
    <t>Transport Delivery - Excess</t>
  </si>
  <si>
    <t>Total Base Year Volumetric Charge - $</t>
  </si>
  <si>
    <t>Average Distribution Volumetric</t>
  </si>
  <si>
    <t>Pipeline Replacement</t>
  </si>
  <si>
    <t>Safety and Integrity (SSIR)</t>
  </si>
  <si>
    <t>Fuel Line Replacement</t>
  </si>
  <si>
    <t>Transport Administration</t>
  </si>
  <si>
    <t>Transport SCADA Maintenance</t>
  </si>
  <si>
    <t>Modem Charge</t>
  </si>
  <si>
    <t>Minimum Bill</t>
  </si>
  <si>
    <t>Total Base Year Margin Revenue- $</t>
  </si>
  <si>
    <t>Contract Demand</t>
  </si>
  <si>
    <t>Weather Normalization with Gas Cost</t>
  </si>
  <si>
    <t>Total Test Year Revenue - $</t>
  </si>
  <si>
    <t>Total Corporate Shared Assets</t>
  </si>
  <si>
    <t>Capacity</t>
  </si>
  <si>
    <t>FUNCTIONAL ALLOCATORS</t>
  </si>
  <si>
    <t>WEIGHTING FACTORS STUDY RESULTS</t>
  </si>
  <si>
    <t>FUNCTIONAL CLASSIFICATION OF RATE BASE AND COST OF SERVICE</t>
  </si>
  <si>
    <t>RATE OF RETURN UNDER CURRENT AND PROPOSED RATES</t>
  </si>
  <si>
    <t>ALLOCATION OF COST OF SERVICE</t>
  </si>
  <si>
    <t>ALLOCATION OF RATE BASE</t>
  </si>
  <si>
    <t>CLASS ALLOCATION BASIS</t>
  </si>
  <si>
    <t>UNIT COST OF SERVICE</t>
  </si>
  <si>
    <t>Load Factor Study</t>
  </si>
  <si>
    <t>Customer Specific Distribution - $</t>
  </si>
  <si>
    <t xml:space="preserve">   Services</t>
  </si>
  <si>
    <t xml:space="preserve">         $/Month</t>
  </si>
  <si>
    <t xml:space="preserve">   Meters and Regulators</t>
  </si>
  <si>
    <t xml:space="preserve">   Customer Accounting</t>
  </si>
  <si>
    <t>Jurisdictional Direct</t>
  </si>
  <si>
    <t>FULLY COST BASED AND PROPOSED RATES</t>
  </si>
  <si>
    <t>Jurisdiction Direct</t>
  </si>
  <si>
    <t>Tier 1</t>
  </si>
  <si>
    <t>Tier 2</t>
  </si>
  <si>
    <t>Distribution Charge Tier 1</t>
  </si>
  <si>
    <t>Distribution Charge Tier 2</t>
  </si>
  <si>
    <t>2. Current Rates</t>
  </si>
  <si>
    <t>Small Commercial</t>
  </si>
  <si>
    <t>Large Commercial</t>
  </si>
  <si>
    <t>Safety &amp; Integrity (SSIR)</t>
  </si>
  <si>
    <t>5. Current Base Rate Structure</t>
  </si>
  <si>
    <t>% Fixed</t>
  </si>
  <si>
    <t>% Variable</t>
  </si>
  <si>
    <t>6. Cost of Service Rates</t>
  </si>
  <si>
    <t>7. Revenues Under Cost of Service Rates</t>
  </si>
  <si>
    <t>8. Cost of Service Base Rate Structure</t>
  </si>
  <si>
    <t>9. Difference (Cost of Service - Current)</t>
  </si>
  <si>
    <t>2. Total Volumes - Therms</t>
  </si>
  <si>
    <t>$/Therm</t>
  </si>
  <si>
    <t>REVENUE UNDER COST-BASE RATE DESIGN</t>
  </si>
  <si>
    <t>Monthly Charge - $</t>
  </si>
  <si>
    <t>Cost of Gas - $/Therm</t>
  </si>
  <si>
    <t>Volumetric Charge - $/Therm</t>
  </si>
  <si>
    <t>Customer  Charge - $/Month</t>
  </si>
  <si>
    <t>Cost of Gas - Weighted Average $/Therm</t>
  </si>
  <si>
    <t>Heat Program -$/Month</t>
  </si>
  <si>
    <t>NPSC Charge -$/Month</t>
  </si>
  <si>
    <t>Pipeline Integrity (PRC) -$/Month</t>
  </si>
  <si>
    <t>Fuel Line Replacement Charge -$/Month</t>
  </si>
  <si>
    <t>Pipeline Replacement Charge -$/Month</t>
  </si>
  <si>
    <t>Annual Use per Customer - Therms</t>
  </si>
  <si>
    <t>$/Month</t>
  </si>
  <si>
    <t>40 Therms</t>
  </si>
  <si>
    <t>&gt; 40 Therms</t>
  </si>
  <si>
    <t>20 Therms</t>
  </si>
  <si>
    <t>&gt;20 Therms</t>
  </si>
  <si>
    <t>Monthly Charge -$/Month</t>
  </si>
  <si>
    <t>80 Therms</t>
  </si>
  <si>
    <t>&gt;40 Therms</t>
  </si>
  <si>
    <t>&gt;80 Therms</t>
  </si>
  <si>
    <t>FOR THE PRO FORMA PERIOD ENDED DECEMBER 31, 2020</t>
  </si>
  <si>
    <t>RATE BASE AND COST OF SERVICE BY CUSTOMER CLASS</t>
  </si>
  <si>
    <t>Therm Threshold</t>
  </si>
  <si>
    <t>Tier 1 Therms</t>
  </si>
  <si>
    <t>Tier 2 Therms</t>
  </si>
  <si>
    <t>Total Base Year Revenue- $</t>
  </si>
  <si>
    <t>Total Base Year WNA</t>
  </si>
  <si>
    <t>Total Agricultural Normalization</t>
  </si>
  <si>
    <t>Net Total Base Year Margin Revenue</t>
  </si>
  <si>
    <t>Negotiated Supply</t>
  </si>
  <si>
    <t>Land Rights - Right of Way (Depreciable)</t>
  </si>
  <si>
    <t>Structures and Improvements - Other</t>
  </si>
  <si>
    <t>Measuring &amp; Regulating Station Equip.- City Gate Check Stn.</t>
  </si>
  <si>
    <t>Duplicate Charges - Credit</t>
  </si>
  <si>
    <t>Intangibles Miscellaneous - Easements</t>
  </si>
  <si>
    <t>Industrial Measuring &amp; Regulating Station Equipment</t>
  </si>
  <si>
    <t>Leasehold Improvements</t>
  </si>
  <si>
    <t xml:space="preserve">Power Operated Equipment </t>
  </si>
  <si>
    <t xml:space="preserve">  Transmission</t>
  </si>
  <si>
    <t xml:space="preserve">  Distribution</t>
  </si>
  <si>
    <t xml:space="preserve">  General</t>
  </si>
  <si>
    <t xml:space="preserve">  Total Accumulated Depreciation</t>
  </si>
  <si>
    <t xml:space="preserve">  Purchased Gas Working Capital</t>
  </si>
  <si>
    <t xml:space="preserve">  Property  Tax Working Capital</t>
  </si>
  <si>
    <t xml:space="preserve">  Other Working Capital Allowance</t>
  </si>
  <si>
    <t xml:space="preserve">  Materials and Supplies</t>
  </si>
  <si>
    <t xml:space="preserve">  Prepayments</t>
  </si>
  <si>
    <t>Gas Wells Expense</t>
  </si>
  <si>
    <t>Field Line Expense</t>
  </si>
  <si>
    <t>Field Compressor Station Expense</t>
  </si>
  <si>
    <t>Field Compressor Station Fuel and Power</t>
  </si>
  <si>
    <t>Field Measuring &amp; Regulating Station Expense</t>
  </si>
  <si>
    <t>Gas Well Royalties</t>
  </si>
  <si>
    <t xml:space="preserve">Storage - Measuring &amp; Regulating Station Expense </t>
  </si>
  <si>
    <t>Maintenance of Mains</t>
  </si>
  <si>
    <t>Oper./Inspect Meters &amp; Collect Data - Gas</t>
  </si>
  <si>
    <t>Perf. Underground Distribution Line Maintenance - Gas</t>
  </si>
  <si>
    <t>Customer Accounts Supervision</t>
  </si>
  <si>
    <t>Meter Reading</t>
  </si>
  <si>
    <t>Customer Records and Collection Expense</t>
  </si>
  <si>
    <t>Misc Customer Accounts Expenses</t>
  </si>
  <si>
    <t>Informational/Instruc Advertising Exp.</t>
  </si>
  <si>
    <t>Misc Cust Serv &amp; Inform Exp.</t>
  </si>
  <si>
    <t>Demonstrating and Selling Expenses</t>
  </si>
  <si>
    <t>Misc Sales Expenses</t>
  </si>
  <si>
    <t>Administrative &amp; General Salaries</t>
  </si>
  <si>
    <t>Office Supplies &amp; Expense</t>
  </si>
  <si>
    <t>Administrative Expenses Transferred-Cr</t>
  </si>
  <si>
    <t>Injuries and Damages</t>
  </si>
  <si>
    <t>General Advertising Expenses</t>
  </si>
  <si>
    <t>Miscellaneous General Expenses</t>
  </si>
  <si>
    <t>Property Taxes</t>
  </si>
  <si>
    <t>Stmt K</t>
  </si>
  <si>
    <t xml:space="preserve">Tax Multiplier (1/(1-.2717)  </t>
  </si>
  <si>
    <t xml:space="preserve">Mains </t>
  </si>
  <si>
    <t xml:space="preserve">Meas. &amp; Reg. Sta. Equip. </t>
  </si>
  <si>
    <t>Compressor Station Equipment</t>
  </si>
  <si>
    <t>Measuring &amp; Regulating Station Equipment</t>
  </si>
  <si>
    <t>Transmission Commodity</t>
  </si>
  <si>
    <t>Account 370</t>
  </si>
  <si>
    <t>Account 368</t>
  </si>
  <si>
    <t>Account 369</t>
  </si>
  <si>
    <t>Account 366</t>
  </si>
  <si>
    <t>Account 862</t>
  </si>
  <si>
    <t>Accounts 882 thru 865 and Account 867</t>
  </si>
  <si>
    <t>Accounts 367 thru 369</t>
  </si>
  <si>
    <t>Other Utility Plant Customer Allocation</t>
  </si>
  <si>
    <t>Other Utility Plant Blended Allocation</t>
  </si>
  <si>
    <t>Other Utility Plant (Corporate Shared Assets - Allocated on Customer Count)</t>
  </si>
  <si>
    <t>Other Utility Plant (Corporate Shared Assets - Allocated on Blended Ratio)</t>
  </si>
  <si>
    <t xml:space="preserve">  Total Revenue Under Existing Rates</t>
  </si>
  <si>
    <t xml:space="preserve">Revenue Deficiency </t>
  </si>
  <si>
    <t>Proposed Increase (Decrease)</t>
  </si>
  <si>
    <t>Return Under Proposed Rates</t>
  </si>
  <si>
    <t>Rate of Return Under Proposed Rates</t>
  </si>
  <si>
    <t>Customer Related - $</t>
  </si>
  <si>
    <t>Customer - Distribution</t>
  </si>
  <si>
    <t>Distribution - Customer Cost Allocator</t>
  </si>
  <si>
    <t xml:space="preserve">Services </t>
  </si>
  <si>
    <t xml:space="preserve"> Negotiated - Direct</t>
  </si>
  <si>
    <t xml:space="preserve"> Negotiated - Supply</t>
  </si>
  <si>
    <t>Volumetric Charge - $/</t>
  </si>
  <si>
    <t>Commodity Related - $</t>
  </si>
  <si>
    <t xml:space="preserve">     $/Therm</t>
  </si>
  <si>
    <t>Other Utility Plant - Customer</t>
  </si>
  <si>
    <t>Other Utility Plant - Blended Ratio</t>
  </si>
  <si>
    <t>Other Utility Plant (Allocated on Customer Count)</t>
  </si>
  <si>
    <t>Other Utility Plant (Allocated on Blended Ratio)</t>
  </si>
  <si>
    <t>383</t>
  </si>
  <si>
    <t>Sales of Gas</t>
  </si>
  <si>
    <t>% of Therms</t>
  </si>
  <si>
    <t>Therms</t>
  </si>
  <si>
    <t>Weather</t>
  </si>
  <si>
    <t>Normalization</t>
  </si>
  <si>
    <t>Adjustment</t>
  </si>
  <si>
    <t>Growth</t>
  </si>
  <si>
    <t>Adjusted</t>
  </si>
  <si>
    <t>Total Therms</t>
  </si>
  <si>
    <t>10. Proposed Rates</t>
  </si>
  <si>
    <t>11. Revenues Under Proposed Rates</t>
  </si>
  <si>
    <t>12. Base Rate Structure</t>
  </si>
  <si>
    <t>13. Difference (Proposed - Current)</t>
  </si>
  <si>
    <t>Volumes for Tiers</t>
  </si>
  <si>
    <t>4. Cost-Based Rates</t>
  </si>
  <si>
    <t>8. Proposed Rates</t>
  </si>
  <si>
    <t>2. Cost of Service</t>
  </si>
  <si>
    <t>3. Proposed Rates</t>
  </si>
  <si>
    <t>DO NOT DELETE</t>
  </si>
  <si>
    <t xml:space="preserve">  Accumulated Deferred Income Taxes</t>
  </si>
  <si>
    <t xml:space="preserve">  Excess/Deficient Deferred Income Taxes (Jurisdictional Only)</t>
  </si>
  <si>
    <t>TOTPLT</t>
  </si>
  <si>
    <t>TOTRB</t>
  </si>
  <si>
    <t>BADDBT</t>
  </si>
  <si>
    <t>TOTAG</t>
  </si>
  <si>
    <t>TOTOM</t>
  </si>
  <si>
    <t>TOTOM-AG</t>
  </si>
  <si>
    <t>Jurisdictional %</t>
  </si>
  <si>
    <t xml:space="preserve">Jurisdictional Base Year </t>
  </si>
  <si>
    <t>Total Company</t>
  </si>
  <si>
    <t>Pipeline Replacement Adjustment</t>
  </si>
  <si>
    <t>Fuel Line Replacement Adjustment</t>
  </si>
  <si>
    <t>Sum of Lines 2, 3, 7, 12, 13, 14, 15 and 19</t>
  </si>
  <si>
    <t>(d)</t>
  </si>
  <si>
    <t>(e) = (a) * (d)</t>
  </si>
  <si>
    <t>(f) = (c) * (d)</t>
  </si>
  <si>
    <t>Jurisdictional $</t>
  </si>
  <si>
    <t xml:space="preserve">  Tax Adjusted Amount Needed (line 346 x line 349)</t>
  </si>
  <si>
    <t>NE Gas Utility Imputed Cost of Gas</t>
  </si>
  <si>
    <t>NE Gas Distribution Imputed Cost of Gas</t>
  </si>
  <si>
    <t>NE Gas Utility</t>
  </si>
  <si>
    <t>_/1 Includes imputed cost of gas for Energy Options and Nebraska Gas Distribution customers.</t>
  </si>
  <si>
    <t>_/2 Includes weather normalization adjustment for Commercial Energy Options customers.</t>
  </si>
  <si>
    <t>3. Gas Cost Revenues _/1</t>
  </si>
  <si>
    <t>Weather Normalization _/2</t>
  </si>
  <si>
    <t>4. Volumetric Charge - $</t>
  </si>
  <si>
    <t>5. Monthly Charge - $</t>
  </si>
  <si>
    <t>6. Margin Revenue - $</t>
  </si>
  <si>
    <t>7. Total Revenue - $</t>
  </si>
  <si>
    <t>4. Alternate Rates</t>
  </si>
  <si>
    <t xml:space="preserve">   Volumetric Charge</t>
  </si>
  <si>
    <t xml:space="preserve">   Distribution - Customer</t>
  </si>
  <si>
    <t>1. Customer Related Costs - $/bill</t>
  </si>
  <si>
    <t>Section 4, Exhibit A</t>
  </si>
  <si>
    <t>Section 4, Exhibit B</t>
  </si>
  <si>
    <t>Exhibit TJS-7</t>
  </si>
  <si>
    <t>Section 1, Schedule B2</t>
  </si>
  <si>
    <t>Demand Related - $</t>
  </si>
  <si>
    <t>PAGE 1 OF 4</t>
  </si>
  <si>
    <t>PAGE 2 OF 4</t>
  </si>
  <si>
    <t>PAGE 3 OF 4</t>
  </si>
  <si>
    <t>PAGE 4 OF 4</t>
  </si>
  <si>
    <t>All Therms</t>
  </si>
  <si>
    <t>15. Revenues Under Proposed Rates</t>
  </si>
  <si>
    <t>16. Base Rate Structure</t>
  </si>
  <si>
    <t>14. Alternate Rates</t>
  </si>
  <si>
    <t>17. Difference (Alternate - Current)</t>
  </si>
  <si>
    <t>Typical Winter Bill</t>
  </si>
  <si>
    <t>Typical Summer Bill</t>
  </si>
  <si>
    <t>12. Alternate Rates</t>
  </si>
  <si>
    <t>3. Typical Monthly Bill - Current Rates $</t>
  </si>
  <si>
    <t>5. Typical Monthly Bill - Cost-Based Rates - $</t>
  </si>
  <si>
    <t>7.  Change from Current Rates - %</t>
  </si>
  <si>
    <t>11.  Change from Current Rates - %</t>
  </si>
  <si>
    <t>9. Typical Monthly Bill - Proposed Rates - $</t>
  </si>
  <si>
    <t>13. Typical Monthly Bill - Alternate Rates - $</t>
  </si>
  <si>
    <t>15.  Change from Current Rates - %</t>
  </si>
  <si>
    <t>1. Typical Monthly Usage</t>
  </si>
  <si>
    <t>M</t>
  </si>
  <si>
    <t>(Large Commercial)</t>
  </si>
  <si>
    <t>iPad Hardware</t>
  </si>
  <si>
    <t>BH Gas Utility</t>
  </si>
  <si>
    <t>BH Gas Distribution</t>
  </si>
  <si>
    <t>2020 System Safety and Integrity (SSIR) Adjustment</t>
  </si>
  <si>
    <t>FUNCTIONAL CLASSIFICATION OF RATE BASE</t>
  </si>
  <si>
    <t>FUNCTIONAL CLASSIFICATION OF OPERATION AND MAINTENANCE EXPENSES</t>
  </si>
  <si>
    <t>FUNCTIONAL CLASSIFICATION OF OTHER COST OF SERVICE COMPONENTS</t>
  </si>
  <si>
    <t>Exhbiit TJS-2, Schedule 2-4</t>
  </si>
  <si>
    <t>Exhbiit TJS-2, Schedule 2-5</t>
  </si>
  <si>
    <t>Exhibit TJS-2</t>
  </si>
  <si>
    <t>Section 3, Exhibit C</t>
  </si>
  <si>
    <t>Black Hills Nebraska Gas, LLC</t>
  </si>
  <si>
    <t>Test Year Billing Determinants</t>
  </si>
  <si>
    <t>For the Test Year Ended December 31, 2020</t>
  </si>
  <si>
    <t>Weather Normalized</t>
  </si>
  <si>
    <t>BILL IMPACTS - PROPOSED RATES</t>
  </si>
  <si>
    <t>BILL IMPACTS - COST-BASED RATES</t>
  </si>
  <si>
    <t>BILL IMPACTS - ALTERNATE RATES</t>
  </si>
  <si>
    <t>EXHIBIT DNH-7</t>
  </si>
  <si>
    <t xml:space="preserve">  Federal and State Income Tax</t>
  </si>
  <si>
    <t>6.  Difference from Current Rates - $</t>
  </si>
  <si>
    <t>14.  Difference from Current Rates - $</t>
  </si>
  <si>
    <t>10.  Difference from Current Rates - $</t>
  </si>
  <si>
    <t>Toggle</t>
  </si>
  <si>
    <t>Company</t>
  </si>
  <si>
    <t>Public Advocate</t>
  </si>
  <si>
    <t>Version</t>
  </si>
  <si>
    <t>Click in AE3 for the drop down list toggle.</t>
  </si>
  <si>
    <t>Rebuttal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</si>
</sst>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_(* #,##0_);_(* \(#,##0\);_(* &quot;-&quot;??_);_(@_)"/>
    <numFmt numFmtId="167" formatCode="0.00_)"/>
    <numFmt numFmtId="168" formatCode="_(* #,##0.0000_);_(* \(#,##0.0000\);_(* &quot;-&quot;??_);_(@_)"/>
    <numFmt numFmtId="169" formatCode="0.00000%"/>
    <numFmt numFmtId="170" formatCode="_(* #,##0.00000_);_(* \(#,##0.00000\);_(* &quot;-&quot;??_);_(@_)"/>
    <numFmt numFmtId="171" formatCode="_(&quot;$&quot;* #,##0_);_(&quot;$&quot;* \(#,##0\);_(&quot;$&quot;* &quot;-&quot;??_);_(@_)"/>
    <numFmt numFmtId="172" formatCode="_(&quot;$&quot;* #,##0.0_);_(&quot;$&quot;* \(#,##0.0\);_(&quot;$&quot;* &quot;-&quot;??_);_(@_)"/>
    <numFmt numFmtId="173" formatCode="&quot;$&quot;#,##0.00000"/>
    <numFmt numFmtId="174" formatCode="0.0000_);\(0.0000\)"/>
    <numFmt numFmtId="175" formatCode="0.00_);\(0.00\)"/>
    <numFmt numFmtId="176" formatCode="&quot;$&quot;#,##0.00"/>
    <numFmt numFmtId="177" formatCode="&quot;$&quot;#,##0.0000"/>
    <numFmt numFmtId="178" formatCode="&quot;$&quot;#,##0.00000_);\(&quot;$&quot;#,##0.00000\)"/>
    <numFmt numFmtId="179" formatCode="#,##0.00000_);\(#,##0.00000\)"/>
    <numFmt numFmtId="180" formatCode="&quot;$&quot;#,##0"/>
    <numFmt numFmtId="181" formatCode="0.00000"/>
    <numFmt numFmtId="182" formatCode="#,##0.00000"/>
    <numFmt numFmtId="183" formatCode="0.0000"/>
    <numFmt numFmtId="184" formatCode="#,##0.0"/>
    <numFmt numFmtId="185" formatCode="#,##0.0000_);\(#,##0.0000\)"/>
  </numFmts>
  <fonts count="5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 Unicode MS"/>
      <family val="2"/>
    </font>
    <font>
      <sz val="11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 Unicode MS"/>
      <family val="2"/>
    </font>
    <font>
      <sz val="12"/>
      <name val="Arial"/>
      <family val="2"/>
    </font>
    <font>
      <b/>
      <sz val="10"/>
      <name val="MS Sans Serif"/>
      <family val="2"/>
    </font>
    <font>
      <u val="singleAccounting"/>
      <sz val="10"/>
      <name val="MGaramond"/>
      <family val="1"/>
    </font>
    <font>
      <sz val="10"/>
      <name val="Helv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name val="Rockwell"/>
      <family val="1"/>
    </font>
    <font>
      <b/>
      <sz val="12"/>
      <name val="Rockwell"/>
      <family val="1"/>
    </font>
    <font>
      <sz val="10"/>
      <name val="Rockwell"/>
      <family val="1"/>
    </font>
    <font>
      <b/>
      <sz val="10"/>
      <name val="Rockwell"/>
      <family val="1"/>
    </font>
    <font>
      <u/>
      <sz val="10"/>
      <name val="Rockwell"/>
      <family val="1"/>
    </font>
    <font>
      <b/>
      <sz val="10"/>
      <color theme="4"/>
      <name val="Rockwell"/>
      <family val="1"/>
    </font>
    <font>
      <sz val="11"/>
      <name val="Rockwell"/>
      <family val="1"/>
    </font>
    <font>
      <b/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u/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  <font>
      <u val="singleAccounting"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Rockwell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4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1">
    <xf numFmtId="0" fontId="0" fillId="0" borderId="0"/>
    <xf numFmtId="0" fontId="2" fillId="0" borderId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43" fontId="25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28" fillId="0" borderId="0" applyNumberFormat="0" applyFill="0" applyBorder="0" applyAlignment="0" applyProtection="0"/>
    <xf numFmtId="10" fontId="4" fillId="3" borderId="1" applyNumberFormat="0" applyBorder="0" applyAlignment="0" applyProtection="0"/>
    <xf numFmtId="0" fontId="4" fillId="2" borderId="0"/>
    <xf numFmtId="37" fontId="9" fillId="0" borderId="0"/>
    <xf numFmtId="167" fontId="10" fillId="0" borderId="0"/>
    <xf numFmtId="0" fontId="16" fillId="0" borderId="0"/>
    <xf numFmtId="0" fontId="2" fillId="0" borderId="0"/>
    <xf numFmtId="0" fontId="17" fillId="0" borderId="0"/>
    <xf numFmtId="0" fontId="7" fillId="0" borderId="0"/>
    <xf numFmtId="0" fontId="27" fillId="0" borderId="0"/>
    <xf numFmtId="0" fontId="2" fillId="0" borderId="0"/>
    <xf numFmtId="0" fontId="5" fillId="0" borderId="0"/>
    <xf numFmtId="0" fontId="2" fillId="0" borderId="0"/>
    <xf numFmtId="0" fontId="11" fillId="0" borderId="0"/>
    <xf numFmtId="0" fontId="7" fillId="0" borderId="0"/>
    <xf numFmtId="37" fontId="3" fillId="0" borderId="0"/>
    <xf numFmtId="0" fontId="8" fillId="0" borderId="0"/>
    <xf numFmtId="0" fontId="12" fillId="0" borderId="0"/>
    <xf numFmtId="9" fontId="25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3" fillId="0" borderId="2">
      <alignment horizontal="center"/>
    </xf>
    <xf numFmtId="3" fontId="8" fillId="0" borderId="0" applyFont="0" applyFill="0" applyBorder="0" applyAlignment="0" applyProtection="0"/>
    <xf numFmtId="0" fontId="8" fillId="4" borderId="0" applyNumberFormat="0" applyFont="0" applyBorder="0" applyAlignment="0" applyProtection="0"/>
    <xf numFmtId="38" fontId="2" fillId="5" borderId="0" applyNumberFormat="0" applyFont="0" applyBorder="0" applyAlignment="0" applyProtection="0"/>
    <xf numFmtId="0" fontId="14" fillId="0" borderId="0" applyNumberFormat="0" applyAlignment="0">
      <alignment horizontal="centerContinuous"/>
    </xf>
    <xf numFmtId="0" fontId="15" fillId="0" borderId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5" fillId="0" borderId="0"/>
    <xf numFmtId="37" fontId="12" fillId="0" borderId="0"/>
    <xf numFmtId="0" fontId="4" fillId="9" borderId="0"/>
  </cellStyleXfs>
  <cellXfs count="696">
    <xf numFmtId="0" fontId="0" fillId="0" borderId="0" xfId="0"/>
    <xf numFmtId="43" fontId="18" fillId="0" borderId="3" xfId="3" applyNumberFormat="1" applyFont="1" applyFill="1" applyBorder="1" applyAlignment="1">
      <alignment horizontal="center" wrapText="1"/>
    </xf>
    <xf numFmtId="43" fontId="18" fillId="0" borderId="0" xfId="3" applyNumberFormat="1" applyFont="1" applyFill="1" applyAlignment="1">
      <alignment horizontal="center" wrapText="1"/>
    </xf>
    <xf numFmtId="43" fontId="22" fillId="0" borderId="0" xfId="3" applyNumberFormat="1" applyFont="1" applyFill="1"/>
    <xf numFmtId="166" fontId="20" fillId="0" borderId="0" xfId="4" applyNumberFormat="1" applyFont="1"/>
    <xf numFmtId="166" fontId="20" fillId="0" borderId="3" xfId="4" applyNumberFormat="1" applyFont="1" applyBorder="1"/>
    <xf numFmtId="166" fontId="22" fillId="0" borderId="0" xfId="3" applyNumberFormat="1" applyFont="1" applyFill="1"/>
    <xf numFmtId="166" fontId="20" fillId="0" borderId="0" xfId="3" applyNumberFormat="1" applyFont="1" applyFill="1"/>
    <xf numFmtId="166" fontId="21" fillId="0" borderId="0" xfId="3" applyNumberFormat="1" applyFont="1" applyFill="1"/>
    <xf numFmtId="166" fontId="18" fillId="0" borderId="0" xfId="3" applyNumberFormat="1" applyFont="1" applyFill="1" applyAlignment="1">
      <alignment horizontal="center"/>
    </xf>
    <xf numFmtId="166" fontId="20" fillId="0" borderId="0" xfId="3" applyNumberFormat="1" applyFont="1" applyFill="1" applyAlignment="1">
      <alignment horizontal="center"/>
    </xf>
    <xf numFmtId="171" fontId="18" fillId="0" borderId="0" xfId="3" applyNumberFormat="1" applyFont="1" applyFill="1"/>
    <xf numFmtId="166" fontId="20" fillId="0" borderId="0" xfId="3" quotePrefix="1" applyNumberFormat="1" applyFont="1" applyFill="1" applyAlignment="1">
      <alignment horizontal="center"/>
    </xf>
    <xf numFmtId="44" fontId="21" fillId="0" borderId="0" xfId="2" applyNumberFormat="1" applyFont="1" applyFill="1"/>
    <xf numFmtId="44" fontId="18" fillId="0" borderId="0" xfId="2" applyNumberFormat="1" applyFont="1" applyFill="1" applyAlignment="1">
      <alignment horizontal="center"/>
    </xf>
    <xf numFmtId="171" fontId="18" fillId="0" borderId="0" xfId="2" applyNumberFormat="1" applyFont="1" applyFill="1"/>
    <xf numFmtId="0" fontId="20" fillId="0" borderId="0" xfId="3" applyFont="1" applyFill="1" applyAlignment="1">
      <alignment horizontal="center"/>
    </xf>
    <xf numFmtId="0" fontId="20" fillId="0" borderId="0" xfId="3" applyFont="1" applyFill="1" applyAlignment="1">
      <alignment horizontal="left"/>
    </xf>
    <xf numFmtId="166" fontId="20" fillId="0" borderId="0" xfId="3" quotePrefix="1" applyNumberFormat="1" applyFont="1" applyFill="1"/>
    <xf numFmtId="171" fontId="20" fillId="0" borderId="0" xfId="3" quotePrefix="1" applyNumberFormat="1" applyFont="1" applyFill="1"/>
    <xf numFmtId="166" fontId="20" fillId="0" borderId="3" xfId="3" quotePrefix="1" applyNumberFormat="1" applyFont="1" applyFill="1" applyBorder="1"/>
    <xf numFmtId="171" fontId="18" fillId="0" borderId="0" xfId="2" quotePrefix="1" applyNumberFormat="1" applyFont="1" applyFill="1"/>
    <xf numFmtId="171" fontId="22" fillId="0" borderId="0" xfId="2" applyNumberFormat="1" applyFont="1" applyFill="1"/>
    <xf numFmtId="166" fontId="22" fillId="0" borderId="0" xfId="2" applyNumberFormat="1" applyFont="1" applyFill="1"/>
    <xf numFmtId="171" fontId="20" fillId="0" borderId="0" xfId="3" applyNumberFormat="1" applyFont="1" applyFill="1"/>
    <xf numFmtId="171" fontId="21" fillId="0" borderId="0" xfId="2" applyNumberFormat="1" applyFont="1" applyFill="1"/>
    <xf numFmtId="171" fontId="18" fillId="0" borderId="0" xfId="2" applyNumberFormat="1" applyFont="1" applyFill="1" applyAlignment="1">
      <alignment horizontal="center"/>
    </xf>
    <xf numFmtId="171" fontId="20" fillId="0" borderId="0" xfId="2" applyNumberFormat="1" applyFont="1" applyFill="1" applyAlignment="1">
      <alignment horizontal="center"/>
    </xf>
    <xf numFmtId="171" fontId="20" fillId="0" borderId="3" xfId="2" applyNumberFormat="1" applyFont="1" applyFill="1" applyBorder="1"/>
    <xf numFmtId="171" fontId="20" fillId="0" borderId="0" xfId="2" applyNumberFormat="1" applyFont="1" applyFill="1"/>
    <xf numFmtId="166" fontId="24" fillId="0" borderId="0" xfId="3" applyNumberFormat="1" applyFont="1" applyFill="1"/>
    <xf numFmtId="166" fontId="20" fillId="0" borderId="3" xfId="3" applyNumberFormat="1" applyFont="1" applyFill="1" applyBorder="1"/>
    <xf numFmtId="171" fontId="18" fillId="0" borderId="3" xfId="2" applyNumberFormat="1" applyFont="1" applyFill="1" applyBorder="1"/>
    <xf numFmtId="10" fontId="20" fillId="0" borderId="0" xfId="39" applyNumberFormat="1" applyFont="1"/>
    <xf numFmtId="0" fontId="31" fillId="0" borderId="0" xfId="0" applyFont="1"/>
    <xf numFmtId="0" fontId="33" fillId="0" borderId="19" xfId="54" applyFont="1" applyFill="1" applyBorder="1"/>
    <xf numFmtId="37" fontId="34" fillId="0" borderId="19" xfId="54" applyNumberFormat="1" applyFont="1" applyFill="1" applyBorder="1" applyProtection="1"/>
    <xf numFmtId="37" fontId="33" fillId="0" borderId="19" xfId="54" applyNumberFormat="1" applyFont="1" applyFill="1" applyBorder="1" applyAlignment="1" applyProtection="1">
      <alignment horizontal="right"/>
    </xf>
    <xf numFmtId="37" fontId="35" fillId="0" borderId="20" xfId="54" applyNumberFormat="1" applyFont="1" applyFill="1" applyBorder="1" applyProtection="1"/>
    <xf numFmtId="0" fontId="35" fillId="0" borderId="19" xfId="54" applyFont="1" applyFill="1" applyBorder="1"/>
    <xf numFmtId="37" fontId="35" fillId="0" borderId="19" xfId="54" applyNumberFormat="1" applyFont="1" applyFill="1" applyBorder="1" applyProtection="1"/>
    <xf numFmtId="37" fontId="36" fillId="0" borderId="19" xfId="54" applyNumberFormat="1" applyFont="1" applyFill="1" applyBorder="1" applyAlignment="1" applyProtection="1">
      <alignment horizontal="center" vertical="center"/>
    </xf>
    <xf numFmtId="0" fontId="35" fillId="0" borderId="20" xfId="54" applyFont="1" applyFill="1" applyBorder="1"/>
    <xf numFmtId="37" fontId="35" fillId="0" borderId="20" xfId="54" quotePrefix="1" applyNumberFormat="1" applyFont="1" applyFill="1" applyBorder="1" applyAlignment="1" applyProtection="1">
      <alignment horizontal="center"/>
    </xf>
    <xf numFmtId="0" fontId="36" fillId="0" borderId="1" xfId="54" applyFont="1" applyFill="1" applyBorder="1" applyAlignment="1">
      <alignment horizontal="center" wrapText="1"/>
    </xf>
    <xf numFmtId="37" fontId="36" fillId="0" borderId="1" xfId="54" applyNumberFormat="1" applyFont="1" applyFill="1" applyBorder="1" applyAlignment="1" applyProtection="1">
      <alignment horizontal="center" wrapText="1"/>
    </xf>
    <xf numFmtId="37" fontId="35" fillId="0" borderId="21" xfId="54" applyNumberFormat="1" applyFont="1" applyFill="1" applyBorder="1" applyProtection="1"/>
    <xf numFmtId="0" fontId="35" fillId="0" borderId="22" xfId="54" applyFont="1" applyFill="1" applyBorder="1" applyAlignment="1">
      <alignment horizontal="center"/>
    </xf>
    <xf numFmtId="37" fontId="35" fillId="0" borderId="22" xfId="54" applyNumberFormat="1" applyFont="1" applyFill="1" applyBorder="1" applyProtection="1"/>
    <xf numFmtId="39" fontId="35" fillId="0" borderId="22" xfId="54" applyNumberFormat="1" applyFont="1" applyFill="1" applyBorder="1" applyProtection="1"/>
    <xf numFmtId="0" fontId="35" fillId="0" borderId="20" xfId="54" applyFont="1" applyFill="1" applyBorder="1" applyAlignment="1">
      <alignment horizontal="center"/>
    </xf>
    <xf numFmtId="37" fontId="37" fillId="0" borderId="20" xfId="54" quotePrefix="1" applyNumberFormat="1" applyFont="1" applyFill="1" applyBorder="1" applyAlignment="1" applyProtection="1">
      <alignment horizontal="left"/>
    </xf>
    <xf numFmtId="166" fontId="35" fillId="0" borderId="20" xfId="55" applyNumberFormat="1" applyFont="1" applyFill="1" applyBorder="1" applyProtection="1"/>
    <xf numFmtId="37" fontId="35" fillId="0" borderId="23" xfId="54" quotePrefix="1" applyNumberFormat="1" applyFont="1" applyFill="1" applyBorder="1" applyAlignment="1" applyProtection="1">
      <alignment horizontal="left" indent="2"/>
    </xf>
    <xf numFmtId="37" fontId="38" fillId="0" borderId="20" xfId="54" applyNumberFormat="1" applyFont="1" applyFill="1" applyBorder="1"/>
    <xf numFmtId="37" fontId="35" fillId="0" borderId="20" xfId="54" applyNumberFormat="1" applyFont="1" applyFill="1" applyBorder="1"/>
    <xf numFmtId="37" fontId="35" fillId="0" borderId="20" xfId="54" applyNumberFormat="1" applyFont="1" applyFill="1" applyBorder="1" applyAlignment="1" applyProtection="1">
      <alignment horizontal="left" indent="1"/>
    </xf>
    <xf numFmtId="37" fontId="35" fillId="0" borderId="24" xfId="54" applyNumberFormat="1" applyFont="1" applyFill="1" applyBorder="1" applyProtection="1"/>
    <xf numFmtId="37" fontId="35" fillId="0" borderId="25" xfId="54" applyNumberFormat="1" applyFont="1" applyFill="1" applyBorder="1" applyProtection="1"/>
    <xf numFmtId="37" fontId="38" fillId="0" borderId="25" xfId="54" applyNumberFormat="1" applyFont="1" applyFill="1" applyBorder="1"/>
    <xf numFmtId="37" fontId="35" fillId="0" borderId="25" xfId="54" applyNumberFormat="1" applyFont="1" applyFill="1" applyBorder="1"/>
    <xf numFmtId="37" fontId="35" fillId="0" borderId="20" xfId="54" applyNumberFormat="1" applyFont="1" applyFill="1" applyBorder="1" applyAlignment="1" applyProtection="1">
      <alignment horizontal="left" indent="2"/>
    </xf>
    <xf numFmtId="37" fontId="35" fillId="0" borderId="23" xfId="54" applyNumberFormat="1" applyFont="1" applyFill="1" applyBorder="1" applyAlignment="1" applyProtection="1">
      <alignment horizontal="left" indent="3"/>
    </xf>
    <xf numFmtId="37" fontId="35" fillId="0" borderId="22" xfId="55" applyNumberFormat="1" applyFont="1" applyFill="1" applyBorder="1"/>
    <xf numFmtId="37" fontId="35" fillId="0" borderId="22" xfId="54" applyNumberFormat="1" applyFont="1" applyFill="1" applyBorder="1"/>
    <xf numFmtId="37" fontId="35" fillId="0" borderId="23" xfId="54" applyNumberFormat="1" applyFont="1" applyFill="1" applyBorder="1" applyAlignment="1" applyProtection="1">
      <alignment horizontal="left" indent="1"/>
    </xf>
    <xf numFmtId="37" fontId="35" fillId="0" borderId="20" xfId="55" applyNumberFormat="1" applyFont="1" applyFill="1" applyBorder="1"/>
    <xf numFmtId="37" fontId="35" fillId="0" borderId="20" xfId="55" applyNumberFormat="1" applyFont="1" applyFill="1" applyBorder="1" applyProtection="1"/>
    <xf numFmtId="37" fontId="35" fillId="0" borderId="20" xfId="54" quotePrefix="1" applyNumberFormat="1" applyFont="1" applyFill="1" applyBorder="1" applyAlignment="1" applyProtection="1">
      <alignment horizontal="left" indent="1"/>
    </xf>
    <xf numFmtId="3" fontId="35" fillId="0" borderId="20" xfId="55" applyNumberFormat="1" applyFont="1" applyFill="1" applyBorder="1"/>
    <xf numFmtId="3" fontId="35" fillId="0" borderId="20" xfId="55" applyNumberFormat="1" applyFont="1" applyFill="1" applyBorder="1" applyProtection="1"/>
    <xf numFmtId="37" fontId="35" fillId="0" borderId="20" xfId="54" quotePrefix="1" applyNumberFormat="1" applyFont="1" applyFill="1" applyBorder="1" applyAlignment="1" applyProtection="1">
      <alignment horizontal="left" indent="2"/>
    </xf>
    <xf numFmtId="37" fontId="38" fillId="0" borderId="19" xfId="54" applyNumberFormat="1" applyFont="1" applyFill="1" applyBorder="1"/>
    <xf numFmtId="37" fontId="35" fillId="0" borderId="19" xfId="54" applyNumberFormat="1" applyFont="1" applyFill="1" applyBorder="1"/>
    <xf numFmtId="37" fontId="38" fillId="0" borderId="24" xfId="54" applyNumberFormat="1" applyFont="1" applyFill="1" applyBorder="1"/>
    <xf numFmtId="37" fontId="35" fillId="0" borderId="24" xfId="54" applyNumberFormat="1" applyFont="1" applyFill="1" applyBorder="1"/>
    <xf numFmtId="37" fontId="35" fillId="0" borderId="20" xfId="54" quotePrefix="1" applyNumberFormat="1" applyFont="1" applyFill="1" applyBorder="1" applyAlignment="1" applyProtection="1">
      <alignment horizontal="left" indent="3"/>
    </xf>
    <xf numFmtId="37" fontId="35" fillId="0" borderId="22" xfId="55" applyNumberFormat="1" applyFont="1" applyFill="1" applyBorder="1" applyProtection="1"/>
    <xf numFmtId="3" fontId="35" fillId="0" borderId="22" xfId="54" applyNumberFormat="1" applyFont="1" applyFill="1" applyBorder="1" applyProtection="1"/>
    <xf numFmtId="3" fontId="35" fillId="0" borderId="22" xfId="55" applyNumberFormat="1" applyFont="1" applyFill="1" applyBorder="1" applyProtection="1"/>
    <xf numFmtId="37" fontId="38" fillId="0" borderId="22" xfId="55" applyNumberFormat="1" applyFont="1" applyFill="1" applyBorder="1" applyProtection="1"/>
    <xf numFmtId="37" fontId="35" fillId="0" borderId="24" xfId="55" applyNumberFormat="1" applyFont="1" applyFill="1" applyBorder="1" applyProtection="1"/>
    <xf numFmtId="37" fontId="33" fillId="0" borderId="19" xfId="54" applyNumberFormat="1" applyFont="1" applyFill="1" applyBorder="1" applyProtection="1"/>
    <xf numFmtId="37" fontId="39" fillId="0" borderId="20" xfId="54" applyNumberFormat="1" applyFont="1" applyFill="1" applyBorder="1" applyProtection="1"/>
    <xf numFmtId="0" fontId="34" fillId="0" borderId="19" xfId="54" applyFont="1" applyFill="1" applyBorder="1"/>
    <xf numFmtId="0" fontId="36" fillId="0" borderId="26" xfId="54" applyFont="1" applyFill="1" applyBorder="1" applyAlignment="1">
      <alignment horizontal="center" wrapText="1"/>
    </xf>
    <xf numFmtId="37" fontId="36" fillId="0" borderId="26" xfId="54" applyNumberFormat="1" applyFont="1" applyFill="1" applyBorder="1" applyAlignment="1" applyProtection="1">
      <alignment horizontal="center" wrapText="1"/>
    </xf>
    <xf numFmtId="3" fontId="35" fillId="0" borderId="20" xfId="54" applyNumberFormat="1" applyFont="1" applyFill="1" applyBorder="1" applyProtection="1"/>
    <xf numFmtId="37" fontId="38" fillId="0" borderId="20" xfId="54" applyNumberFormat="1" applyFont="1" applyFill="1" applyBorder="1" applyProtection="1"/>
    <xf numFmtId="3" fontId="38" fillId="0" borderId="20" xfId="54" applyNumberFormat="1" applyFont="1" applyFill="1" applyBorder="1" applyProtection="1"/>
    <xf numFmtId="37" fontId="38" fillId="0" borderId="19" xfId="54" applyNumberFormat="1" applyFont="1" applyFill="1" applyBorder="1" applyProtection="1"/>
    <xf numFmtId="3" fontId="35" fillId="0" borderId="19" xfId="54" applyNumberFormat="1" applyFont="1" applyFill="1" applyBorder="1" applyProtection="1"/>
    <xf numFmtId="3" fontId="38" fillId="0" borderId="19" xfId="54" applyNumberFormat="1" applyFont="1" applyFill="1" applyBorder="1" applyProtection="1"/>
    <xf numFmtId="3" fontId="35" fillId="0" borderId="24" xfId="54" applyNumberFormat="1" applyFont="1" applyFill="1" applyBorder="1" applyProtection="1"/>
    <xf numFmtId="37" fontId="35" fillId="0" borderId="20" xfId="54" applyNumberFormat="1" applyFont="1" applyFill="1" applyBorder="1" applyAlignment="1" applyProtection="1">
      <alignment horizontal="left" indent="4"/>
    </xf>
    <xf numFmtId="37" fontId="35" fillId="0" borderId="20" xfId="54" applyNumberFormat="1" applyFont="1" applyFill="1" applyBorder="1" applyAlignment="1" applyProtection="1">
      <alignment horizontal="left" indent="5"/>
    </xf>
    <xf numFmtId="173" fontId="35" fillId="0" borderId="20" xfId="54" applyNumberFormat="1" applyFont="1" applyFill="1" applyBorder="1" applyProtection="1"/>
    <xf numFmtId="39" fontId="35" fillId="0" borderId="20" xfId="54" applyNumberFormat="1" applyFont="1" applyFill="1" applyBorder="1" applyProtection="1"/>
    <xf numFmtId="3" fontId="38" fillId="0" borderId="24" xfId="54" applyNumberFormat="1" applyFont="1" applyFill="1" applyBorder="1" applyProtection="1"/>
    <xf numFmtId="37" fontId="35" fillId="0" borderId="20" xfId="54" applyNumberFormat="1" applyFont="1" applyFill="1" applyBorder="1" applyAlignment="1" applyProtection="1">
      <alignment horizontal="left" indent="3"/>
    </xf>
    <xf numFmtId="44" fontId="35" fillId="0" borderId="20" xfId="57" applyFont="1" applyFill="1" applyBorder="1" applyProtection="1"/>
    <xf numFmtId="10" fontId="35" fillId="0" borderId="20" xfId="54" applyNumberFormat="1" applyFont="1" applyFill="1" applyBorder="1" applyProtection="1"/>
    <xf numFmtId="0" fontId="35" fillId="0" borderId="20" xfId="54" quotePrefix="1" applyFont="1" applyFill="1" applyBorder="1" applyAlignment="1">
      <alignment horizontal="left"/>
    </xf>
    <xf numFmtId="0" fontId="35" fillId="0" borderId="20" xfId="54" applyFont="1" applyFill="1" applyBorder="1" applyAlignment="1"/>
    <xf numFmtId="0" fontId="36" fillId="0" borderId="20" xfId="54" quotePrefix="1" applyFont="1" applyFill="1" applyBorder="1" applyAlignment="1">
      <alignment horizontal="center"/>
    </xf>
    <xf numFmtId="0" fontId="36" fillId="0" borderId="20" xfId="54" applyFont="1" applyFill="1" applyBorder="1" applyAlignment="1">
      <alignment horizontal="center"/>
    </xf>
    <xf numFmtId="37" fontId="35" fillId="0" borderId="20" xfId="54" applyNumberFormat="1" applyFont="1" applyFill="1" applyBorder="1" applyAlignment="1" applyProtection="1">
      <alignment horizontal="left"/>
    </xf>
    <xf numFmtId="37" fontId="35" fillId="0" borderId="20" xfId="54" applyNumberFormat="1" applyFont="1" applyFill="1" applyBorder="1" applyAlignment="1" applyProtection="1">
      <alignment horizontal="center"/>
    </xf>
    <xf numFmtId="43" fontId="35" fillId="0" borderId="20" xfId="55" applyFont="1" applyFill="1" applyBorder="1" applyProtection="1"/>
    <xf numFmtId="174" fontId="35" fillId="0" borderId="20" xfId="54" applyNumberFormat="1" applyFont="1" applyFill="1" applyBorder="1" applyProtection="1"/>
    <xf numFmtId="168" fontId="35" fillId="0" borderId="20" xfId="55" applyNumberFormat="1" applyFont="1" applyFill="1" applyBorder="1" applyProtection="1"/>
    <xf numFmtId="175" fontId="35" fillId="0" borderId="20" xfId="54" applyNumberFormat="1" applyFont="1" applyFill="1" applyBorder="1" applyProtection="1"/>
    <xf numFmtId="166" fontId="20" fillId="0" borderId="0" xfId="4" applyNumberFormat="1" applyFont="1" applyFill="1"/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5" xfId="0" applyFont="1" applyBorder="1" applyAlignment="1">
      <alignment horizontal="centerContinuous"/>
    </xf>
    <xf numFmtId="0" fontId="31" fillId="0" borderId="11" xfId="0" applyFont="1" applyBorder="1" applyAlignment="1">
      <alignment horizontal="centerContinuous"/>
    </xf>
    <xf numFmtId="0" fontId="31" fillId="0" borderId="6" xfId="0" applyFont="1" applyBorder="1" applyAlignment="1">
      <alignment horizontal="centerContinuous"/>
    </xf>
    <xf numFmtId="166" fontId="41" fillId="0" borderId="0" xfId="0" applyNumberFormat="1" applyFont="1"/>
    <xf numFmtId="0" fontId="31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10" xfId="0" applyFont="1" applyBorder="1" applyAlignment="1">
      <alignment horizontal="centerContinuous"/>
    </xf>
    <xf numFmtId="0" fontId="31" fillId="0" borderId="12" xfId="0" applyFont="1" applyBorder="1" applyAlignment="1">
      <alignment horizontal="centerContinuous"/>
    </xf>
    <xf numFmtId="0" fontId="31" fillId="0" borderId="3" xfId="0" applyFont="1" applyBorder="1" applyAlignment="1">
      <alignment horizontal="centerContinuous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42" fillId="0" borderId="0" xfId="0" applyFont="1"/>
    <xf numFmtId="166" fontId="31" fillId="0" borderId="0" xfId="4" applyNumberFormat="1" applyFont="1"/>
    <xf numFmtId="37" fontId="31" fillId="0" borderId="0" xfId="4" applyNumberFormat="1" applyFont="1"/>
    <xf numFmtId="37" fontId="20" fillId="0" borderId="0" xfId="0" applyNumberFormat="1" applyFont="1" applyAlignment="1">
      <alignment horizontal="left" indent="1"/>
    </xf>
    <xf numFmtId="37" fontId="20" fillId="0" borderId="0" xfId="0" applyNumberFormat="1" applyFont="1"/>
    <xf numFmtId="10" fontId="31" fillId="0" borderId="0" xfId="39" applyNumberFormat="1" applyFont="1"/>
    <xf numFmtId="0" fontId="31" fillId="0" borderId="0" xfId="0" applyFont="1" applyAlignment="1">
      <alignment horizontal="left" indent="1"/>
    </xf>
    <xf numFmtId="37" fontId="31" fillId="0" borderId="0" xfId="4" applyNumberFormat="1" applyFont="1" applyFill="1"/>
    <xf numFmtId="37" fontId="31" fillId="0" borderId="3" xfId="4" applyNumberFormat="1" applyFont="1" applyBorder="1"/>
    <xf numFmtId="166" fontId="31" fillId="0" borderId="0" xfId="4" applyNumberFormat="1" applyFont="1" applyAlignment="1">
      <alignment horizontal="centerContinuous"/>
    </xf>
    <xf numFmtId="166" fontId="31" fillId="0" borderId="0" xfId="4" applyNumberFormat="1" applyFont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37" fontId="20" fillId="0" borderId="0" xfId="0" applyNumberFormat="1" applyFont="1" applyAlignment="1">
      <alignment horizontal="left" indent="2"/>
    </xf>
    <xf numFmtId="37" fontId="31" fillId="0" borderId="6" xfId="4" applyNumberFormat="1" applyFont="1" applyBorder="1"/>
    <xf numFmtId="0" fontId="20" fillId="0" borderId="0" xfId="0" applyFont="1" applyFill="1" applyAlignment="1">
      <alignment horizontal="center"/>
    </xf>
    <xf numFmtId="37" fontId="20" fillId="0" borderId="0" xfId="0" applyNumberFormat="1" applyFont="1" applyFill="1" applyAlignment="1">
      <alignment horizontal="left" indent="1"/>
    </xf>
    <xf numFmtId="0" fontId="20" fillId="0" borderId="0" xfId="0" quotePrefix="1" applyFont="1" applyFill="1" applyAlignment="1">
      <alignment horizontal="center"/>
    </xf>
    <xf numFmtId="37" fontId="20" fillId="0" borderId="0" xfId="0" quotePrefix="1" applyNumberFormat="1" applyFont="1" applyFill="1" applyAlignment="1">
      <alignment horizontal="left" indent="1"/>
    </xf>
    <xf numFmtId="0" fontId="31" fillId="0" borderId="0" xfId="0" applyFont="1" applyFill="1"/>
    <xf numFmtId="37" fontId="31" fillId="0" borderId="3" xfId="4" applyNumberFormat="1" applyFont="1" applyFill="1" applyBorder="1"/>
    <xf numFmtId="37" fontId="20" fillId="0" borderId="0" xfId="0" quotePrefix="1" applyNumberFormat="1" applyFont="1" applyFill="1" applyAlignment="1">
      <alignment horizontal="left" indent="2"/>
    </xf>
    <xf numFmtId="37" fontId="31" fillId="0" borderId="0" xfId="4" applyNumberFormat="1" applyFont="1" applyFill="1" applyBorder="1"/>
    <xf numFmtId="37" fontId="31" fillId="0" borderId="15" xfId="4" applyNumberFormat="1" applyFont="1" applyBorder="1"/>
    <xf numFmtId="166" fontId="31" fillId="0" borderId="4" xfId="4" applyNumberFormat="1" applyFont="1" applyBorder="1" applyAlignment="1">
      <alignment horizontal="center"/>
    </xf>
    <xf numFmtId="166" fontId="31" fillId="0" borderId="7" xfId="4" applyNumberFormat="1" applyFont="1" applyBorder="1" applyAlignment="1">
      <alignment horizontal="center"/>
    </xf>
    <xf numFmtId="166" fontId="31" fillId="0" borderId="9" xfId="4" applyNumberFormat="1" applyFont="1" applyBorder="1" applyAlignment="1">
      <alignment horizontal="center"/>
    </xf>
    <xf numFmtId="37" fontId="31" fillId="0" borderId="0" xfId="4" applyNumberFormat="1" applyFont="1" applyAlignment="1"/>
    <xf numFmtId="37" fontId="31" fillId="0" borderId="3" xfId="4" applyNumberFormat="1" applyFont="1" applyBorder="1" applyAlignment="1"/>
    <xf numFmtId="166" fontId="31" fillId="0" borderId="0" xfId="4" applyNumberFormat="1" applyFont="1" applyAlignment="1"/>
    <xf numFmtId="37" fontId="31" fillId="0" borderId="0" xfId="4" applyNumberFormat="1" applyFont="1" applyBorder="1" applyAlignment="1"/>
    <xf numFmtId="0" fontId="31" fillId="0" borderId="0" xfId="0" applyFont="1" applyFill="1" applyAlignment="1">
      <alignment horizontal="left" indent="1"/>
    </xf>
    <xf numFmtId="37" fontId="31" fillId="0" borderId="0" xfId="4" applyNumberFormat="1" applyFont="1" applyFill="1" applyBorder="1" applyAlignment="1"/>
    <xf numFmtId="0" fontId="31" fillId="0" borderId="0" xfId="0" applyFont="1" applyAlignment="1">
      <alignment horizontal="left" indent="2"/>
    </xf>
    <xf numFmtId="37" fontId="31" fillId="0" borderId="6" xfId="4" applyNumberFormat="1" applyFont="1" applyBorder="1" applyAlignment="1"/>
    <xf numFmtId="37" fontId="31" fillId="0" borderId="0" xfId="4" applyNumberFormat="1" applyFont="1" applyBorder="1"/>
    <xf numFmtId="0" fontId="20" fillId="0" borderId="0" xfId="0" applyFont="1" applyFill="1"/>
    <xf numFmtId="0" fontId="20" fillId="0" borderId="0" xfId="0" applyFont="1"/>
    <xf numFmtId="0" fontId="31" fillId="0" borderId="0" xfId="0" applyFont="1" applyAlignment="1">
      <alignment horizontal="left" indent="3"/>
    </xf>
    <xf numFmtId="37" fontId="31" fillId="0" borderId="15" xfId="4" applyNumberFormat="1" applyFont="1" applyBorder="1" applyAlignment="1"/>
    <xf numFmtId="37" fontId="31" fillId="0" borderId="0" xfId="4" applyNumberFormat="1" applyFont="1" applyFill="1" applyAlignment="1"/>
    <xf numFmtId="0" fontId="31" fillId="0" borderId="0" xfId="0" applyFont="1" applyBorder="1"/>
    <xf numFmtId="37" fontId="31" fillId="0" borderId="0" xfId="4" applyNumberFormat="1" applyFont="1" applyAlignment="1">
      <alignment horizontal="centerContinuous"/>
    </xf>
    <xf numFmtId="37" fontId="31" fillId="0" borderId="5" xfId="0" applyNumberFormat="1" applyFont="1" applyBorder="1" applyAlignment="1">
      <alignment horizontal="center"/>
    </xf>
    <xf numFmtId="37" fontId="31" fillId="0" borderId="4" xfId="0" applyNumberFormat="1" applyFont="1" applyBorder="1" applyAlignment="1">
      <alignment horizontal="center"/>
    </xf>
    <xf numFmtId="37" fontId="31" fillId="0" borderId="11" xfId="0" applyNumberFormat="1" applyFont="1" applyBorder="1" applyAlignment="1">
      <alignment horizontal="center"/>
    </xf>
    <xf numFmtId="37" fontId="31" fillId="0" borderId="6" xfId="0" applyNumberFormat="1" applyFont="1" applyBorder="1" applyAlignment="1">
      <alignment horizontal="center"/>
    </xf>
    <xf numFmtId="37" fontId="31" fillId="0" borderId="4" xfId="4" applyNumberFormat="1" applyFont="1" applyBorder="1" applyAlignment="1">
      <alignment horizontal="center"/>
    </xf>
    <xf numFmtId="37" fontId="31" fillId="0" borderId="8" xfId="0" applyNumberFormat="1" applyFont="1" applyBorder="1" applyAlignment="1">
      <alignment horizontal="center"/>
    </xf>
    <xf numFmtId="37" fontId="31" fillId="0" borderId="7" xfId="0" applyNumberFormat="1" applyFont="1" applyBorder="1" applyAlignment="1">
      <alignment horizontal="center"/>
    </xf>
    <xf numFmtId="37" fontId="31" fillId="0" borderId="10" xfId="0" applyNumberFormat="1" applyFont="1" applyBorder="1" applyAlignment="1">
      <alignment horizontal="centerContinuous"/>
    </xf>
    <xf numFmtId="37" fontId="31" fillId="0" borderId="12" xfId="0" applyNumberFormat="1" applyFont="1" applyBorder="1" applyAlignment="1">
      <alignment horizontal="centerContinuous"/>
    </xf>
    <xf numFmtId="37" fontId="31" fillId="0" borderId="3" xfId="0" applyNumberFormat="1" applyFont="1" applyBorder="1" applyAlignment="1">
      <alignment horizontal="centerContinuous"/>
    </xf>
    <xf numFmtId="37" fontId="31" fillId="0" borderId="7" xfId="4" applyNumberFormat="1" applyFont="1" applyBorder="1" applyAlignment="1">
      <alignment horizontal="center"/>
    </xf>
    <xf numFmtId="37" fontId="31" fillId="0" borderId="10" xfId="0" applyNumberFormat="1" applyFont="1" applyBorder="1" applyAlignment="1">
      <alignment horizontal="center"/>
    </xf>
    <xf numFmtId="37" fontId="31" fillId="0" borderId="9" xfId="0" applyNumberFormat="1" applyFont="1" applyBorder="1" applyAlignment="1">
      <alignment horizontal="center"/>
    </xf>
    <xf numFmtId="37" fontId="31" fillId="0" borderId="1" xfId="0" applyNumberFormat="1" applyFont="1" applyBorder="1" applyAlignment="1">
      <alignment horizontal="center"/>
    </xf>
    <xf numFmtId="37" fontId="31" fillId="0" borderId="13" xfId="0" applyNumberFormat="1" applyFont="1" applyBorder="1" applyAlignment="1">
      <alignment horizontal="center"/>
    </xf>
    <xf numFmtId="37" fontId="31" fillId="0" borderId="9" xfId="4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31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 horizontal="centerContinuous"/>
    </xf>
    <xf numFmtId="0" fontId="20" fillId="0" borderId="4" xfId="0" applyFont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166" fontId="20" fillId="0" borderId="0" xfId="0" applyNumberFormat="1" applyFont="1"/>
    <xf numFmtId="166" fontId="31" fillId="0" borderId="0" xfId="0" applyNumberFormat="1" applyFont="1" applyFill="1"/>
    <xf numFmtId="166" fontId="31" fillId="0" borderId="0" xfId="4" applyNumberFormat="1" applyFont="1" applyFill="1"/>
    <xf numFmtId="166" fontId="20" fillId="0" borderId="0" xfId="0" applyNumberFormat="1" applyFont="1" applyFill="1"/>
    <xf numFmtId="10" fontId="31" fillId="0" borderId="0" xfId="39" applyNumberFormat="1" applyFont="1" applyFill="1"/>
    <xf numFmtId="10" fontId="20" fillId="0" borderId="0" xfId="39" applyNumberFormat="1" applyFont="1" applyFill="1"/>
    <xf numFmtId="10" fontId="31" fillId="0" borderId="3" xfId="39" applyNumberFormat="1" applyFont="1" applyFill="1" applyBorder="1"/>
    <xf numFmtId="10" fontId="20" fillId="0" borderId="3" xfId="39" applyNumberFormat="1" applyFont="1" applyFill="1" applyBorder="1"/>
    <xf numFmtId="168" fontId="31" fillId="0" borderId="0" xfId="0" applyNumberFormat="1" applyFont="1" applyFill="1"/>
    <xf numFmtId="0" fontId="20" fillId="0" borderId="13" xfId="0" applyFont="1" applyBorder="1" applyAlignment="1">
      <alignment horizontal="centerContinuous"/>
    </xf>
    <xf numFmtId="0" fontId="20" fillId="0" borderId="15" xfId="0" applyFont="1" applyBorder="1" applyAlignment="1">
      <alignment horizontal="centerContinuous"/>
    </xf>
    <xf numFmtId="0" fontId="20" fillId="0" borderId="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5" fontId="20" fillId="0" borderId="0" xfId="39" applyNumberFormat="1" applyFont="1"/>
    <xf numFmtId="43" fontId="31" fillId="0" borderId="0" xfId="4" applyFont="1"/>
    <xf numFmtId="43" fontId="20" fillId="0" borderId="0" xfId="4" applyFont="1"/>
    <xf numFmtId="0" fontId="31" fillId="0" borderId="0" xfId="0" applyFont="1" applyFill="1" applyAlignment="1">
      <alignment horizontal="center"/>
    </xf>
    <xf numFmtId="10" fontId="31" fillId="0" borderId="0" xfId="0" applyNumberFormat="1" applyFont="1" applyFill="1"/>
    <xf numFmtId="166" fontId="41" fillId="0" borderId="0" xfId="0" applyNumberFormat="1" applyFont="1" applyFill="1"/>
    <xf numFmtId="0" fontId="31" fillId="0" borderId="0" xfId="0" applyFont="1" applyFill="1" applyAlignment="1">
      <alignment horizontal="left" indent="2"/>
    </xf>
    <xf numFmtId="10" fontId="20" fillId="0" borderId="0" xfId="0" applyNumberFormat="1" applyFont="1" applyAlignment="1">
      <alignment horizontal="center"/>
    </xf>
    <xf numFmtId="166" fontId="43" fillId="0" borderId="0" xfId="4" applyNumberFormat="1" applyFont="1" applyFill="1"/>
    <xf numFmtId="166" fontId="44" fillId="0" borderId="0" xfId="0" applyNumberFormat="1" applyFont="1" applyFill="1"/>
    <xf numFmtId="166" fontId="44" fillId="0" borderId="0" xfId="4" applyNumberFormat="1" applyFont="1" applyFill="1"/>
    <xf numFmtId="165" fontId="31" fillId="0" borderId="0" xfId="39" applyNumberFormat="1" applyFont="1" applyFill="1"/>
    <xf numFmtId="165" fontId="20" fillId="0" borderId="0" xfId="39" applyNumberFormat="1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43" fontId="20" fillId="0" borderId="0" xfId="4" applyFont="1" applyFill="1" applyBorder="1"/>
    <xf numFmtId="170" fontId="20" fillId="0" borderId="0" xfId="4" applyNumberFormat="1" applyFont="1" applyFill="1" applyBorder="1"/>
    <xf numFmtId="168" fontId="20" fillId="0" borderId="0" xfId="4" applyNumberFormat="1" applyFont="1" applyFill="1" applyBorder="1"/>
    <xf numFmtId="0" fontId="20" fillId="0" borderId="0" xfId="0" applyFont="1" applyBorder="1" applyAlignment="1">
      <alignment horizontal="right"/>
    </xf>
    <xf numFmtId="170" fontId="31" fillId="0" borderId="0" xfId="4" applyNumberFormat="1" applyFont="1" applyFill="1" applyBorder="1"/>
    <xf numFmtId="170" fontId="20" fillId="8" borderId="0" xfId="4" applyNumberFormat="1" applyFont="1" applyFill="1" applyBorder="1"/>
    <xf numFmtId="0" fontId="20" fillId="0" borderId="0" xfId="0" applyFont="1" applyBorder="1" applyAlignment="1">
      <alignment horizontal="center"/>
    </xf>
    <xf numFmtId="0" fontId="20" fillId="0" borderId="5" xfId="0" applyFont="1" applyFill="1" applyBorder="1"/>
    <xf numFmtId="0" fontId="20" fillId="0" borderId="11" xfId="0" applyFont="1" applyFill="1" applyBorder="1"/>
    <xf numFmtId="168" fontId="20" fillId="0" borderId="8" xfId="4" applyNumberFormat="1" applyFont="1" applyFill="1" applyBorder="1"/>
    <xf numFmtId="0" fontId="20" fillId="0" borderId="14" xfId="0" applyFont="1" applyFill="1" applyBorder="1"/>
    <xf numFmtId="0" fontId="20" fillId="0" borderId="8" xfId="0" applyFont="1" applyFill="1" applyBorder="1"/>
    <xf numFmtId="170" fontId="20" fillId="0" borderId="8" xfId="4" applyNumberFormat="1" applyFont="1" applyFill="1" applyBorder="1"/>
    <xf numFmtId="170" fontId="20" fillId="0" borderId="14" xfId="4" applyNumberFormat="1" applyFont="1" applyFill="1" applyBorder="1"/>
    <xf numFmtId="170" fontId="31" fillId="0" borderId="14" xfId="4" applyNumberFormat="1" applyFont="1" applyFill="1" applyBorder="1"/>
    <xf numFmtId="43" fontId="20" fillId="0" borderId="8" xfId="4" applyFont="1" applyFill="1" applyBorder="1"/>
    <xf numFmtId="43" fontId="20" fillId="0" borderId="14" xfId="4" applyFont="1" applyFill="1" applyBorder="1"/>
    <xf numFmtId="168" fontId="20" fillId="0" borderId="14" xfId="4" applyNumberFormat="1" applyFont="1" applyFill="1" applyBorder="1"/>
    <xf numFmtId="0" fontId="20" fillId="0" borderId="6" xfId="0" applyFont="1" applyFill="1" applyBorder="1"/>
    <xf numFmtId="170" fontId="20" fillId="8" borderId="14" xfId="4" applyNumberFormat="1" applyFont="1" applyFill="1" applyBorder="1"/>
    <xf numFmtId="0" fontId="20" fillId="0" borderId="5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1" xfId="0" applyFont="1" applyBorder="1" applyAlignment="1">
      <alignment horizontal="center" wrapText="1"/>
    </xf>
    <xf numFmtId="170" fontId="20" fillId="8" borderId="8" xfId="4" applyNumberFormat="1" applyFont="1" applyFill="1" applyBorder="1"/>
    <xf numFmtId="0" fontId="18" fillId="0" borderId="0" xfId="58" applyFont="1" applyFill="1" applyBorder="1" applyAlignment="1">
      <alignment horizontal="center"/>
    </xf>
    <xf numFmtId="3" fontId="20" fillId="0" borderId="0" xfId="0" applyNumberFormat="1" applyFont="1" applyFill="1" applyBorder="1"/>
    <xf numFmtId="0" fontId="31" fillId="0" borderId="20" xfId="0" applyFont="1" applyBorder="1"/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>
      <alignment horizontal="centerContinuous"/>
    </xf>
    <xf numFmtId="0" fontId="18" fillId="0" borderId="20" xfId="0" applyFont="1" applyFill="1" applyBorder="1"/>
    <xf numFmtId="0" fontId="20" fillId="0" borderId="20" xfId="0" applyFont="1" applyFill="1" applyBorder="1"/>
    <xf numFmtId="0" fontId="20" fillId="0" borderId="20" xfId="0" applyFont="1" applyBorder="1"/>
    <xf numFmtId="0" fontId="31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0" xfId="0" quotePrefix="1" applyFont="1" applyFill="1" applyBorder="1" applyAlignment="1">
      <alignment horizontal="center"/>
    </xf>
    <xf numFmtId="164" fontId="20" fillId="0" borderId="20" xfId="39" applyNumberFormat="1" applyFont="1" applyFill="1" applyBorder="1" applyAlignment="1">
      <alignment horizontal="center"/>
    </xf>
    <xf numFmtId="164" fontId="20" fillId="0" borderId="20" xfId="39" applyNumberFormat="1" applyFont="1" applyBorder="1"/>
    <xf numFmtId="170" fontId="31" fillId="0" borderId="0" xfId="4" applyNumberFormat="1" applyFont="1"/>
    <xf numFmtId="0" fontId="18" fillId="0" borderId="0" xfId="32" quotePrefix="1" applyFont="1" applyFill="1" applyBorder="1" applyAlignment="1">
      <alignment horizontal="left"/>
    </xf>
    <xf numFmtId="3" fontId="20" fillId="0" borderId="8" xfId="4" applyNumberFormat="1" applyFont="1" applyFill="1" applyBorder="1"/>
    <xf numFmtId="3" fontId="20" fillId="0" borderId="14" xfId="4" applyNumberFormat="1" applyFont="1" applyFill="1" applyBorder="1"/>
    <xf numFmtId="3" fontId="20" fillId="0" borderId="0" xfId="4" applyNumberFormat="1" applyFont="1" applyFill="1" applyBorder="1"/>
    <xf numFmtId="3" fontId="20" fillId="0" borderId="14" xfId="0" applyNumberFormat="1" applyFont="1" applyFill="1" applyBorder="1"/>
    <xf numFmtId="179" fontId="20" fillId="0" borderId="8" xfId="4" applyNumberFormat="1" applyFont="1" applyFill="1" applyBorder="1"/>
    <xf numFmtId="179" fontId="20" fillId="0" borderId="14" xfId="4" applyNumberFormat="1" applyFont="1" applyFill="1" applyBorder="1"/>
    <xf numFmtId="179" fontId="20" fillId="0" borderId="0" xfId="4" applyNumberFormat="1" applyFont="1" applyFill="1" applyBorder="1"/>
    <xf numFmtId="179" fontId="20" fillId="0" borderId="8" xfId="4" applyNumberFormat="1" applyFont="1" applyFill="1" applyBorder="1" applyAlignment="1">
      <alignment horizontal="right"/>
    </xf>
    <xf numFmtId="179" fontId="20" fillId="0" borderId="14" xfId="4" applyNumberFormat="1" applyFont="1" applyFill="1" applyBorder="1" applyAlignment="1">
      <alignment horizontal="right"/>
    </xf>
    <xf numFmtId="179" fontId="20" fillId="0" borderId="0" xfId="4" applyNumberFormat="1" applyFont="1" applyFill="1" applyBorder="1" applyAlignment="1">
      <alignment horizontal="right"/>
    </xf>
    <xf numFmtId="39" fontId="20" fillId="0" borderId="8" xfId="4" applyNumberFormat="1" applyFont="1" applyFill="1" applyBorder="1" applyAlignment="1">
      <alignment horizontal="right"/>
    </xf>
    <xf numFmtId="39" fontId="20" fillId="0" borderId="14" xfId="4" applyNumberFormat="1" applyFont="1" applyFill="1" applyBorder="1" applyAlignment="1">
      <alignment horizontal="right"/>
    </xf>
    <xf numFmtId="39" fontId="20" fillId="0" borderId="0" xfId="4" applyNumberFormat="1" applyFont="1" applyFill="1" applyBorder="1" applyAlignment="1">
      <alignment horizontal="right"/>
    </xf>
    <xf numFmtId="39" fontId="20" fillId="0" borderId="14" xfId="4" applyNumberFormat="1" applyFont="1" applyFill="1" applyBorder="1"/>
    <xf numFmtId="39" fontId="20" fillId="0" borderId="0" xfId="4" applyNumberFormat="1" applyFont="1" applyFill="1" applyBorder="1"/>
    <xf numFmtId="0" fontId="1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0" fillId="0" borderId="4" xfId="0" applyFont="1" applyBorder="1" applyAlignment="1">
      <alignment horizontal="left"/>
    </xf>
    <xf numFmtId="166" fontId="32" fillId="0" borderId="0" xfId="4" applyNumberFormat="1" applyFont="1"/>
    <xf numFmtId="166" fontId="31" fillId="0" borderId="3" xfId="4" applyNumberFormat="1" applyFont="1" applyBorder="1"/>
    <xf numFmtId="166" fontId="32" fillId="0" borderId="0" xfId="0" applyNumberFormat="1" applyFont="1"/>
    <xf numFmtId="37" fontId="20" fillId="0" borderId="0" xfId="0" applyNumberFormat="1" applyFont="1" applyAlignment="1">
      <alignment horizontal="center"/>
    </xf>
    <xf numFmtId="166" fontId="31" fillId="0" borderId="15" xfId="4" applyNumberFormat="1" applyFont="1" applyBorder="1"/>
    <xf numFmtId="166" fontId="20" fillId="0" borderId="0" xfId="4" applyNumberFormat="1" applyFont="1" applyAlignment="1">
      <alignment horizontal="centerContinuous"/>
    </xf>
    <xf numFmtId="0" fontId="31" fillId="0" borderId="3" xfId="0" applyFont="1" applyBorder="1"/>
    <xf numFmtId="0" fontId="31" fillId="0" borderId="0" xfId="0" applyFont="1" applyBorder="1" applyAlignment="1">
      <alignment horizontal="left" indent="2"/>
    </xf>
    <xf numFmtId="0" fontId="20" fillId="0" borderId="9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2" fontId="20" fillId="0" borderId="0" xfId="0" applyNumberFormat="1" applyFont="1" applyAlignment="1">
      <alignment horizontal="center"/>
    </xf>
    <xf numFmtId="37" fontId="20" fillId="0" borderId="0" xfId="0" applyNumberFormat="1" applyFont="1" applyAlignment="1">
      <alignment horizontal="left"/>
    </xf>
    <xf numFmtId="166" fontId="31" fillId="0" borderId="6" xfId="4" applyNumberFormat="1" applyFont="1" applyBorder="1"/>
    <xf numFmtId="166" fontId="20" fillId="0" borderId="6" xfId="4" applyNumberFormat="1" applyFont="1" applyBorder="1"/>
    <xf numFmtId="166" fontId="31" fillId="0" borderId="0" xfId="4" applyNumberFormat="1" applyFont="1" applyBorder="1"/>
    <xf numFmtId="166" fontId="20" fillId="0" borderId="0" xfId="4" applyNumberFormat="1" applyFont="1" applyBorder="1"/>
    <xf numFmtId="37" fontId="31" fillId="0" borderId="0" xfId="4" applyNumberFormat="1" applyFont="1" applyAlignment="1">
      <alignment horizontal="center"/>
    </xf>
    <xf numFmtId="0" fontId="18" fillId="0" borderId="0" xfId="0" applyFont="1" applyFill="1" applyAlignment="1">
      <alignment horizontal="right"/>
    </xf>
    <xf numFmtId="0" fontId="19" fillId="0" borderId="0" xfId="21" applyFont="1" applyFill="1"/>
    <xf numFmtId="0" fontId="18" fillId="0" borderId="0" xfId="31" applyFont="1" applyFill="1" applyAlignment="1">
      <alignment horizontal="center"/>
    </xf>
    <xf numFmtId="171" fontId="20" fillId="0" borderId="0" xfId="31" applyNumberFormat="1" applyFont="1" applyFill="1"/>
    <xf numFmtId="4" fontId="20" fillId="0" borderId="0" xfId="31" applyNumberFormat="1" applyFont="1" applyFill="1"/>
    <xf numFmtId="4" fontId="20" fillId="0" borderId="3" xfId="31" applyNumberFormat="1" applyFont="1" applyFill="1" applyBorder="1"/>
    <xf numFmtId="171" fontId="20" fillId="0" borderId="0" xfId="16" applyNumberFormat="1" applyFont="1" applyFill="1"/>
    <xf numFmtId="171" fontId="20" fillId="0" borderId="6" xfId="16" applyNumberFormat="1" applyFont="1" applyFill="1" applyBorder="1"/>
    <xf numFmtId="166" fontId="20" fillId="0" borderId="3" xfId="4" applyNumberFormat="1" applyFont="1" applyFill="1" applyBorder="1"/>
    <xf numFmtId="171" fontId="18" fillId="0" borderId="0" xfId="16" applyNumberFormat="1" applyFont="1" applyFill="1"/>
    <xf numFmtId="166" fontId="20" fillId="0" borderId="0" xfId="16" applyNumberFormat="1" applyFont="1" applyFill="1"/>
    <xf numFmtId="166" fontId="20" fillId="0" borderId="3" xfId="16" applyNumberFormat="1" applyFont="1" applyFill="1" applyBorder="1"/>
    <xf numFmtId="166" fontId="18" fillId="0" borderId="6" xfId="4" applyNumberFormat="1" applyFont="1" applyFill="1" applyBorder="1"/>
    <xf numFmtId="172" fontId="20" fillId="0" borderId="0" xfId="16" applyNumberFormat="1" applyFont="1" applyFill="1"/>
    <xf numFmtId="171" fontId="18" fillId="0" borderId="6" xfId="16" applyNumberFormat="1" applyFont="1" applyFill="1" applyBorder="1"/>
    <xf numFmtId="172" fontId="18" fillId="0" borderId="0" xfId="16" applyNumberFormat="1" applyFont="1" applyFill="1"/>
    <xf numFmtId="166" fontId="20" fillId="0" borderId="6" xfId="16" applyNumberFormat="1" applyFont="1" applyFill="1" applyBorder="1"/>
    <xf numFmtId="166" fontId="20" fillId="0" borderId="0" xfId="16" quotePrefix="1" applyNumberFormat="1" applyFont="1" applyFill="1"/>
    <xf numFmtId="166" fontId="20" fillId="0" borderId="3" xfId="16" quotePrefix="1" applyNumberFormat="1" applyFont="1" applyFill="1" applyBorder="1"/>
    <xf numFmtId="41" fontId="20" fillId="0" borderId="0" xfId="16" applyNumberFormat="1" applyFont="1" applyFill="1"/>
    <xf numFmtId="10" fontId="20" fillId="0" borderId="0" xfId="41" applyNumberFormat="1" applyFont="1" applyFill="1"/>
    <xf numFmtId="171" fontId="18" fillId="0" borderId="3" xfId="16" applyNumberFormat="1" applyFont="1" applyFill="1" applyBorder="1"/>
    <xf numFmtId="41" fontId="18" fillId="0" borderId="17" xfId="16" applyNumberFormat="1" applyFont="1" applyFill="1" applyBorder="1"/>
    <xf numFmtId="0" fontId="20" fillId="0" borderId="0" xfId="31" applyFont="1" applyFill="1"/>
    <xf numFmtId="166" fontId="20" fillId="0" borderId="0" xfId="31" applyNumberFormat="1" applyFont="1" applyFill="1"/>
    <xf numFmtId="10" fontId="20" fillId="0" borderId="0" xfId="5" applyNumberFormat="1" applyFont="1" applyFill="1"/>
    <xf numFmtId="171" fontId="20" fillId="0" borderId="6" xfId="5" applyNumberFormat="1" applyFont="1" applyFill="1" applyBorder="1"/>
    <xf numFmtId="10" fontId="20" fillId="0" borderId="3" xfId="5" applyNumberFormat="1" applyFont="1" applyFill="1" applyBorder="1"/>
    <xf numFmtId="171" fontId="20" fillId="0" borderId="0" xfId="5" applyNumberFormat="1" applyFont="1" applyFill="1"/>
    <xf numFmtId="41" fontId="20" fillId="0" borderId="0" xfId="5" applyFont="1" applyFill="1"/>
    <xf numFmtId="170" fontId="31" fillId="0" borderId="0" xfId="3" applyNumberFormat="1" applyFont="1" applyFill="1"/>
    <xf numFmtId="166" fontId="41" fillId="0" borderId="0" xfId="4" applyNumberFormat="1" applyFont="1"/>
    <xf numFmtId="0" fontId="18" fillId="0" borderId="3" xfId="31" applyFont="1" applyFill="1" applyBorder="1" applyAlignment="1">
      <alignment horizontal="center" wrapText="1"/>
    </xf>
    <xf numFmtId="0" fontId="18" fillId="0" borderId="0" xfId="31" applyFont="1" applyFill="1" applyAlignment="1">
      <alignment horizontal="center" wrapText="1"/>
    </xf>
    <xf numFmtId="0" fontId="18" fillId="0" borderId="0" xfId="31" applyFont="1" applyFill="1"/>
    <xf numFmtId="0" fontId="20" fillId="0" borderId="0" xfId="31" applyFont="1" applyFill="1" applyAlignment="1">
      <alignment horizontal="left" indent="1"/>
    </xf>
    <xf numFmtId="0" fontId="20" fillId="0" borderId="3" xfId="31" applyFont="1" applyFill="1" applyBorder="1"/>
    <xf numFmtId="0" fontId="18" fillId="0" borderId="0" xfId="31" quotePrefix="1" applyFont="1" applyFill="1" applyAlignment="1">
      <alignment horizontal="left"/>
    </xf>
    <xf numFmtId="0" fontId="20" fillId="0" borderId="0" xfId="31" quotePrefix="1" applyFont="1" applyFill="1" applyAlignment="1">
      <alignment horizontal="left"/>
    </xf>
    <xf numFmtId="0" fontId="18" fillId="0" borderId="0" xfId="52" applyFont="1" applyFill="1" applyBorder="1"/>
    <xf numFmtId="0" fontId="23" fillId="0" borderId="0" xfId="52" applyFont="1" applyFill="1" applyBorder="1"/>
    <xf numFmtId="0" fontId="18" fillId="0" borderId="0" xfId="53" applyFont="1" applyFill="1"/>
    <xf numFmtId="0" fontId="20" fillId="0" borderId="0" xfId="52" applyFont="1" applyFill="1" applyBorder="1"/>
    <xf numFmtId="0" fontId="23" fillId="0" borderId="0" xfId="53" applyFont="1" applyFill="1"/>
    <xf numFmtId="0" fontId="23" fillId="0" borderId="0" xfId="31" applyFont="1" applyFill="1"/>
    <xf numFmtId="0" fontId="20" fillId="0" borderId="0" xfId="17" applyNumberFormat="1" applyFont="1" applyFill="1"/>
    <xf numFmtId="0" fontId="20" fillId="0" borderId="3" xfId="17" applyNumberFormat="1" applyFont="1" applyFill="1" applyBorder="1"/>
    <xf numFmtId="0" fontId="20" fillId="0" borderId="0" xfId="31" quotePrefix="1" applyFont="1" applyFill="1"/>
    <xf numFmtId="0" fontId="20" fillId="0" borderId="0" xfId="31" applyFont="1" applyFill="1" applyAlignment="1">
      <alignment horizontal="left" indent="3"/>
    </xf>
    <xf numFmtId="0" fontId="18" fillId="0" borderId="0" xfId="31" applyFont="1" applyFill="1" applyAlignment="1">
      <alignment horizontal="left" indent="2"/>
    </xf>
    <xf numFmtId="0" fontId="20" fillId="0" borderId="0" xfId="31" applyFont="1" applyFill="1" applyBorder="1" applyAlignment="1">
      <alignment horizontal="left" indent="1"/>
    </xf>
    <xf numFmtId="0" fontId="18" fillId="0" borderId="0" xfId="31" quotePrefix="1" applyFont="1" applyFill="1" applyAlignment="1">
      <alignment horizontal="left" indent="2"/>
    </xf>
    <xf numFmtId="0" fontId="31" fillId="0" borderId="0" xfId="0" applyFont="1" applyFill="1" applyBorder="1"/>
    <xf numFmtId="0" fontId="18" fillId="0" borderId="0" xfId="0" applyFont="1" applyBorder="1" applyAlignment="1">
      <alignment horizontal="left"/>
    </xf>
    <xf numFmtId="0" fontId="18" fillId="0" borderId="0" xfId="0" applyFont="1" applyFill="1"/>
    <xf numFmtId="171" fontId="19" fillId="0" borderId="0" xfId="16" applyNumberFormat="1" applyFont="1" applyFill="1"/>
    <xf numFmtId="0" fontId="18" fillId="0" borderId="0" xfId="21" applyFont="1" applyFill="1"/>
    <xf numFmtId="0" fontId="18" fillId="0" borderId="0" xfId="53" applyFont="1" applyFill="1" applyAlignment="1">
      <alignment horizontal="left"/>
    </xf>
    <xf numFmtId="0" fontId="21" fillId="0" borderId="3" xfId="31" applyFont="1" applyFill="1" applyBorder="1" applyAlignment="1">
      <alignment horizontal="center" wrapText="1"/>
    </xf>
    <xf numFmtId="171" fontId="18" fillId="0" borderId="3" xfId="16" applyNumberFormat="1" applyFont="1" applyFill="1" applyBorder="1" applyAlignment="1">
      <alignment horizontal="center" wrapText="1"/>
    </xf>
    <xf numFmtId="0" fontId="21" fillId="0" borderId="0" xfId="31" applyFont="1" applyFill="1" applyAlignment="1">
      <alignment horizontal="center" wrapText="1"/>
    </xf>
    <xf numFmtId="171" fontId="18" fillId="0" borderId="0" xfId="16" applyNumberFormat="1" applyFont="1" applyFill="1" applyAlignment="1">
      <alignment horizontal="center" wrapText="1"/>
    </xf>
    <xf numFmtId="0" fontId="20" fillId="0" borderId="0" xfId="31" applyFont="1" applyFill="1" applyAlignment="1">
      <alignment horizontal="center"/>
    </xf>
    <xf numFmtId="0" fontId="22" fillId="0" borderId="0" xfId="31" applyFont="1" applyFill="1" applyAlignment="1">
      <alignment horizontal="center"/>
    </xf>
    <xf numFmtId="0" fontId="22" fillId="0" borderId="0" xfId="31" applyFont="1" applyFill="1"/>
    <xf numFmtId="4" fontId="20" fillId="0" borderId="0" xfId="31" applyNumberFormat="1" applyFont="1" applyFill="1" applyAlignment="1">
      <alignment horizontal="center"/>
    </xf>
    <xf numFmtId="0" fontId="21" fillId="0" borderId="0" xfId="31" applyFont="1" applyFill="1" applyAlignment="1">
      <alignment horizontal="center"/>
    </xf>
    <xf numFmtId="166" fontId="20" fillId="0" borderId="0" xfId="31" applyNumberFormat="1" applyFont="1" applyFill="1" applyAlignment="1">
      <alignment horizontal="center"/>
    </xf>
    <xf numFmtId="166" fontId="21" fillId="0" borderId="0" xfId="31" applyNumberFormat="1" applyFont="1" applyFill="1"/>
    <xf numFmtId="0" fontId="20" fillId="0" borderId="0" xfId="31" quotePrefix="1" applyFont="1" applyFill="1" applyAlignment="1">
      <alignment horizontal="center"/>
    </xf>
    <xf numFmtId="171" fontId="20" fillId="0" borderId="0" xfId="16" quotePrefix="1" applyNumberFormat="1" applyFont="1" applyFill="1"/>
    <xf numFmtId="166" fontId="20" fillId="0" borderId="0" xfId="4" quotePrefix="1" applyNumberFormat="1" applyFont="1" applyFill="1"/>
    <xf numFmtId="166" fontId="20" fillId="0" borderId="3" xfId="4" quotePrefix="1" applyNumberFormat="1" applyFont="1" applyFill="1" applyBorder="1"/>
    <xf numFmtId="171" fontId="18" fillId="0" borderId="0" xfId="16" quotePrefix="1" applyNumberFormat="1" applyFont="1" applyFill="1"/>
    <xf numFmtId="171" fontId="20" fillId="0" borderId="3" xfId="16" applyNumberFormat="1" applyFont="1" applyFill="1" applyBorder="1"/>
    <xf numFmtId="171" fontId="24" fillId="0" borderId="0" xfId="16" applyNumberFormat="1" applyFont="1" applyFill="1"/>
    <xf numFmtId="166" fontId="22" fillId="0" borderId="0" xfId="31" applyNumberFormat="1" applyFont="1" applyFill="1"/>
    <xf numFmtId="169" fontId="20" fillId="0" borderId="0" xfId="39" applyNumberFormat="1" applyFont="1" applyFill="1" applyAlignment="1">
      <alignment horizontal="center"/>
    </xf>
    <xf numFmtId="10" fontId="22" fillId="0" borderId="0" xfId="5" applyNumberFormat="1" applyFont="1" applyFill="1"/>
    <xf numFmtId="10" fontId="20" fillId="0" borderId="0" xfId="5" applyNumberFormat="1" applyFont="1" applyFill="1" applyAlignment="1">
      <alignment horizontal="center"/>
    </xf>
    <xf numFmtId="166" fontId="22" fillId="0" borderId="0" xfId="5" applyNumberFormat="1" applyFont="1" applyFill="1"/>
    <xf numFmtId="166" fontId="20" fillId="0" borderId="0" xfId="5" applyNumberFormat="1" applyFont="1" applyFill="1" applyAlignment="1">
      <alignment horizontal="center"/>
    </xf>
    <xf numFmtId="10" fontId="22" fillId="0" borderId="0" xfId="31" applyNumberFormat="1" applyFont="1" applyFill="1"/>
    <xf numFmtId="10" fontId="20" fillId="0" borderId="0" xfId="31" applyNumberFormat="1" applyFont="1" applyFill="1" applyAlignment="1">
      <alignment horizontal="center"/>
    </xf>
    <xf numFmtId="170" fontId="20" fillId="0" borderId="0" xfId="31" applyNumberFormat="1" applyFont="1" applyFill="1"/>
    <xf numFmtId="170" fontId="20" fillId="0" borderId="0" xfId="31" applyNumberFormat="1" applyFont="1" applyFill="1" applyAlignment="1">
      <alignment horizontal="center"/>
    </xf>
    <xf numFmtId="37" fontId="38" fillId="0" borderId="24" xfId="54" applyNumberFormat="1" applyFont="1" applyFill="1" applyBorder="1" applyProtection="1"/>
    <xf numFmtId="166" fontId="20" fillId="0" borderId="0" xfId="4" applyNumberFormat="1" applyFont="1" applyFill="1" applyBorder="1"/>
    <xf numFmtId="166" fontId="20" fillId="0" borderId="0" xfId="16" applyNumberFormat="1" applyFont="1" applyFill="1" applyBorder="1"/>
    <xf numFmtId="41" fontId="20" fillId="0" borderId="0" xfId="31" applyNumberFormat="1" applyFont="1" applyFill="1"/>
    <xf numFmtId="44" fontId="20" fillId="0" borderId="0" xfId="31" applyNumberFormat="1" applyFont="1" applyFill="1"/>
    <xf numFmtId="43" fontId="20" fillId="0" borderId="0" xfId="31" applyNumberFormat="1" applyFont="1" applyFill="1"/>
    <xf numFmtId="3" fontId="20" fillId="0" borderId="0" xfId="31" applyNumberFormat="1" applyFont="1" applyFill="1"/>
    <xf numFmtId="37" fontId="31" fillId="0" borderId="0" xfId="0" applyNumberFormat="1" applyFont="1" applyFill="1"/>
    <xf numFmtId="0" fontId="42" fillId="0" borderId="0" xfId="0" applyFont="1" applyFill="1"/>
    <xf numFmtId="166" fontId="42" fillId="0" borderId="0" xfId="4" applyNumberFormat="1" applyFont="1" applyFill="1"/>
    <xf numFmtId="166" fontId="19" fillId="0" borderId="0" xfId="4" applyNumberFormat="1" applyFont="1" applyFill="1"/>
    <xf numFmtId="0" fontId="42" fillId="0" borderId="0" xfId="0" applyFont="1" applyFill="1" applyAlignment="1">
      <alignment horizontal="left" indent="1"/>
    </xf>
    <xf numFmtId="2" fontId="31" fillId="0" borderId="0" xfId="0" applyNumberFormat="1" applyFont="1" applyFill="1"/>
    <xf numFmtId="3" fontId="20" fillId="0" borderId="0" xfId="0" applyNumberFormat="1" applyFont="1" applyFill="1"/>
    <xf numFmtId="43" fontId="31" fillId="0" borderId="0" xfId="4" applyFont="1" applyFill="1"/>
    <xf numFmtId="170" fontId="31" fillId="0" borderId="0" xfId="4" applyNumberFormat="1" applyFont="1" applyFill="1"/>
    <xf numFmtId="10" fontId="31" fillId="0" borderId="0" xfId="0" applyNumberFormat="1" applyFont="1" applyFill="1" applyAlignment="1">
      <alignment horizontal="center"/>
    </xf>
    <xf numFmtId="39" fontId="20" fillId="0" borderId="0" xfId="0" applyNumberFormat="1" applyFont="1" applyAlignment="1">
      <alignment horizontal="center"/>
    </xf>
    <xf numFmtId="166" fontId="31" fillId="0" borderId="3" xfId="4" applyNumberFormat="1" applyFont="1" applyFill="1" applyBorder="1"/>
    <xf numFmtId="43" fontId="20" fillId="0" borderId="0" xfId="4" applyNumberFormat="1" applyFont="1"/>
    <xf numFmtId="0" fontId="18" fillId="0" borderId="0" xfId="0" applyFont="1" applyFill="1" applyBorder="1"/>
    <xf numFmtId="0" fontId="18" fillId="0" borderId="0" xfId="0" quotePrefix="1" applyFont="1" applyFill="1" applyBorder="1" applyAlignment="1">
      <alignment horizontal="right"/>
    </xf>
    <xf numFmtId="0" fontId="18" fillId="0" borderId="0" xfId="0" quotePrefix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center"/>
    </xf>
    <xf numFmtId="37" fontId="18" fillId="0" borderId="1" xfId="58" applyNumberFormat="1" applyFont="1" applyFill="1" applyBorder="1" applyAlignment="1" applyProtection="1">
      <alignment horizontal="center" wrapText="1"/>
    </xf>
    <xf numFmtId="37" fontId="18" fillId="0" borderId="1" xfId="58" quotePrefix="1" applyNumberFormat="1" applyFont="1" applyFill="1" applyBorder="1" applyAlignment="1" applyProtection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quotePrefix="1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2"/>
    </xf>
    <xf numFmtId="176" fontId="20" fillId="0" borderId="0" xfId="0" applyNumberFormat="1" applyFont="1" applyFill="1" applyBorder="1" applyAlignment="1">
      <alignment horizontal="center"/>
    </xf>
    <xf numFmtId="176" fontId="20" fillId="0" borderId="0" xfId="4" applyNumberFormat="1" applyFont="1" applyFill="1" applyBorder="1" applyAlignment="1">
      <alignment horizontal="center"/>
    </xf>
    <xf numFmtId="37" fontId="19" fillId="0" borderId="0" xfId="59" applyFont="1" applyFill="1" applyBorder="1"/>
    <xf numFmtId="37" fontId="20" fillId="0" borderId="0" xfId="59" applyFont="1" applyFill="1" applyBorder="1" applyAlignment="1">
      <alignment horizontal="left" indent="1"/>
    </xf>
    <xf numFmtId="37" fontId="20" fillId="0" borderId="0" xfId="59" quotePrefix="1" applyFont="1" applyFill="1" applyBorder="1" applyAlignment="1">
      <alignment horizontal="left" indent="1"/>
    </xf>
    <xf numFmtId="178" fontId="20" fillId="0" borderId="0" xfId="0" applyNumberFormat="1" applyFont="1" applyFill="1" applyBorder="1" applyAlignment="1">
      <alignment horizontal="center"/>
    </xf>
    <xf numFmtId="37" fontId="19" fillId="0" borderId="0" xfId="59" quotePrefix="1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 horizontal="center"/>
    </xf>
    <xf numFmtId="37" fontId="20" fillId="0" borderId="0" xfId="59" quotePrefix="1" applyFont="1" applyFill="1" applyBorder="1" applyAlignment="1">
      <alignment horizontal="left" indent="2"/>
    </xf>
    <xf numFmtId="179" fontId="20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20" fillId="0" borderId="0" xfId="58" applyFont="1" applyFill="1" applyBorder="1"/>
    <xf numFmtId="0" fontId="18" fillId="0" borderId="0" xfId="58" applyFont="1" applyFill="1" applyBorder="1" applyAlignment="1">
      <alignment horizontal="right"/>
    </xf>
    <xf numFmtId="0" fontId="20" fillId="0" borderId="0" xfId="60" quotePrefix="1" applyFont="1" applyFill="1" applyBorder="1" applyAlignment="1">
      <alignment horizontal="left"/>
    </xf>
    <xf numFmtId="0" fontId="20" fillId="0" borderId="0" xfId="32" applyFont="1" applyFill="1" applyBorder="1"/>
    <xf numFmtId="0" fontId="18" fillId="0" borderId="1" xfId="58" applyFont="1" applyFill="1" applyBorder="1" applyAlignment="1">
      <alignment horizontal="center" wrapText="1"/>
    </xf>
    <xf numFmtId="37" fontId="18" fillId="0" borderId="1" xfId="58" applyNumberFormat="1" applyFont="1" applyFill="1" applyBorder="1" applyAlignment="1" applyProtection="1">
      <alignment horizontal="centerContinuous" wrapText="1"/>
    </xf>
    <xf numFmtId="37" fontId="19" fillId="0" borderId="0" xfId="58" quotePrefix="1" applyNumberFormat="1" applyFont="1" applyFill="1" applyBorder="1" applyAlignment="1" applyProtection="1">
      <alignment horizontal="left"/>
    </xf>
    <xf numFmtId="3" fontId="20" fillId="0" borderId="3" xfId="0" applyNumberFormat="1" applyFont="1" applyFill="1" applyBorder="1"/>
    <xf numFmtId="0" fontId="20" fillId="0" borderId="0" xfId="0" applyFont="1" applyFill="1" applyBorder="1" applyAlignment="1">
      <alignment horizontal="left" indent="3"/>
    </xf>
    <xf numFmtId="37" fontId="20" fillId="0" borderId="0" xfId="58" quotePrefix="1" applyNumberFormat="1" applyFont="1" applyFill="1" applyBorder="1" applyAlignment="1" applyProtection="1">
      <alignment horizontal="left" indent="2"/>
    </xf>
    <xf numFmtId="3" fontId="18" fillId="0" borderId="0" xfId="0" applyNumberFormat="1" applyFont="1" applyFill="1" applyAlignment="1">
      <alignment horizontal="center"/>
    </xf>
    <xf numFmtId="0" fontId="20" fillId="0" borderId="0" xfId="0" quotePrefix="1" applyFont="1" applyFill="1" applyBorder="1" applyAlignment="1">
      <alignment horizontal="left" indent="4"/>
    </xf>
    <xf numFmtId="0" fontId="20" fillId="0" borderId="0" xfId="0" quotePrefix="1" applyFont="1" applyFill="1" applyBorder="1" applyAlignment="1">
      <alignment horizontal="left" indent="2"/>
    </xf>
    <xf numFmtId="0" fontId="20" fillId="0" borderId="0" xfId="0" quotePrefix="1" applyFont="1" applyFill="1" applyBorder="1" applyAlignment="1">
      <alignment horizontal="left" indent="5"/>
    </xf>
    <xf numFmtId="37" fontId="20" fillId="0" borderId="0" xfId="0" applyNumberFormat="1" applyFont="1" applyFill="1" applyBorder="1" applyAlignment="1" applyProtection="1">
      <alignment horizontal="left" indent="2"/>
    </xf>
    <xf numFmtId="37" fontId="20" fillId="0" borderId="0" xfId="0" quotePrefix="1" applyNumberFormat="1" applyFont="1" applyFill="1" applyBorder="1" applyAlignment="1" applyProtection="1">
      <alignment horizontal="left" indent="2"/>
    </xf>
    <xf numFmtId="37" fontId="20" fillId="0" borderId="0" xfId="0" applyNumberFormat="1" applyFont="1" applyFill="1" applyBorder="1" applyAlignment="1" applyProtection="1">
      <alignment horizontal="left" indent="3"/>
    </xf>
    <xf numFmtId="43" fontId="20" fillId="0" borderId="0" xfId="4" applyNumberFormat="1" applyFont="1" applyFill="1"/>
    <xf numFmtId="37" fontId="19" fillId="0" borderId="0" xfId="0" quotePrefix="1" applyNumberFormat="1" applyFont="1" applyFill="1" applyBorder="1" applyAlignment="1" applyProtection="1">
      <alignment horizontal="left"/>
    </xf>
    <xf numFmtId="37" fontId="20" fillId="0" borderId="0" xfId="0" applyNumberFormat="1" applyFont="1" applyFill="1" applyBorder="1" applyAlignment="1" applyProtection="1">
      <alignment horizontal="left" indent="1"/>
    </xf>
    <xf numFmtId="0" fontId="18" fillId="0" borderId="0" xfId="0" applyFont="1" applyFill="1" applyAlignment="1">
      <alignment horizontal="left"/>
    </xf>
    <xf numFmtId="37" fontId="20" fillId="0" borderId="0" xfId="0" quotePrefix="1" applyNumberFormat="1" applyFont="1" applyFill="1" applyBorder="1" applyAlignment="1" applyProtection="1">
      <alignment horizontal="left" indent="1"/>
    </xf>
    <xf numFmtId="168" fontId="20" fillId="0" borderId="0" xfId="4" applyNumberFormat="1" applyFont="1" applyFill="1"/>
    <xf numFmtId="0" fontId="20" fillId="0" borderId="0" xfId="0" quotePrefix="1" applyNumberFormat="1" applyFont="1" applyFill="1" applyBorder="1" applyAlignment="1">
      <alignment horizontal="left" indent="1"/>
    </xf>
    <xf numFmtId="170" fontId="20" fillId="0" borderId="0" xfId="4" applyNumberFormat="1" applyFont="1" applyFill="1"/>
    <xf numFmtId="0" fontId="20" fillId="0" borderId="0" xfId="0" quotePrefix="1" applyNumberFormat="1" applyFont="1" applyFill="1" applyBorder="1" applyAlignment="1">
      <alignment horizontal="left" indent="3"/>
    </xf>
    <xf numFmtId="7" fontId="20" fillId="0" borderId="0" xfId="4" applyNumberFormat="1" applyFont="1" applyFill="1"/>
    <xf numFmtId="37" fontId="20" fillId="0" borderId="0" xfId="4" applyNumberFormat="1" applyFont="1" applyFill="1"/>
    <xf numFmtId="170" fontId="18" fillId="0" borderId="0" xfId="4" applyNumberFormat="1" applyFont="1" applyFill="1" applyAlignment="1">
      <alignment horizontal="center"/>
    </xf>
    <xf numFmtId="168" fontId="18" fillId="0" borderId="0" xfId="4" applyNumberFormat="1" applyFont="1" applyFill="1" applyAlignment="1">
      <alignment horizontal="center"/>
    </xf>
    <xf numFmtId="37" fontId="20" fillId="0" borderId="0" xfId="0" applyNumberFormat="1" applyFont="1" applyFill="1" applyBorder="1" applyProtection="1"/>
    <xf numFmtId="37" fontId="20" fillId="0" borderId="0" xfId="0" applyNumberFormat="1" applyFont="1" applyFill="1"/>
    <xf numFmtId="3" fontId="31" fillId="0" borderId="0" xfId="0" applyNumberFormat="1" applyFont="1" applyFill="1"/>
    <xf numFmtId="9" fontId="31" fillId="0" borderId="0" xfId="39" applyNumberFormat="1" applyFont="1" applyFill="1"/>
    <xf numFmtId="3" fontId="31" fillId="0" borderId="0" xfId="0" applyNumberFormat="1" applyFont="1" applyFill="1" applyAlignment="1">
      <alignment horizontal="center"/>
    </xf>
    <xf numFmtId="39" fontId="31" fillId="0" borderId="0" xfId="0" applyNumberFormat="1" applyFont="1" applyFill="1"/>
    <xf numFmtId="37" fontId="31" fillId="0" borderId="0" xfId="0" applyNumberFormat="1" applyFont="1" applyFill="1" applyAlignment="1">
      <alignment horizontal="center"/>
    </xf>
    <xf numFmtId="37" fontId="20" fillId="0" borderId="3" xfId="0" applyNumberFormat="1" applyFont="1" applyFill="1" applyBorder="1"/>
    <xf numFmtId="37" fontId="31" fillId="0" borderId="3" xfId="0" applyNumberFormat="1" applyFont="1" applyFill="1" applyBorder="1"/>
    <xf numFmtId="37" fontId="31" fillId="0" borderId="0" xfId="0" applyNumberFormat="1" applyFont="1" applyBorder="1"/>
    <xf numFmtId="4" fontId="20" fillId="0" borderId="12" xfId="4" applyNumberFormat="1" applyFont="1" applyFill="1" applyBorder="1"/>
    <xf numFmtId="4" fontId="20" fillId="0" borderId="3" xfId="4" applyNumberFormat="1" applyFont="1" applyFill="1" applyBorder="1"/>
    <xf numFmtId="9" fontId="20" fillId="0" borderId="10" xfId="39" applyFont="1" applyFill="1" applyBorder="1"/>
    <xf numFmtId="9" fontId="20" fillId="0" borderId="12" xfId="39" applyFont="1" applyFill="1" applyBorder="1"/>
    <xf numFmtId="9" fontId="20" fillId="0" borderId="3" xfId="39" applyFont="1" applyFill="1" applyBorder="1"/>
    <xf numFmtId="164" fontId="20" fillId="0" borderId="3" xfId="39" applyNumberFormat="1" applyFont="1" applyFill="1" applyBorder="1"/>
    <xf numFmtId="166" fontId="31" fillId="0" borderId="0" xfId="4" applyNumberFormat="1" applyFont="1" applyFill="1" applyBorder="1"/>
    <xf numFmtId="3" fontId="31" fillId="0" borderId="0" xfId="0" applyNumberFormat="1" applyFont="1" applyAlignment="1">
      <alignment horizontal="right"/>
    </xf>
    <xf numFmtId="0" fontId="31" fillId="0" borderId="0" xfId="0" applyFont="1" applyAlignment="1"/>
    <xf numFmtId="4" fontId="20" fillId="0" borderId="0" xfId="0" applyNumberFormat="1" applyFont="1" applyFill="1"/>
    <xf numFmtId="0" fontId="41" fillId="0" borderId="0" xfId="0" applyFont="1" applyBorder="1"/>
    <xf numFmtId="43" fontId="20" fillId="8" borderId="8" xfId="4" applyFont="1" applyFill="1" applyBorder="1"/>
    <xf numFmtId="43" fontId="20" fillId="8" borderId="14" xfId="4" applyFont="1" applyFill="1" applyBorder="1"/>
    <xf numFmtId="3" fontId="31" fillId="0" borderId="0" xfId="0" applyNumberFormat="1" applyFont="1" applyBorder="1"/>
    <xf numFmtId="182" fontId="35" fillId="0" borderId="20" xfId="54" applyNumberFormat="1" applyFont="1" applyFill="1" applyBorder="1" applyProtection="1"/>
    <xf numFmtId="43" fontId="31" fillId="0" borderId="0" xfId="0" applyNumberFormat="1" applyFont="1" applyBorder="1"/>
    <xf numFmtId="3" fontId="31" fillId="0" borderId="0" xfId="0" applyNumberFormat="1" applyFont="1" applyFill="1" applyAlignment="1">
      <alignment horizontal="right"/>
    </xf>
    <xf numFmtId="37" fontId="41" fillId="0" borderId="0" xfId="0" applyNumberFormat="1" applyFont="1" applyFill="1" applyAlignment="1">
      <alignment horizontal="right"/>
    </xf>
    <xf numFmtId="37" fontId="31" fillId="0" borderId="0" xfId="0" applyNumberFormat="1" applyFont="1" applyFill="1" applyAlignment="1">
      <alignment horizontal="right"/>
    </xf>
    <xf numFmtId="0" fontId="18" fillId="0" borderId="0" xfId="31" applyFont="1" applyAlignment="1">
      <alignment horizontal="center"/>
    </xf>
    <xf numFmtId="171" fontId="18" fillId="0" borderId="3" xfId="16" applyNumberFormat="1" applyFont="1" applyBorder="1" applyAlignment="1">
      <alignment horizontal="center" wrapText="1"/>
    </xf>
    <xf numFmtId="171" fontId="18" fillId="0" borderId="0" xfId="16" applyNumberFormat="1" applyFont="1" applyAlignment="1">
      <alignment horizontal="center"/>
    </xf>
    <xf numFmtId="42" fontId="20" fillId="0" borderId="0" xfId="31" applyNumberFormat="1" applyFont="1" applyFill="1"/>
    <xf numFmtId="164" fontId="20" fillId="0" borderId="0" xfId="39" applyNumberFormat="1" applyFont="1" applyFill="1"/>
    <xf numFmtId="0" fontId="18" fillId="0" borderId="0" xfId="31" applyFont="1" applyBorder="1" applyAlignment="1"/>
    <xf numFmtId="0" fontId="18" fillId="0" borderId="0" xfId="31" applyFont="1" applyBorder="1" applyAlignment="1">
      <alignment horizontal="center"/>
    </xf>
    <xf numFmtId="43" fontId="18" fillId="0" borderId="0" xfId="3" applyNumberFormat="1" applyFont="1" applyFill="1" applyBorder="1" applyAlignment="1">
      <alignment horizontal="center" wrapText="1"/>
    </xf>
    <xf numFmtId="0" fontId="20" fillId="0" borderId="0" xfId="31" applyFont="1" applyFill="1" applyBorder="1"/>
    <xf numFmtId="164" fontId="20" fillId="0" borderId="0" xfId="39" applyNumberFormat="1" applyFont="1" applyFill="1" applyBorder="1"/>
    <xf numFmtId="0" fontId="41" fillId="0" borderId="0" xfId="31" applyFont="1" applyFill="1"/>
    <xf numFmtId="37" fontId="35" fillId="0" borderId="20" xfId="54" applyNumberFormat="1" applyFont="1" applyBorder="1" applyAlignment="1">
      <alignment horizontal="left" indent="2"/>
    </xf>
    <xf numFmtId="37" fontId="35" fillId="0" borderId="19" xfId="55" applyNumberFormat="1" applyFont="1" applyFill="1" applyBorder="1" applyProtection="1"/>
    <xf numFmtId="42" fontId="20" fillId="0" borderId="0" xfId="39" applyNumberFormat="1" applyFont="1" applyFill="1"/>
    <xf numFmtId="42" fontId="20" fillId="0" borderId="3" xfId="39" applyNumberFormat="1" applyFont="1" applyFill="1" applyBorder="1"/>
    <xf numFmtId="171" fontId="18" fillId="8" borderId="0" xfId="16" applyNumberFormat="1" applyFont="1" applyFill="1"/>
    <xf numFmtId="171" fontId="18" fillId="8" borderId="0" xfId="3" applyNumberFormat="1" applyFont="1" applyFill="1"/>
    <xf numFmtId="171" fontId="18" fillId="8" borderId="0" xfId="2" applyNumberFormat="1" applyFont="1" applyFill="1"/>
    <xf numFmtId="171" fontId="20" fillId="10" borderId="0" xfId="31" applyNumberFormat="1" applyFont="1" applyFill="1"/>
    <xf numFmtId="171" fontId="20" fillId="8" borderId="0" xfId="31" applyNumberFormat="1" applyFont="1" applyFill="1"/>
    <xf numFmtId="171" fontId="20" fillId="10" borderId="3" xfId="31" applyNumberFormat="1" applyFont="1" applyFill="1" applyBorder="1"/>
    <xf numFmtId="171" fontId="18" fillId="0" borderId="0" xfId="16" applyNumberFormat="1" applyFont="1"/>
    <xf numFmtId="171" fontId="18" fillId="8" borderId="0" xfId="16" quotePrefix="1" applyNumberFormat="1" applyFont="1" applyFill="1"/>
    <xf numFmtId="44" fontId="20" fillId="8" borderId="0" xfId="31" applyNumberFormat="1" applyFont="1" applyFill="1"/>
    <xf numFmtId="44" fontId="20" fillId="0" borderId="0" xfId="31" applyNumberFormat="1" applyFont="1"/>
    <xf numFmtId="171" fontId="31" fillId="0" borderId="0" xfId="16" applyNumberFormat="1" applyFont="1"/>
    <xf numFmtId="171" fontId="31" fillId="10" borderId="0" xfId="16" applyNumberFormat="1" applyFont="1" applyFill="1"/>
    <xf numFmtId="166" fontId="31" fillId="10" borderId="0" xfId="4" applyNumberFormat="1" applyFont="1" applyFill="1"/>
    <xf numFmtId="166" fontId="31" fillId="10" borderId="3" xfId="4" applyNumberFormat="1" applyFont="1" applyFill="1" applyBorder="1"/>
    <xf numFmtId="44" fontId="31" fillId="0" borderId="0" xfId="16" quotePrefix="1" applyNumberFormat="1" applyFont="1"/>
    <xf numFmtId="44" fontId="31" fillId="10" borderId="0" xfId="16" quotePrefix="1" applyNumberFormat="1" applyFont="1" applyFill="1"/>
    <xf numFmtId="44" fontId="31" fillId="0" borderId="0" xfId="4" quotePrefix="1" applyNumberFormat="1" applyFont="1"/>
    <xf numFmtId="44" fontId="31" fillId="10" borderId="0" xfId="4" quotePrefix="1" applyNumberFormat="1" applyFont="1" applyFill="1"/>
    <xf numFmtId="44" fontId="31" fillId="0" borderId="3" xfId="4" quotePrefix="1" applyNumberFormat="1" applyFont="1" applyBorder="1"/>
    <xf numFmtId="44" fontId="31" fillId="10" borderId="3" xfId="4" quotePrefix="1" applyNumberFormat="1" applyFont="1" applyFill="1" applyBorder="1"/>
    <xf numFmtId="171" fontId="31" fillId="0" borderId="0" xfId="16" quotePrefix="1" applyNumberFormat="1" applyFont="1"/>
    <xf numFmtId="171" fontId="31" fillId="10" borderId="0" xfId="16" quotePrefix="1" applyNumberFormat="1" applyFont="1" applyFill="1"/>
    <xf numFmtId="166" fontId="31" fillId="0" borderId="0" xfId="4" quotePrefix="1" applyNumberFormat="1" applyFont="1"/>
    <xf numFmtId="166" fontId="31" fillId="10" borderId="0" xfId="4" quotePrefix="1" applyNumberFormat="1" applyFont="1" applyFill="1"/>
    <xf numFmtId="166" fontId="31" fillId="0" borderId="3" xfId="4" quotePrefix="1" applyNumberFormat="1" applyFont="1" applyBorder="1"/>
    <xf numFmtId="166" fontId="31" fillId="10" borderId="3" xfId="4" quotePrefix="1" applyNumberFormat="1" applyFont="1" applyFill="1" applyBorder="1"/>
    <xf numFmtId="171" fontId="31" fillId="10" borderId="0" xfId="4" quotePrefix="1" applyNumberFormat="1" applyFont="1" applyFill="1"/>
    <xf numFmtId="171" fontId="31" fillId="10" borderId="3" xfId="4" quotePrefix="1" applyNumberFormat="1" applyFont="1" applyFill="1" applyBorder="1"/>
    <xf numFmtId="171" fontId="24" fillId="0" borderId="0" xfId="16" applyNumberFormat="1" applyFont="1"/>
    <xf numFmtId="171" fontId="20" fillId="0" borderId="3" xfId="31" applyNumberFormat="1" applyFont="1" applyBorder="1"/>
    <xf numFmtId="171" fontId="20" fillId="0" borderId="0" xfId="31" applyNumberFormat="1" applyFont="1"/>
    <xf numFmtId="171" fontId="31" fillId="0" borderId="0" xfId="4" applyNumberFormat="1" applyFont="1"/>
    <xf numFmtId="171" fontId="31" fillId="10" borderId="0" xfId="4" applyNumberFormat="1" applyFont="1" applyFill="1"/>
    <xf numFmtId="171" fontId="31" fillId="0" borderId="3" xfId="4" applyNumberFormat="1" applyFont="1" applyBorder="1"/>
    <xf numFmtId="171" fontId="31" fillId="10" borderId="3" xfId="4" applyNumberFormat="1" applyFont="1" applyFill="1" applyBorder="1"/>
    <xf numFmtId="37" fontId="31" fillId="0" borderId="0" xfId="0" applyNumberFormat="1" applyFont="1"/>
    <xf numFmtId="37" fontId="35" fillId="0" borderId="20" xfId="54" quotePrefix="1" applyNumberFormat="1" applyFont="1" applyBorder="1" applyAlignment="1">
      <alignment horizontal="left" indent="1"/>
    </xf>
    <xf numFmtId="0" fontId="37" fillId="0" borderId="20" xfId="54" quotePrefix="1" applyFont="1" applyBorder="1" applyAlignment="1">
      <alignment horizontal="left"/>
    </xf>
    <xf numFmtId="37" fontId="37" fillId="0" borderId="23" xfId="54" applyNumberFormat="1" applyFont="1" applyBorder="1" applyAlignment="1">
      <alignment horizontal="left"/>
    </xf>
    <xf numFmtId="37" fontId="37" fillId="0" borderId="20" xfId="54" applyNumberFormat="1" applyFont="1" applyBorder="1" applyAlignment="1">
      <alignment horizontal="left"/>
    </xf>
    <xf numFmtId="37" fontId="31" fillId="0" borderId="0" xfId="0" applyNumberFormat="1" applyFont="1" applyFill="1" applyBorder="1"/>
    <xf numFmtId="184" fontId="20" fillId="0" borderId="0" xfId="0" applyNumberFormat="1" applyFont="1" applyFill="1"/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 indent="3"/>
    </xf>
    <xf numFmtId="43" fontId="31" fillId="0" borderId="0" xfId="4" applyNumberFormat="1" applyFont="1" applyFill="1"/>
    <xf numFmtId="180" fontId="31" fillId="0" borderId="0" xfId="0" applyNumberFormat="1" applyFont="1" applyFill="1"/>
    <xf numFmtId="43" fontId="20" fillId="8" borderId="0" xfId="4" applyFont="1" applyFill="1" applyBorder="1"/>
    <xf numFmtId="0" fontId="45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0" fillId="0" borderId="6" xfId="0" applyFont="1" applyBorder="1"/>
    <xf numFmtId="0" fontId="20" fillId="0" borderId="0" xfId="0" quotePrefix="1" applyFont="1" applyBorder="1" applyAlignment="1">
      <alignment horizontal="left"/>
    </xf>
    <xf numFmtId="0" fontId="20" fillId="0" borderId="0" xfId="0" quotePrefix="1" applyFont="1" applyBorder="1" applyAlignment="1">
      <alignment horizontal="left" indent="2"/>
    </xf>
    <xf numFmtId="0" fontId="20" fillId="0" borderId="0" xfId="0" quotePrefix="1" applyFont="1" applyBorder="1" applyAlignment="1">
      <alignment horizontal="left" indent="3"/>
    </xf>
    <xf numFmtId="0" fontId="20" fillId="0" borderId="0" xfId="0" applyFont="1" applyBorder="1" applyAlignment="1">
      <alignment horizontal="left" indent="3"/>
    </xf>
    <xf numFmtId="0" fontId="20" fillId="0" borderId="0" xfId="0" quotePrefix="1" applyNumberFormat="1" applyFont="1" applyFill="1" applyBorder="1" applyAlignment="1">
      <alignment horizontal="left" indent="2"/>
    </xf>
    <xf numFmtId="0" fontId="20" fillId="0" borderId="0" xfId="0" quotePrefix="1" applyNumberFormat="1" applyFont="1" applyFill="1" applyBorder="1" applyAlignment="1">
      <alignment horizontal="left" indent="5"/>
    </xf>
    <xf numFmtId="37" fontId="20" fillId="0" borderId="0" xfId="0" quotePrefix="1" applyNumberFormat="1" applyFont="1" applyFill="1" applyBorder="1" applyAlignment="1" applyProtection="1">
      <alignment horizontal="left" indent="3"/>
    </xf>
    <xf numFmtId="0" fontId="20" fillId="0" borderId="3" xfId="0" quotePrefix="1" applyFont="1" applyFill="1" applyBorder="1" applyAlignment="1">
      <alignment horizontal="left"/>
    </xf>
    <xf numFmtId="0" fontId="20" fillId="0" borderId="0" xfId="0" quotePrefix="1" applyFont="1" applyFill="1" applyBorder="1" applyAlignment="1">
      <alignment horizontal="left"/>
    </xf>
    <xf numFmtId="4" fontId="20" fillId="0" borderId="10" xfId="4" applyNumberFormat="1" applyFont="1" applyFill="1" applyBorder="1"/>
    <xf numFmtId="170" fontId="31" fillId="0" borderId="8" xfId="4" applyNumberFormat="1" applyFont="1" applyFill="1" applyBorder="1"/>
    <xf numFmtId="39" fontId="20" fillId="0" borderId="8" xfId="4" applyNumberFormat="1" applyFont="1" applyFill="1" applyBorder="1"/>
    <xf numFmtId="170" fontId="18" fillId="8" borderId="14" xfId="4" applyNumberFormat="1" applyFont="1" applyFill="1" applyBorder="1"/>
    <xf numFmtId="3" fontId="20" fillId="0" borderId="8" xfId="0" applyNumberFormat="1" applyFont="1" applyFill="1" applyBorder="1"/>
    <xf numFmtId="0" fontId="20" fillId="0" borderId="28" xfId="0" applyFont="1" applyFill="1" applyBorder="1"/>
    <xf numFmtId="3" fontId="20" fillId="0" borderId="29" xfId="4" applyNumberFormat="1" applyFont="1" applyFill="1" applyBorder="1"/>
    <xf numFmtId="168" fontId="20" fillId="0" borderId="29" xfId="4" applyNumberFormat="1" applyFont="1" applyFill="1" applyBorder="1"/>
    <xf numFmtId="0" fontId="20" fillId="0" borderId="29" xfId="0" applyFont="1" applyFill="1" applyBorder="1"/>
    <xf numFmtId="179" fontId="20" fillId="0" borderId="29" xfId="4" applyNumberFormat="1" applyFont="1" applyFill="1" applyBorder="1"/>
    <xf numFmtId="170" fontId="20" fillId="0" borderId="29" xfId="4" applyNumberFormat="1" applyFont="1" applyFill="1" applyBorder="1"/>
    <xf numFmtId="170" fontId="18" fillId="8" borderId="29" xfId="4" applyNumberFormat="1" applyFont="1" applyFill="1" applyBorder="1"/>
    <xf numFmtId="170" fontId="20" fillId="8" borderId="29" xfId="4" applyNumberFormat="1" applyFont="1" applyFill="1" applyBorder="1"/>
    <xf numFmtId="43" fontId="20" fillId="8" borderId="29" xfId="4" applyFont="1" applyFill="1" applyBorder="1"/>
    <xf numFmtId="43" fontId="20" fillId="0" borderId="29" xfId="4" applyFont="1" applyFill="1" applyBorder="1"/>
    <xf numFmtId="4" fontId="20" fillId="0" borderId="30" xfId="4" applyNumberFormat="1" applyFont="1" applyFill="1" applyBorder="1"/>
    <xf numFmtId="0" fontId="45" fillId="0" borderId="1" xfId="0" applyFont="1" applyBorder="1" applyAlignment="1">
      <alignment horizontal="center" wrapText="1"/>
    </xf>
    <xf numFmtId="179" fontId="20" fillId="0" borderId="29" xfId="4" applyNumberFormat="1" applyFont="1" applyFill="1" applyBorder="1" applyAlignment="1">
      <alignment horizontal="right"/>
    </xf>
    <xf numFmtId="39" fontId="20" fillId="0" borderId="29" xfId="4" applyNumberFormat="1" applyFont="1" applyFill="1" applyBorder="1" applyAlignment="1">
      <alignment horizontal="right"/>
    </xf>
    <xf numFmtId="9" fontId="20" fillId="0" borderId="30" xfId="39" applyFont="1" applyFill="1" applyBorder="1"/>
    <xf numFmtId="37" fontId="20" fillId="0" borderId="0" xfId="4" applyNumberFormat="1" applyFont="1" applyFill="1" applyAlignment="1">
      <alignment horizontal="right"/>
    </xf>
    <xf numFmtId="37" fontId="20" fillId="0" borderId="0" xfId="0" applyNumberFormat="1" applyFont="1" applyFill="1" applyBorder="1"/>
    <xf numFmtId="9" fontId="20" fillId="0" borderId="10" xfId="39" applyNumberFormat="1" applyFont="1" applyFill="1" applyBorder="1"/>
    <xf numFmtId="9" fontId="20" fillId="0" borderId="12" xfId="39" applyNumberFormat="1" applyFont="1" applyFill="1" applyBorder="1"/>
    <xf numFmtId="9" fontId="20" fillId="0" borderId="3" xfId="39" applyNumberFormat="1" applyFont="1" applyFill="1" applyBorder="1"/>
    <xf numFmtId="9" fontId="20" fillId="0" borderId="30" xfId="39" applyNumberFormat="1" applyFont="1" applyFill="1" applyBorder="1"/>
    <xf numFmtId="0" fontId="18" fillId="0" borderId="13" xfId="0" applyFont="1" applyBorder="1" applyAlignment="1">
      <alignment horizontal="center" wrapText="1"/>
    </xf>
    <xf numFmtId="3" fontId="31" fillId="0" borderId="0" xfId="0" applyNumberFormat="1" applyFont="1" applyFill="1" applyBorder="1"/>
    <xf numFmtId="179" fontId="31" fillId="0" borderId="0" xfId="0" applyNumberFormat="1" applyFont="1" applyBorder="1"/>
    <xf numFmtId="170" fontId="31" fillId="0" borderId="0" xfId="0" applyNumberFormat="1" applyFont="1" applyBorder="1"/>
    <xf numFmtId="4" fontId="20" fillId="0" borderId="0" xfId="4" applyNumberFormat="1" applyFont="1" applyFill="1" applyBorder="1"/>
    <xf numFmtId="0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18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/>
    <xf numFmtId="0" fontId="45" fillId="0" borderId="31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170" fontId="18" fillId="8" borderId="0" xfId="4" applyNumberFormat="1" applyFont="1" applyFill="1" applyBorder="1"/>
    <xf numFmtId="37" fontId="19" fillId="0" borderId="0" xfId="0" applyNumberFormat="1" applyFont="1" applyFill="1" applyBorder="1" applyAlignment="1" applyProtection="1">
      <alignment horizontal="left" wrapText="1"/>
    </xf>
    <xf numFmtId="37" fontId="20" fillId="0" borderId="0" xfId="0" applyNumberFormat="1" applyFont="1" applyFill="1" applyBorder="1" applyAlignment="1" applyProtection="1">
      <alignment horizontal="left" wrapText="1"/>
    </xf>
    <xf numFmtId="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indent="1"/>
    </xf>
    <xf numFmtId="4" fontId="20" fillId="0" borderId="3" xfId="0" applyNumberFormat="1" applyFont="1" applyFill="1" applyBorder="1" applyAlignment="1">
      <alignment horizontal="center"/>
    </xf>
    <xf numFmtId="4" fontId="20" fillId="0" borderId="0" xfId="4" applyNumberFormat="1" applyFont="1" applyFill="1" applyBorder="1" applyAlignment="1">
      <alignment horizontal="center"/>
    </xf>
    <xf numFmtId="183" fontId="31" fillId="0" borderId="0" xfId="0" applyNumberFormat="1" applyFont="1" applyFill="1" applyAlignment="1">
      <alignment horizontal="center"/>
    </xf>
    <xf numFmtId="41" fontId="31" fillId="0" borderId="0" xfId="0" applyNumberFormat="1" applyFont="1" applyFill="1"/>
    <xf numFmtId="10" fontId="31" fillId="0" borderId="0" xfId="39" applyNumberFormat="1" applyFont="1" applyFill="1" applyBorder="1"/>
    <xf numFmtId="0" fontId="31" fillId="0" borderId="9" xfId="0" applyFont="1" applyBorder="1" applyAlignment="1">
      <alignment horizontal="left"/>
    </xf>
    <xf numFmtId="0" fontId="31" fillId="0" borderId="5" xfId="0" applyFont="1" applyBorder="1"/>
    <xf numFmtId="0" fontId="31" fillId="0" borderId="11" xfId="0" applyFont="1" applyBorder="1"/>
    <xf numFmtId="0" fontId="31" fillId="0" borderId="8" xfId="0" applyFont="1" applyBorder="1"/>
    <xf numFmtId="0" fontId="31" fillId="0" borderId="14" xfId="0" applyFont="1" applyBorder="1"/>
    <xf numFmtId="0" fontId="31" fillId="0" borderId="12" xfId="0" applyFont="1" applyBorder="1"/>
    <xf numFmtId="185" fontId="31" fillId="0" borderId="0" xfId="4" applyNumberFormat="1" applyFont="1" applyFill="1"/>
    <xf numFmtId="37" fontId="38" fillId="0" borderId="24" xfId="55" applyNumberFormat="1" applyFont="1" applyFill="1" applyBorder="1" applyProtection="1"/>
    <xf numFmtId="37" fontId="46" fillId="0" borderId="20" xfId="54" applyNumberFormat="1" applyFont="1" applyFill="1" applyBorder="1" applyProtection="1"/>
    <xf numFmtId="0" fontId="45" fillId="0" borderId="0" xfId="0" applyFont="1" applyAlignment="1">
      <alignment horizontal="right"/>
    </xf>
    <xf numFmtId="43" fontId="31" fillId="0" borderId="0" xfId="4" applyNumberFormat="1" applyFont="1" applyFill="1" applyBorder="1"/>
    <xf numFmtId="10" fontId="31" fillId="0" borderId="20" xfId="39" applyNumberFormat="1" applyFont="1" applyFill="1" applyBorder="1" applyAlignment="1">
      <alignment horizontal="center"/>
    </xf>
    <xf numFmtId="166" fontId="32" fillId="0" borderId="0" xfId="0" applyNumberFormat="1" applyFont="1" applyFill="1" applyBorder="1"/>
    <xf numFmtId="171" fontId="31" fillId="0" borderId="0" xfId="16" applyNumberFormat="1" applyFont="1" applyFill="1"/>
    <xf numFmtId="37" fontId="20" fillId="0" borderId="20" xfId="54" quotePrefix="1" applyNumberFormat="1" applyFont="1" applyBorder="1" applyAlignment="1">
      <alignment horizontal="left" indent="2"/>
    </xf>
    <xf numFmtId="2" fontId="20" fillId="0" borderId="0" xfId="0" applyNumberFormat="1" applyFont="1" applyFill="1"/>
    <xf numFmtId="42" fontId="20" fillId="0" borderId="0" xfId="31" applyNumberFormat="1" applyFont="1" applyFill="1" applyBorder="1" applyAlignment="1">
      <alignment horizontal="left" indent="1"/>
    </xf>
    <xf numFmtId="42" fontId="20" fillId="0" borderId="0" xfId="31" applyNumberFormat="1" applyFont="1" applyFill="1" applyBorder="1"/>
    <xf numFmtId="164" fontId="31" fillId="0" borderId="0" xfId="39" applyNumberFormat="1" applyFont="1" applyBorder="1"/>
    <xf numFmtId="0" fontId="18" fillId="0" borderId="0" xfId="31" applyFont="1" applyFill="1" applyAlignment="1">
      <alignment horizontal="right"/>
    </xf>
    <xf numFmtId="0" fontId="18" fillId="11" borderId="0" xfId="31" applyFont="1" applyFill="1" applyAlignment="1">
      <alignment horizontal="center"/>
    </xf>
    <xf numFmtId="0" fontId="20" fillId="12" borderId="0" xfId="31" applyFont="1" applyFill="1"/>
    <xf numFmtId="0" fontId="18" fillId="12" borderId="0" xfId="31" applyFont="1" applyFill="1" applyAlignment="1">
      <alignment horizontal="left"/>
    </xf>
    <xf numFmtId="0" fontId="20" fillId="8" borderId="0" xfId="31" applyFont="1" applyFill="1"/>
    <xf numFmtId="0" fontId="18" fillId="8" borderId="0" xfId="31" applyFont="1" applyFill="1" applyBorder="1" applyAlignment="1"/>
    <xf numFmtId="0" fontId="18" fillId="8" borderId="0" xfId="31" applyFont="1" applyFill="1" applyBorder="1" applyAlignment="1">
      <alignment horizontal="center"/>
    </xf>
    <xf numFmtId="43" fontId="18" fillId="8" borderId="0" xfId="3" applyNumberFormat="1" applyFont="1" applyFill="1" applyBorder="1" applyAlignment="1">
      <alignment horizontal="center" wrapText="1"/>
    </xf>
    <xf numFmtId="0" fontId="20" fillId="8" borderId="0" xfId="31" applyFont="1" applyFill="1" applyBorder="1"/>
    <xf numFmtId="42" fontId="20" fillId="8" borderId="0" xfId="31" applyNumberFormat="1" applyFont="1" applyFill="1"/>
    <xf numFmtId="42" fontId="20" fillId="8" borderId="0" xfId="31" applyNumberFormat="1" applyFont="1" applyFill="1" applyBorder="1" applyAlignment="1">
      <alignment horizontal="left" indent="1"/>
    </xf>
    <xf numFmtId="42" fontId="20" fillId="8" borderId="0" xfId="31" applyNumberFormat="1" applyFont="1" applyFill="1" applyBorder="1"/>
    <xf numFmtId="0" fontId="47" fillId="0" borderId="0" xfId="31" applyFont="1" applyFill="1"/>
    <xf numFmtId="0" fontId="48" fillId="0" borderId="0" xfId="31" applyFont="1" applyFill="1"/>
    <xf numFmtId="171" fontId="20" fillId="0" borderId="0" xfId="31" applyNumberFormat="1" applyFont="1" applyFill="1" applyAlignment="1">
      <alignment horizontal="center"/>
    </xf>
    <xf numFmtId="0" fontId="49" fillId="0" borderId="0" xfId="31" applyFont="1" applyFill="1" applyAlignment="1">
      <alignment vertical="top" wrapText="1"/>
    </xf>
    <xf numFmtId="0" fontId="20" fillId="11" borderId="32" xfId="31" applyFont="1" applyFill="1" applyBorder="1"/>
    <xf numFmtId="37" fontId="20" fillId="0" borderId="0" xfId="31" applyNumberFormat="1" applyFont="1" applyFill="1"/>
    <xf numFmtId="37" fontId="20" fillId="13" borderId="0" xfId="31" applyNumberFormat="1" applyFont="1" applyFill="1"/>
    <xf numFmtId="3" fontId="20" fillId="0" borderId="3" xfId="31" applyNumberFormat="1" applyFont="1" applyFill="1" applyBorder="1"/>
    <xf numFmtId="7" fontId="20" fillId="0" borderId="0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168" fontId="18" fillId="0" borderId="8" xfId="4" applyNumberFormat="1" applyFont="1" applyFill="1" applyBorder="1" applyAlignment="1">
      <alignment horizontal="center"/>
    </xf>
    <xf numFmtId="168" fontId="18" fillId="0" borderId="14" xfId="4" applyNumberFormat="1" applyFont="1" applyFill="1" applyBorder="1" applyAlignment="1">
      <alignment horizontal="center"/>
    </xf>
    <xf numFmtId="168" fontId="18" fillId="0" borderId="0" xfId="4" applyNumberFormat="1" applyFont="1" applyFill="1" applyBorder="1" applyAlignment="1">
      <alignment horizontal="center"/>
    </xf>
    <xf numFmtId="168" fontId="18" fillId="0" borderId="29" xfId="4" applyNumberFormat="1" applyFont="1" applyFill="1" applyBorder="1" applyAlignment="1">
      <alignment horizontal="center"/>
    </xf>
    <xf numFmtId="170" fontId="18" fillId="0" borderId="8" xfId="4" applyNumberFormat="1" applyFont="1" applyFill="1" applyBorder="1" applyAlignment="1">
      <alignment horizontal="center"/>
    </xf>
    <xf numFmtId="170" fontId="18" fillId="0" borderId="0" xfId="4" applyNumberFormat="1" applyFont="1" applyFill="1" applyBorder="1" applyAlignment="1">
      <alignment horizontal="center"/>
    </xf>
    <xf numFmtId="170" fontId="45" fillId="0" borderId="8" xfId="4" applyNumberFormat="1" applyFont="1" applyFill="1" applyBorder="1" applyAlignment="1">
      <alignment horizontal="center"/>
    </xf>
    <xf numFmtId="170" fontId="45" fillId="0" borderId="0" xfId="4" applyNumberFormat="1" applyFont="1" applyFill="1" applyBorder="1" applyAlignment="1">
      <alignment horizontal="center"/>
    </xf>
    <xf numFmtId="170" fontId="18" fillId="0" borderId="14" xfId="4" applyNumberFormat="1" applyFont="1" applyFill="1" applyBorder="1" applyAlignment="1">
      <alignment horizontal="center"/>
    </xf>
    <xf numFmtId="170" fontId="45" fillId="0" borderId="14" xfId="4" applyNumberFormat="1" applyFont="1" applyFill="1" applyBorder="1" applyAlignment="1">
      <alignment horizontal="center"/>
    </xf>
    <xf numFmtId="3" fontId="18" fillId="0" borderId="8" xfId="4" applyNumberFormat="1" applyFont="1" applyFill="1" applyBorder="1" applyAlignment="1">
      <alignment horizontal="center"/>
    </xf>
    <xf numFmtId="3" fontId="18" fillId="0" borderId="14" xfId="4" applyNumberFormat="1" applyFont="1" applyFill="1" applyBorder="1" applyAlignment="1">
      <alignment horizontal="center"/>
    </xf>
    <xf numFmtId="3" fontId="18" fillId="0" borderId="0" xfId="4" applyNumberFormat="1" applyFont="1" applyFill="1" applyBorder="1" applyAlignment="1">
      <alignment horizontal="center"/>
    </xf>
    <xf numFmtId="3" fontId="18" fillId="0" borderId="29" xfId="4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36" fillId="0" borderId="20" xfId="54" quotePrefix="1" applyFont="1" applyFill="1" applyBorder="1" applyAlignment="1">
      <alignment horizontal="center"/>
    </xf>
    <xf numFmtId="0" fontId="36" fillId="0" borderId="20" xfId="54" applyFont="1" applyFill="1" applyBorder="1" applyAlignment="1">
      <alignment horizontal="center"/>
    </xf>
    <xf numFmtId="37" fontId="35" fillId="0" borderId="20" xfId="54" applyNumberFormat="1" applyFont="1" applyFill="1" applyBorder="1" applyAlignment="1" applyProtection="1">
      <alignment horizontal="center"/>
    </xf>
    <xf numFmtId="171" fontId="18" fillId="0" borderId="3" xfId="16" applyNumberFormat="1" applyFont="1" applyBorder="1" applyAlignment="1">
      <alignment horizontal="center"/>
    </xf>
    <xf numFmtId="0" fontId="18" fillId="0" borderId="3" xfId="31" applyFont="1" applyBorder="1" applyAlignment="1">
      <alignment horizontal="center"/>
    </xf>
  </cellXfs>
  <cellStyles count="61">
    <cellStyle name="%" xfId="1" xr:uid="{00000000-0005-0000-0000-000000000000}"/>
    <cellStyle name="40% - Accent5 2 2" xfId="2" xr:uid="{00000000-0005-0000-0000-000001000000}"/>
    <cellStyle name="Accent6" xfId="3" builtinId="49"/>
    <cellStyle name="Comma" xfId="4" builtinId="3"/>
    <cellStyle name="Comma [0] 2" xfId="5" xr:uid="{00000000-0005-0000-0000-000004000000}"/>
    <cellStyle name="Comma 10" xfId="6" xr:uid="{00000000-0005-0000-0000-000005000000}"/>
    <cellStyle name="Comma 16" xfId="55" xr:uid="{FDFC89BD-AA8B-4D23-A4B4-2881635A742D}"/>
    <cellStyle name="Comma 2" xfId="7" xr:uid="{00000000-0005-0000-0000-000006000000}"/>
    <cellStyle name="Comma 3" xfId="8" xr:uid="{00000000-0005-0000-0000-000007000000}"/>
    <cellStyle name="Comma 4" xfId="9" xr:uid="{00000000-0005-0000-0000-000008000000}"/>
    <cellStyle name="Comma 5" xfId="10" xr:uid="{00000000-0005-0000-0000-000009000000}"/>
    <cellStyle name="Comma 6" xfId="11" xr:uid="{00000000-0005-0000-0000-00000A000000}"/>
    <cellStyle name="Comma 6 2" xfId="12" xr:uid="{00000000-0005-0000-0000-00000B000000}"/>
    <cellStyle name="Comma 7" xfId="13" xr:uid="{00000000-0005-0000-0000-00000C000000}"/>
    <cellStyle name="Comma 7 2" xfId="14" xr:uid="{00000000-0005-0000-0000-00000D000000}"/>
    <cellStyle name="Comma 8" xfId="15" xr:uid="{00000000-0005-0000-0000-00000E000000}"/>
    <cellStyle name="Currency" xfId="16" builtinId="4"/>
    <cellStyle name="Currency [0] 2" xfId="17" xr:uid="{00000000-0005-0000-0000-000010000000}"/>
    <cellStyle name="Currency 2" xfId="18" xr:uid="{00000000-0005-0000-0000-000011000000}"/>
    <cellStyle name="Currency 3" xfId="57" xr:uid="{08A699F9-54A6-4FA1-9ED3-20565360A0AC}"/>
    <cellStyle name="Euro" xfId="19" xr:uid="{00000000-0005-0000-0000-000012000000}"/>
    <cellStyle name="Grey" xfId="20" xr:uid="{00000000-0005-0000-0000-000013000000}"/>
    <cellStyle name="Heading 4" xfId="21" builtinId="19"/>
    <cellStyle name="Input [yellow]" xfId="22" xr:uid="{00000000-0005-0000-0000-000015000000}"/>
    <cellStyle name="Lines" xfId="23" xr:uid="{00000000-0005-0000-0000-000016000000}"/>
    <cellStyle name="no dec" xfId="24" xr:uid="{00000000-0005-0000-0000-000017000000}"/>
    <cellStyle name="Normal" xfId="0" builtinId="0"/>
    <cellStyle name="Normal - Style1" xfId="25" xr:uid="{00000000-0005-0000-0000-000019000000}"/>
    <cellStyle name="Normal 10" xfId="26" xr:uid="{00000000-0005-0000-0000-00001A000000}"/>
    <cellStyle name="Normal 10 2" xfId="27" xr:uid="{00000000-0005-0000-0000-00001B000000}"/>
    <cellStyle name="Normal 11" xfId="28" xr:uid="{00000000-0005-0000-0000-00001C000000}"/>
    <cellStyle name="Normal 11 2" xfId="29" xr:uid="{00000000-0005-0000-0000-00001D000000}"/>
    <cellStyle name="Normal 13" xfId="30" xr:uid="{00000000-0005-0000-0000-00001E000000}"/>
    <cellStyle name="Normal 19" xfId="54" xr:uid="{55844AE4-E339-495B-AC77-2C87DF05253C}"/>
    <cellStyle name="Normal 2" xfId="31" xr:uid="{00000000-0005-0000-0000-00001F000000}"/>
    <cellStyle name="Normal 2 2 2" xfId="60" xr:uid="{37A9F18C-A902-4748-9B25-D8D256CBBFE8}"/>
    <cellStyle name="Normal 2 4" xfId="58" xr:uid="{56F22F18-9CD8-4313-B752-312801D6393A}"/>
    <cellStyle name="Normal 3" xfId="32" xr:uid="{00000000-0005-0000-0000-000020000000}"/>
    <cellStyle name="Normal 4" xfId="33" xr:uid="{00000000-0005-0000-0000-000021000000}"/>
    <cellStyle name="Normal 5" xfId="34" xr:uid="{00000000-0005-0000-0000-000022000000}"/>
    <cellStyle name="Normal 53" xfId="59" xr:uid="{7DD6887D-1828-4423-BEE3-DABE78300A4E}"/>
    <cellStyle name="Normal 6" xfId="35" xr:uid="{00000000-0005-0000-0000-000023000000}"/>
    <cellStyle name="Normal 7" xfId="36" xr:uid="{00000000-0005-0000-0000-000024000000}"/>
    <cellStyle name="Normal 8" xfId="37" xr:uid="{00000000-0005-0000-0000-000025000000}"/>
    <cellStyle name="Normal 9" xfId="38" xr:uid="{00000000-0005-0000-0000-000026000000}"/>
    <cellStyle name="Percent" xfId="39" builtinId="5"/>
    <cellStyle name="Percent [2]" xfId="40" xr:uid="{00000000-0005-0000-0000-000029000000}"/>
    <cellStyle name="Percent 10" xfId="56" xr:uid="{DDB82DAD-C0C5-4F58-9321-9FD30E5A4568}"/>
    <cellStyle name="Percent 2" xfId="41" xr:uid="{00000000-0005-0000-0000-00002A000000}"/>
    <cellStyle name="Percent 3" xfId="42" xr:uid="{00000000-0005-0000-0000-00002B000000}"/>
    <cellStyle name="PSChar" xfId="43" xr:uid="{00000000-0005-0000-0000-00002C000000}"/>
    <cellStyle name="PSDate" xfId="44" xr:uid="{00000000-0005-0000-0000-00002D000000}"/>
    <cellStyle name="PSDec" xfId="45" xr:uid="{00000000-0005-0000-0000-00002E000000}"/>
    <cellStyle name="PSHeading" xfId="46" xr:uid="{00000000-0005-0000-0000-00002F000000}"/>
    <cellStyle name="PSInt" xfId="47" xr:uid="{00000000-0005-0000-0000-000030000000}"/>
    <cellStyle name="PSSpacer" xfId="48" xr:uid="{00000000-0005-0000-0000-000031000000}"/>
    <cellStyle name="Shade" xfId="49" xr:uid="{00000000-0005-0000-0000-000032000000}"/>
    <cellStyle name="single acct" xfId="50" xr:uid="{00000000-0005-0000-0000-000033000000}"/>
    <cellStyle name="Style 1" xfId="51" xr:uid="{00000000-0005-0000-0000-000034000000}"/>
    <cellStyle name="Total" xfId="52" builtinId="25"/>
    <cellStyle name="Warning Text" xfId="53" builtinId="1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LINDA/LI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BHE%20NE%20Combined%20Gas/Rate%20Cases/2020/Rate%20Design/Rebuttal/Exhibit%20No.%20MCC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3.63"/>
      <sheetName val="ENRON"/>
      <sheetName val="PNG PREMIUM"/>
      <sheetName val="NMU PREMIUM"/>
      <sheetName val="228.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References"/>
      <sheetName val="Stmt A pg 1"/>
      <sheetName val="Stmt A pg 2"/>
      <sheetName val="Stmt B"/>
      <sheetName val="Stmt C"/>
      <sheetName val="Stmt D"/>
      <sheetName val="Sched D-1"/>
      <sheetName val="Sched D-2"/>
      <sheetName val="Sched D-3"/>
      <sheetName val="Stmt E"/>
      <sheetName val="Sched E-1"/>
      <sheetName val="Stmt F"/>
      <sheetName val="Sched F-1"/>
      <sheetName val="Sched F-2 Pg 1"/>
      <sheetName val="Sched F-2 Pg 2"/>
      <sheetName val="Stmt G "/>
      <sheetName val="Sched G-1"/>
      <sheetName val="Stmt H"/>
      <sheetName val="Sched H-1"/>
      <sheetName val="Sched H-2"/>
      <sheetName val="Sched H-3"/>
      <sheetName val="Sched H-4"/>
      <sheetName val="Sched H-5"/>
      <sheetName val="Sched H-6"/>
      <sheetName val="Sched H-7"/>
      <sheetName val="Sched H-8"/>
      <sheetName val="Sched H-9"/>
      <sheetName val="Sched H-10"/>
      <sheetName val="Sched H-11"/>
      <sheetName val="Sched H-12"/>
      <sheetName val="Stmt I "/>
      <sheetName val="Sched I-1"/>
      <sheetName val="Sched I-2"/>
      <sheetName val="Sched I-2 Pg 2"/>
      <sheetName val="Stmt J"/>
      <sheetName val="Sched J-1"/>
      <sheetName val="Stmt K"/>
      <sheetName val="Stmt L"/>
      <sheetName val="Sched L-1"/>
      <sheetName val="Stmt M"/>
      <sheetName val="Sched M-1"/>
      <sheetName val="Sched M-2"/>
      <sheetName val="Sched M-3"/>
      <sheetName val="Stmt N"/>
      <sheetName val="Do Not Use-&gt;"/>
      <sheetName val="Sched Validation"/>
      <sheetName val="Stmt N-X"/>
    </sheetNames>
    <sheetDataSet>
      <sheetData sheetId="0"/>
      <sheetData sheetId="1">
        <row r="7">
          <cell r="B7">
            <v>0.27169900000000002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2ED37-AB77-4369-9F83-F61CAB0AD757}">
  <dimension ref="B2:H14"/>
  <sheetViews>
    <sheetView zoomScaleNormal="100" workbookViewId="0">
      <selection activeCell="E16" sqref="E16"/>
    </sheetView>
  </sheetViews>
  <sheetFormatPr defaultColWidth="9.140625" defaultRowHeight="12.75"/>
  <cols>
    <col min="1" max="1" width="3.85546875" style="266" customWidth="1"/>
    <col min="2" max="2" width="9.140625" style="266" customWidth="1"/>
    <col min="3" max="7" width="12.42578125" style="266" customWidth="1"/>
    <col min="8" max="16384" width="9.140625" style="266"/>
  </cols>
  <sheetData>
    <row r="2" spans="2:8">
      <c r="B2" s="267" t="str">
        <f>'Section 3 Exhibit C'!A1</f>
        <v>Black Hills Nebraska Gas, LLC</v>
      </c>
      <c r="C2" s="268"/>
      <c r="D2" s="268"/>
      <c r="E2" s="268"/>
      <c r="F2" s="268"/>
      <c r="G2" s="268"/>
      <c r="H2" s="268"/>
    </row>
    <row r="3" spans="2:8">
      <c r="B3" s="269" t="s">
        <v>478</v>
      </c>
      <c r="C3" s="268"/>
      <c r="D3" s="268"/>
      <c r="E3" s="268"/>
      <c r="F3" s="268"/>
      <c r="G3" s="268"/>
      <c r="H3" s="268"/>
    </row>
    <row r="4" spans="2:8">
      <c r="B4" s="269" t="s">
        <v>479</v>
      </c>
      <c r="C4" s="268"/>
      <c r="D4" s="268"/>
      <c r="E4" s="268"/>
      <c r="F4" s="268"/>
      <c r="G4" s="268"/>
      <c r="H4" s="268"/>
    </row>
    <row r="5" spans="2:8">
      <c r="C5" s="270"/>
      <c r="D5" s="270"/>
      <c r="E5" s="270"/>
      <c r="F5" s="270"/>
      <c r="G5" s="270"/>
      <c r="H5" s="271"/>
    </row>
    <row r="6" spans="2:8">
      <c r="C6" s="270"/>
      <c r="D6" s="270"/>
      <c r="E6" s="270"/>
      <c r="F6" s="270"/>
      <c r="G6" s="270"/>
      <c r="H6" s="271"/>
    </row>
    <row r="7" spans="2:8">
      <c r="B7" s="270"/>
      <c r="C7" s="272" t="s">
        <v>45</v>
      </c>
      <c r="D7" s="272" t="s">
        <v>42</v>
      </c>
      <c r="E7" s="270"/>
      <c r="F7" s="270"/>
      <c r="G7" s="270"/>
      <c r="H7" s="271"/>
    </row>
    <row r="8" spans="2:8">
      <c r="B8" s="270" t="s">
        <v>137</v>
      </c>
      <c r="C8" s="636">
        <v>0.87250000000000005</v>
      </c>
      <c r="D8" s="636">
        <v>0.1275</v>
      </c>
      <c r="E8" s="273"/>
      <c r="F8" s="273"/>
      <c r="G8" s="273"/>
    </row>
    <row r="9" spans="2:8">
      <c r="B9" s="270"/>
      <c r="C9" s="273"/>
      <c r="D9" s="273"/>
      <c r="E9" s="273"/>
      <c r="F9" s="273"/>
      <c r="G9" s="273"/>
      <c r="H9" s="271"/>
    </row>
    <row r="10" spans="2:8">
      <c r="B10" s="270"/>
      <c r="C10" s="273"/>
      <c r="D10" s="273"/>
      <c r="E10" s="273"/>
      <c r="F10" s="273"/>
      <c r="G10" s="273"/>
      <c r="H10" s="271"/>
    </row>
    <row r="11" spans="2:8">
      <c r="B11" s="270"/>
      <c r="C11" s="665" t="s">
        <v>45</v>
      </c>
      <c r="D11" s="667"/>
      <c r="E11" s="666"/>
      <c r="F11" s="665" t="s">
        <v>42</v>
      </c>
      <c r="G11" s="666"/>
      <c r="H11" s="271"/>
    </row>
    <row r="12" spans="2:8">
      <c r="B12" s="270"/>
      <c r="C12" s="273" t="s">
        <v>477</v>
      </c>
      <c r="D12" s="274" t="s">
        <v>33</v>
      </c>
      <c r="E12" s="273" t="s">
        <v>46</v>
      </c>
      <c r="F12" s="273" t="s">
        <v>477</v>
      </c>
      <c r="G12" s="273" t="s">
        <v>33</v>
      </c>
      <c r="H12" s="271"/>
    </row>
    <row r="13" spans="2:8">
      <c r="B13" s="270" t="s">
        <v>137</v>
      </c>
      <c r="C13" s="275">
        <v>0.41799999999999998</v>
      </c>
      <c r="D13" s="275">
        <v>6.3E-2</v>
      </c>
      <c r="E13" s="275">
        <v>0.51900000000000002</v>
      </c>
      <c r="F13" s="275">
        <v>0.5</v>
      </c>
      <c r="G13" s="275">
        <f>1-F13</f>
        <v>0.5</v>
      </c>
    </row>
    <row r="14" spans="2:8">
      <c r="B14" s="270"/>
      <c r="C14" s="275"/>
      <c r="D14" s="275"/>
      <c r="E14" s="275"/>
      <c r="F14" s="275"/>
      <c r="G14" s="275"/>
      <c r="H14" s="276"/>
    </row>
  </sheetData>
  <mergeCells count="2">
    <mergeCell ref="F11:G11"/>
    <mergeCell ref="C11:E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307"/>
  <sheetViews>
    <sheetView topLeftCell="A4" zoomScaleNormal="100" zoomScaleSheetLayoutView="100" workbookViewId="0">
      <selection activeCell="E23" sqref="E23"/>
    </sheetView>
  </sheetViews>
  <sheetFormatPr defaultColWidth="9.140625" defaultRowHeight="12.75"/>
  <cols>
    <col min="1" max="1" width="4.5703125" style="34" bestFit="1" customWidth="1"/>
    <col min="2" max="2" width="6.7109375" style="34" customWidth="1"/>
    <col min="3" max="3" width="23.42578125" style="34" customWidth="1"/>
    <col min="4" max="4" width="22.85546875" style="34" customWidth="1"/>
    <col min="5" max="5" width="12.140625" style="34" customWidth="1"/>
    <col min="6" max="17" width="10.7109375" style="34" customWidth="1"/>
    <col min="18" max="18" width="47" style="34" customWidth="1"/>
    <col min="19" max="19" width="5.42578125" style="34" customWidth="1"/>
    <col min="20" max="20" width="9.140625" style="34"/>
    <col min="21" max="21" width="14.5703125" style="34" customWidth="1"/>
    <col min="22" max="16384" width="9.140625" style="34"/>
  </cols>
  <sheetData>
    <row r="1" spans="1:21">
      <c r="A1" s="113" t="str">
        <f>'Section 3 Exhibit C'!A1</f>
        <v>Black Hills Nebraska Gas, LLC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634" t="s">
        <v>675</v>
      </c>
    </row>
    <row r="2" spans="1:21">
      <c r="A2" s="113" t="s">
        <v>480</v>
      </c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634" t="s">
        <v>189</v>
      </c>
    </row>
    <row r="3" spans="1:21">
      <c r="A3" s="113" t="str">
        <f>'Bill Impacts'!A3</f>
        <v>FOR THE PRO FORMA PERIOD ENDED DECEMBER 31, 2020</v>
      </c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634" t="s">
        <v>29</v>
      </c>
    </row>
    <row r="6" spans="1:21" s="117" customFormat="1">
      <c r="B6" s="117" t="s">
        <v>0</v>
      </c>
      <c r="C6" s="115" t="s">
        <v>1</v>
      </c>
      <c r="D6" s="115"/>
      <c r="E6" s="117" t="s">
        <v>2</v>
      </c>
      <c r="F6" s="117" t="s">
        <v>3</v>
      </c>
      <c r="G6" s="148" t="s">
        <v>4</v>
      </c>
      <c r="H6" s="117" t="s">
        <v>5</v>
      </c>
      <c r="I6" s="117" t="s">
        <v>26</v>
      </c>
      <c r="J6" s="117" t="s">
        <v>61</v>
      </c>
      <c r="K6" s="117" t="s">
        <v>62</v>
      </c>
      <c r="L6" s="117" t="s">
        <v>63</v>
      </c>
      <c r="M6" s="117" t="s">
        <v>64</v>
      </c>
      <c r="N6" s="117" t="s">
        <v>79</v>
      </c>
      <c r="O6" s="117" t="s">
        <v>80</v>
      </c>
      <c r="P6" s="117" t="s">
        <v>81</v>
      </c>
      <c r="Q6" s="117" t="s">
        <v>195</v>
      </c>
      <c r="R6" s="117" t="s">
        <v>196</v>
      </c>
    </row>
    <row r="8" spans="1:21" s="117" customFormat="1">
      <c r="A8" s="118"/>
      <c r="B8" s="119"/>
      <c r="C8" s="119"/>
      <c r="D8" s="120"/>
      <c r="E8" s="119"/>
      <c r="F8" s="118"/>
      <c r="G8" s="121"/>
      <c r="H8" s="122"/>
      <c r="I8" s="121"/>
      <c r="J8" s="123"/>
      <c r="K8" s="123"/>
      <c r="L8" s="118"/>
      <c r="M8" s="118" t="s">
        <v>82</v>
      </c>
      <c r="N8" s="118"/>
      <c r="O8" s="118"/>
      <c r="P8" s="118"/>
      <c r="Q8" s="118"/>
      <c r="R8" s="118"/>
      <c r="U8" s="124"/>
    </row>
    <row r="9" spans="1:21" s="117" customFormat="1">
      <c r="A9" s="125" t="s">
        <v>6</v>
      </c>
      <c r="B9" s="126" t="s">
        <v>87</v>
      </c>
      <c r="C9" s="126"/>
      <c r="E9" s="126" t="s">
        <v>20</v>
      </c>
      <c r="F9" s="125"/>
      <c r="G9" s="127" t="s">
        <v>42</v>
      </c>
      <c r="H9" s="128"/>
      <c r="I9" s="127" t="s">
        <v>45</v>
      </c>
      <c r="J9" s="129"/>
      <c r="K9" s="129"/>
      <c r="L9" s="125"/>
      <c r="M9" s="125" t="s">
        <v>83</v>
      </c>
      <c r="N9" s="125" t="s">
        <v>46</v>
      </c>
      <c r="O9" s="125" t="s">
        <v>21</v>
      </c>
      <c r="P9" s="125" t="s">
        <v>194</v>
      </c>
      <c r="Q9" s="125" t="s">
        <v>194</v>
      </c>
      <c r="R9" s="125"/>
      <c r="U9" s="124"/>
    </row>
    <row r="10" spans="1:21" s="117" customFormat="1">
      <c r="A10" s="130" t="s">
        <v>88</v>
      </c>
      <c r="B10" s="131" t="s">
        <v>88</v>
      </c>
      <c r="C10" s="127" t="s">
        <v>8</v>
      </c>
      <c r="D10" s="129"/>
      <c r="E10" s="131" t="s">
        <v>219</v>
      </c>
      <c r="F10" s="130" t="s">
        <v>41</v>
      </c>
      <c r="G10" s="132" t="s">
        <v>43</v>
      </c>
      <c r="H10" s="132" t="s">
        <v>33</v>
      </c>
      <c r="I10" s="132" t="s">
        <v>43</v>
      </c>
      <c r="J10" s="133" t="s">
        <v>33</v>
      </c>
      <c r="K10" s="133" t="s">
        <v>46</v>
      </c>
      <c r="L10" s="130" t="s">
        <v>34</v>
      </c>
      <c r="M10" s="130" t="s">
        <v>84</v>
      </c>
      <c r="N10" s="130" t="s">
        <v>85</v>
      </c>
      <c r="O10" s="130" t="s">
        <v>47</v>
      </c>
      <c r="P10" s="130" t="s">
        <v>47</v>
      </c>
      <c r="Q10" s="130" t="s">
        <v>41</v>
      </c>
      <c r="R10" s="130" t="s">
        <v>86</v>
      </c>
      <c r="U10" s="124"/>
    </row>
    <row r="11" spans="1:21" s="117" customFormat="1">
      <c r="E11" s="117" t="s">
        <v>27</v>
      </c>
      <c r="F11" s="117" t="s">
        <v>27</v>
      </c>
      <c r="G11" s="117" t="s">
        <v>27</v>
      </c>
      <c r="H11" s="117" t="s">
        <v>27</v>
      </c>
      <c r="I11" s="117" t="s">
        <v>27</v>
      </c>
      <c r="J11" s="117" t="s">
        <v>27</v>
      </c>
      <c r="K11" s="117" t="s">
        <v>27</v>
      </c>
      <c r="L11" s="117" t="s">
        <v>27</v>
      </c>
      <c r="M11" s="117" t="s">
        <v>27</v>
      </c>
      <c r="N11" s="117" t="s">
        <v>27</v>
      </c>
      <c r="O11" s="117" t="s">
        <v>27</v>
      </c>
      <c r="P11" s="117" t="s">
        <v>27</v>
      </c>
      <c r="Q11" s="117" t="s">
        <v>27</v>
      </c>
      <c r="U11" s="124"/>
    </row>
    <row r="12" spans="1:21">
      <c r="A12" s="117">
        <f>IF(ISBLANK(C12),"",MAX($A$11:$A11)+1)</f>
        <v>1</v>
      </c>
      <c r="C12" s="134" t="s">
        <v>96</v>
      </c>
      <c r="U12" s="124"/>
    </row>
    <row r="13" spans="1:21">
      <c r="A13" s="117" t="str">
        <f>IF(ISBLANK(C13),"",MAX($A$11:$A12)+1)</f>
        <v/>
      </c>
      <c r="C13" s="134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U13" s="124"/>
    </row>
    <row r="14" spans="1:21">
      <c r="A14" s="117">
        <f>IF(ISBLANK(C14),"",MAX($A$11:$A13)+1)</f>
        <v>2</v>
      </c>
      <c r="B14" s="117"/>
      <c r="C14" s="34" t="s">
        <v>10</v>
      </c>
      <c r="E14" s="136">
        <f>E143</f>
        <v>586098201.82738638</v>
      </c>
      <c r="F14" s="136">
        <f t="shared" ref="F14:N14" si="0">F143</f>
        <v>1282220.2394626469</v>
      </c>
      <c r="G14" s="136">
        <f t="shared" si="0"/>
        <v>23078457.348419193</v>
      </c>
      <c r="H14" s="136">
        <f t="shared" si="0"/>
        <v>23081558.100027777</v>
      </c>
      <c r="I14" s="136">
        <f t="shared" si="0"/>
        <v>127501214.1756119</v>
      </c>
      <c r="J14" s="136">
        <f>J143</f>
        <v>32091086.043638386</v>
      </c>
      <c r="K14" s="136">
        <f t="shared" si="0"/>
        <v>140245966.43672663</v>
      </c>
      <c r="L14" s="136">
        <f t="shared" si="0"/>
        <v>116436646.0449515</v>
      </c>
      <c r="M14" s="136">
        <f t="shared" si="0"/>
        <v>106608112.69869857</v>
      </c>
      <c r="N14" s="136">
        <f t="shared" si="0"/>
        <v>27617363.427152395</v>
      </c>
      <c r="O14" s="136">
        <f>O143</f>
        <v>-15464912.93187424</v>
      </c>
      <c r="P14" s="136">
        <f>P143</f>
        <v>1332903.3733503872</v>
      </c>
      <c r="Q14" s="136">
        <f>Q143</f>
        <v>2287586.8712213729</v>
      </c>
      <c r="R14" s="137" t="str">
        <f>LEFT(R29,7) &amp;" Line "&amp;A143</f>
        <v>Table 2 Line 82</v>
      </c>
      <c r="U14" s="124">
        <f>+E14-SUM(F14:Q14)</f>
        <v>0</v>
      </c>
    </row>
    <row r="15" spans="1:21">
      <c r="A15" s="117" t="str">
        <f>IF(ISBLANK(C15),"",MAX($A$11:$A14)+1)</f>
        <v/>
      </c>
      <c r="B15" s="117"/>
      <c r="E15" s="491"/>
      <c r="F15" s="6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8"/>
      <c r="U15" s="124"/>
    </row>
    <row r="16" spans="1:21">
      <c r="A16" s="117">
        <f>IF(ISBLANK(C16),"",MAX($A$11:$A15)+1)</f>
        <v>3</v>
      </c>
      <c r="B16" s="117"/>
      <c r="C16" s="34" t="s">
        <v>89</v>
      </c>
      <c r="E16" s="139">
        <f>E22/E14</f>
        <v>6.7100000003536844E-2</v>
      </c>
      <c r="F16" s="139">
        <f>$E16</f>
        <v>6.7100000003536844E-2</v>
      </c>
      <c r="G16" s="139">
        <f t="shared" ref="G16:Q16" si="1">$E16</f>
        <v>6.7100000003536844E-2</v>
      </c>
      <c r="H16" s="139">
        <f t="shared" si="1"/>
        <v>6.7100000003536844E-2</v>
      </c>
      <c r="I16" s="139">
        <f t="shared" si="1"/>
        <v>6.7100000003536844E-2</v>
      </c>
      <c r="J16" s="139">
        <f t="shared" si="1"/>
        <v>6.7100000003536844E-2</v>
      </c>
      <c r="K16" s="139">
        <f t="shared" si="1"/>
        <v>6.7100000003536844E-2</v>
      </c>
      <c r="L16" s="139">
        <f t="shared" si="1"/>
        <v>6.7100000003536844E-2</v>
      </c>
      <c r="M16" s="139">
        <f t="shared" si="1"/>
        <v>6.7100000003536844E-2</v>
      </c>
      <c r="N16" s="139">
        <f t="shared" si="1"/>
        <v>6.7100000003536844E-2</v>
      </c>
      <c r="O16" s="139">
        <f t="shared" si="1"/>
        <v>6.7100000003536844E-2</v>
      </c>
      <c r="P16" s="139">
        <f t="shared" si="1"/>
        <v>6.7100000003536844E-2</v>
      </c>
      <c r="Q16" s="139">
        <f t="shared" si="1"/>
        <v>6.7100000003536844E-2</v>
      </c>
      <c r="R16" s="138"/>
      <c r="U16" s="124"/>
    </row>
    <row r="17" spans="1:21">
      <c r="A17" s="117" t="str">
        <f>IF(ISBLANK(C17),"",MAX($A$11:$A16)+1)</f>
        <v/>
      </c>
      <c r="B17" s="117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8"/>
      <c r="U17" s="124"/>
    </row>
    <row r="18" spans="1:21">
      <c r="A18" s="117">
        <f>IF(ISBLANK(C18),"",MAX($A$11:$A17)+1)</f>
        <v>4</v>
      </c>
      <c r="B18" s="117"/>
      <c r="C18" s="34" t="s">
        <v>30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7"/>
      <c r="U18" s="124"/>
    </row>
    <row r="19" spans="1:21">
      <c r="A19" s="117">
        <f>IF(ISBLANK(C19),"",MAX($A$11:$A18)+1)</f>
        <v>5</v>
      </c>
      <c r="B19" s="117"/>
      <c r="C19" s="140" t="s">
        <v>90</v>
      </c>
      <c r="E19" s="141">
        <f>E262</f>
        <v>73261868.646502465</v>
      </c>
      <c r="F19" s="136">
        <f t="shared" ref="F19:O19" si="2">F262</f>
        <v>0</v>
      </c>
      <c r="G19" s="136">
        <f t="shared" si="2"/>
        <v>2400112.0679730391</v>
      </c>
      <c r="H19" s="136">
        <f t="shared" si="2"/>
        <v>2402424.3463597959</v>
      </c>
      <c r="I19" s="136">
        <f t="shared" si="2"/>
        <v>12107884.695194567</v>
      </c>
      <c r="J19" s="136">
        <f>J262</f>
        <v>4347018.3147000745</v>
      </c>
      <c r="K19" s="136">
        <f t="shared" si="2"/>
        <v>11912200.897862168</v>
      </c>
      <c r="L19" s="136">
        <f t="shared" si="2"/>
        <v>12948371.926821895</v>
      </c>
      <c r="M19" s="136">
        <f t="shared" si="2"/>
        <v>10738872.079062495</v>
      </c>
      <c r="N19" s="136">
        <f t="shared" si="2"/>
        <v>15816426.18083539</v>
      </c>
      <c r="O19" s="136">
        <f t="shared" si="2"/>
        <v>0</v>
      </c>
      <c r="P19" s="136">
        <f>P262</f>
        <v>267316.27723250026</v>
      </c>
      <c r="Q19" s="136">
        <f>Q262</f>
        <v>321241.86046054005</v>
      </c>
      <c r="R19" s="137" t="str">
        <f>LEFT(R213,7) &amp;" Line "&amp;A262</f>
        <v>Table 3 Line 84</v>
      </c>
      <c r="U19" s="124">
        <f t="shared" ref="U19:U25" si="3">+E19-SUM(F19:Q19)</f>
        <v>0</v>
      </c>
    </row>
    <row r="20" spans="1:21">
      <c r="A20" s="117">
        <f>IF(ISBLANK(C20),"",MAX($A$11:$A19)+1)</f>
        <v>6</v>
      </c>
      <c r="B20" s="117"/>
      <c r="C20" s="140" t="s">
        <v>91</v>
      </c>
      <c r="E20" s="141">
        <f>E285</f>
        <v>21685113.424647357</v>
      </c>
      <c r="F20" s="136">
        <f t="shared" ref="F20:O20" si="4">F285</f>
        <v>0</v>
      </c>
      <c r="G20" s="136">
        <f t="shared" si="4"/>
        <v>781659.3534988442</v>
      </c>
      <c r="H20" s="136">
        <f t="shared" si="4"/>
        <v>781793.1526942529</v>
      </c>
      <c r="I20" s="136">
        <f t="shared" si="4"/>
        <v>4341413.5618064487</v>
      </c>
      <c r="J20" s="136">
        <f>J285</f>
        <v>1110874.7005426788</v>
      </c>
      <c r="K20" s="136">
        <f t="shared" si="4"/>
        <v>4755710.1116071101</v>
      </c>
      <c r="L20" s="136">
        <f t="shared" si="4"/>
        <v>3991113.3050639252</v>
      </c>
      <c r="M20" s="136">
        <f t="shared" si="4"/>
        <v>3638605.3081553299</v>
      </c>
      <c r="N20" s="136">
        <f t="shared" si="4"/>
        <v>2159538.4865975589</v>
      </c>
      <c r="O20" s="136">
        <f t="shared" si="4"/>
        <v>0</v>
      </c>
      <c r="P20" s="136">
        <f>P285</f>
        <v>45058.667326513649</v>
      </c>
      <c r="Q20" s="136">
        <f>Q285</f>
        <v>79346.777354697217</v>
      </c>
      <c r="R20" s="137" t="str">
        <f>LEFT(R267,7) &amp;" Line "&amp;A285</f>
        <v>Table 4 Line 8</v>
      </c>
      <c r="U20" s="124">
        <f t="shared" si="3"/>
        <v>0</v>
      </c>
    </row>
    <row r="21" spans="1:21">
      <c r="A21" s="117">
        <f>IF(ISBLANK(C21),"",MAX($A$11:$A20)+1)</f>
        <v>7</v>
      </c>
      <c r="B21" s="117"/>
      <c r="C21" s="140" t="s">
        <v>92</v>
      </c>
      <c r="E21" s="141">
        <f>E293</f>
        <v>7045436.4177288758</v>
      </c>
      <c r="F21" s="136">
        <f t="shared" ref="F21:O21" si="5">F293</f>
        <v>0</v>
      </c>
      <c r="G21" s="136">
        <f t="shared" si="5"/>
        <v>257290.32380771541</v>
      </c>
      <c r="H21" s="136">
        <f t="shared" si="5"/>
        <v>257389.39018949613</v>
      </c>
      <c r="I21" s="136">
        <f t="shared" si="5"/>
        <v>1384439.6232450858</v>
      </c>
      <c r="J21" s="136">
        <f>J293</f>
        <v>390571.55766359001</v>
      </c>
      <c r="K21" s="136">
        <f t="shared" si="5"/>
        <v>1477258.0138788086</v>
      </c>
      <c r="L21" s="136">
        <f t="shared" si="5"/>
        <v>1325591.993639092</v>
      </c>
      <c r="M21" s="136">
        <f t="shared" si="5"/>
        <v>1177511.1809012678</v>
      </c>
      <c r="N21" s="136">
        <f t="shared" si="5"/>
        <v>728159.14338118513</v>
      </c>
      <c r="O21" s="136">
        <f t="shared" si="5"/>
        <v>0</v>
      </c>
      <c r="P21" s="136">
        <f>P293</f>
        <v>19015.172487103875</v>
      </c>
      <c r="Q21" s="136">
        <f>Q293</f>
        <v>28210.018535533047</v>
      </c>
      <c r="R21" s="137" t="str">
        <f>LEFT(R267,7) &amp;" Line "&amp;A293</f>
        <v>Table 4 Line 15</v>
      </c>
      <c r="U21" s="124">
        <f t="shared" si="3"/>
        <v>0</v>
      </c>
    </row>
    <row r="22" spans="1:21">
      <c r="A22" s="117">
        <f>IF(ISBLANK(C22),"",MAX($A$11:$A21)+1)</f>
        <v>8</v>
      </c>
      <c r="B22" s="117"/>
      <c r="C22" s="140" t="s">
        <v>93</v>
      </c>
      <c r="E22" s="141">
        <f>'COS Statement N'!K338</f>
        <v>39327189.344690561</v>
      </c>
      <c r="F22" s="136">
        <f t="shared" ref="F22:Q22" si="6">F14*F16</f>
        <v>86036.978072478625</v>
      </c>
      <c r="G22" s="136">
        <f t="shared" si="6"/>
        <v>1548564.4881605527</v>
      </c>
      <c r="H22" s="136">
        <f t="shared" si="6"/>
        <v>1548772.5485934997</v>
      </c>
      <c r="I22" s="136">
        <f t="shared" si="6"/>
        <v>8555331.4716345109</v>
      </c>
      <c r="J22" s="136">
        <f t="shared" si="6"/>
        <v>2153311.8736416367</v>
      </c>
      <c r="K22" s="136">
        <f t="shared" si="6"/>
        <v>9410504.3484003842</v>
      </c>
      <c r="L22" s="136">
        <f t="shared" si="6"/>
        <v>7812898.9500280637</v>
      </c>
      <c r="M22" s="136">
        <f t="shared" si="6"/>
        <v>7153404.3624597304</v>
      </c>
      <c r="N22" s="136">
        <f t="shared" si="6"/>
        <v>1853125.0860596041</v>
      </c>
      <c r="O22" s="141">
        <f t="shared" si="6"/>
        <v>-1037695.6577834585</v>
      </c>
      <c r="P22" s="136">
        <f t="shared" si="6"/>
        <v>89437.816356525247</v>
      </c>
      <c r="Q22" s="136">
        <f t="shared" si="6"/>
        <v>153497.07906704495</v>
      </c>
      <c r="R22" s="137" t="str">
        <f>"Line "&amp;A14&amp;" x Line "&amp;A16</f>
        <v>Line 2 x Line 3</v>
      </c>
      <c r="U22" s="124">
        <f t="shared" si="3"/>
        <v>0</v>
      </c>
    </row>
    <row r="23" spans="1:21">
      <c r="A23" s="117">
        <f>IF(ISBLANK(C23),"",MAX($A$11:$A22)+1)</f>
        <v>9</v>
      </c>
      <c r="B23" s="117"/>
      <c r="C23" s="140" t="s">
        <v>94</v>
      </c>
      <c r="E23" s="141">
        <f>+'COS Statement N'!N353</f>
        <v>9696535.1333429012</v>
      </c>
      <c r="F23" s="136">
        <f t="shared" ref="F23:Q23" si="7">$E23*F14/$E14</f>
        <v>21213.328349870306</v>
      </c>
      <c r="G23" s="136">
        <f t="shared" si="7"/>
        <v>381814.97879464377</v>
      </c>
      <c r="H23" s="136">
        <f t="shared" si="7"/>
        <v>381866.27829841059</v>
      </c>
      <c r="I23" s="136">
        <f t="shared" si="7"/>
        <v>2109407.6025877506</v>
      </c>
      <c r="J23" s="136">
        <f t="shared" si="7"/>
        <v>530921.85288927739</v>
      </c>
      <c r="K23" s="136">
        <f t="shared" si="7"/>
        <v>2320259.5343635902</v>
      </c>
      <c r="L23" s="136">
        <f t="shared" si="7"/>
        <v>1926352.9996565299</v>
      </c>
      <c r="M23" s="136">
        <f t="shared" si="7"/>
        <v>1763747.6229397424</v>
      </c>
      <c r="N23" s="136">
        <f t="shared" si="7"/>
        <v>456907.62047509401</v>
      </c>
      <c r="O23" s="141">
        <f t="shared" si="7"/>
        <v>-255854.85693431893</v>
      </c>
      <c r="P23" s="136">
        <f t="shared" si="7"/>
        <v>22051.841054529879</v>
      </c>
      <c r="Q23" s="136">
        <f t="shared" si="7"/>
        <v>37846.330867783137</v>
      </c>
      <c r="R23" s="137" t="s">
        <v>10</v>
      </c>
      <c r="U23" s="124">
        <f t="shared" si="3"/>
        <v>0</v>
      </c>
    </row>
    <row r="24" spans="1:21">
      <c r="A24" s="117">
        <f>IF(ISBLANK(C24),"",MAX($A$11:$A23)+1)</f>
        <v>10</v>
      </c>
      <c r="B24" s="117"/>
      <c r="C24" s="140" t="s">
        <v>95</v>
      </c>
      <c r="D24" s="407"/>
      <c r="E24" s="156">
        <f>-E300</f>
        <v>-5667962.7734283386</v>
      </c>
      <c r="F24" s="142">
        <f t="shared" ref="F24:O24" si="8">-F300</f>
        <v>0</v>
      </c>
      <c r="G24" s="142">
        <f t="shared" si="8"/>
        <v>-177827.9910756654</v>
      </c>
      <c r="H24" s="142">
        <f t="shared" si="8"/>
        <v>-177965.07715199279</v>
      </c>
      <c r="I24" s="142">
        <f t="shared" si="8"/>
        <v>-908276.84291163832</v>
      </c>
      <c r="J24" s="142">
        <f>-J300</f>
        <v>-302669.1298812037</v>
      </c>
      <c r="K24" s="142">
        <f t="shared" si="8"/>
        <v>-918939.32474752911</v>
      </c>
      <c r="L24" s="142">
        <f t="shared" si="8"/>
        <v>-937238.14091316075</v>
      </c>
      <c r="M24" s="142">
        <f t="shared" si="8"/>
        <v>-794493.83386382903</v>
      </c>
      <c r="N24" s="142">
        <f t="shared" si="8"/>
        <v>-902205.9372455274</v>
      </c>
      <c r="O24" s="142">
        <f t="shared" si="8"/>
        <v>-508107.31999999972</v>
      </c>
      <c r="P24" s="142">
        <f>-P300</f>
        <v>-18015.770232303727</v>
      </c>
      <c r="Q24" s="142">
        <f>-Q300</f>
        <v>-22223.405405489033</v>
      </c>
      <c r="R24" s="137" t="str">
        <f>LEFT(R267,7) &amp;" Line "&amp;A300</f>
        <v>Table 4 Line 21</v>
      </c>
      <c r="U24" s="124">
        <f t="shared" si="3"/>
        <v>0</v>
      </c>
    </row>
    <row r="25" spans="1:21">
      <c r="A25" s="117">
        <f>IF(ISBLANK(C25),"",MAX($A$11:$A24)+1)</f>
        <v>11</v>
      </c>
      <c r="B25" s="117"/>
      <c r="C25" s="140" t="s">
        <v>30</v>
      </c>
      <c r="E25" s="136">
        <f t="shared" ref="E25:Q25" si="9">SUM(E19:E24)</f>
        <v>145348180.1934838</v>
      </c>
      <c r="F25" s="136">
        <f t="shared" si="9"/>
        <v>107250.30642234893</v>
      </c>
      <c r="G25" s="136">
        <f t="shared" si="9"/>
        <v>5191613.2211591294</v>
      </c>
      <c r="H25" s="136">
        <f t="shared" si="9"/>
        <v>5194280.6389834629</v>
      </c>
      <c r="I25" s="136">
        <f t="shared" si="9"/>
        <v>27590200.111556727</v>
      </c>
      <c r="J25" s="136">
        <f t="shared" si="9"/>
        <v>8230029.1695560524</v>
      </c>
      <c r="K25" s="136">
        <f t="shared" si="9"/>
        <v>28956993.581364531</v>
      </c>
      <c r="L25" s="136">
        <f t="shared" si="9"/>
        <v>27067091.034296345</v>
      </c>
      <c r="M25" s="136">
        <f t="shared" si="9"/>
        <v>23677646.719654739</v>
      </c>
      <c r="N25" s="136">
        <f t="shared" si="9"/>
        <v>20111950.580103304</v>
      </c>
      <c r="O25" s="136">
        <f t="shared" si="9"/>
        <v>-1801657.8347177771</v>
      </c>
      <c r="P25" s="136">
        <f t="shared" si="9"/>
        <v>424864.00422486919</v>
      </c>
      <c r="Q25" s="136">
        <f t="shared" si="9"/>
        <v>597918.66088010941</v>
      </c>
      <c r="R25" s="137" t="str">
        <f>"Sum of Lines "&amp;A19&amp;" thru "&amp;A24</f>
        <v>Sum of Lines 5 thru 10</v>
      </c>
      <c r="U25" s="124">
        <f t="shared" si="3"/>
        <v>0</v>
      </c>
    </row>
    <row r="26" spans="1:21">
      <c r="A26" s="117" t="str">
        <f>IF(ISBLANK(C26),"",MAX($A$11:$A25)+1)</f>
        <v/>
      </c>
      <c r="B26" s="117"/>
      <c r="E26" s="211"/>
      <c r="F26" s="491"/>
      <c r="U26" s="124"/>
    </row>
    <row r="27" spans="1:21">
      <c r="A27" s="117" t="str">
        <f>IF(ISBLANK(C27),"",MAX($A$11:$A26)+1)</f>
        <v/>
      </c>
      <c r="B27" s="117"/>
      <c r="E27" s="135"/>
      <c r="U27" s="124"/>
    </row>
    <row r="28" spans="1:21">
      <c r="A28" s="113" t="str">
        <f>$A$1</f>
        <v>Black Hills Nebraska Gas, LLC</v>
      </c>
      <c r="B28" s="114"/>
      <c r="C28" s="115"/>
      <c r="D28" s="115"/>
      <c r="E28" s="143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634" t="str">
        <f>$R$1</f>
        <v>Section 4, Exhibit A</v>
      </c>
      <c r="U28" s="124"/>
    </row>
    <row r="29" spans="1:21">
      <c r="A29" s="113" t="s">
        <v>706</v>
      </c>
      <c r="B29" s="114"/>
      <c r="C29" s="115"/>
      <c r="D29" s="115"/>
      <c r="E29" s="143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634" t="s">
        <v>188</v>
      </c>
      <c r="U29" s="124"/>
    </row>
    <row r="30" spans="1:21">
      <c r="A30" s="113" t="str">
        <f>$A$3</f>
        <v>FOR THE PRO FORMA PERIOD ENDED DECEMBER 31, 2020</v>
      </c>
      <c r="B30" s="114"/>
      <c r="C30" s="115"/>
      <c r="D30" s="115"/>
      <c r="E30" s="143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634" t="s">
        <v>75</v>
      </c>
      <c r="U30" s="124"/>
    </row>
    <row r="31" spans="1:21">
      <c r="E31" s="135"/>
      <c r="U31" s="124"/>
    </row>
    <row r="32" spans="1:21">
      <c r="E32" s="135"/>
      <c r="U32" s="124"/>
    </row>
    <row r="33" spans="1:21">
      <c r="A33" s="117"/>
      <c r="B33" s="117" t="s">
        <v>0</v>
      </c>
      <c r="C33" s="115" t="s">
        <v>1</v>
      </c>
      <c r="D33" s="115"/>
      <c r="E33" s="144" t="s">
        <v>2</v>
      </c>
      <c r="F33" s="117" t="s">
        <v>3</v>
      </c>
      <c r="G33" s="117" t="s">
        <v>4</v>
      </c>
      <c r="H33" s="117" t="s">
        <v>5</v>
      </c>
      <c r="I33" s="117" t="s">
        <v>26</v>
      </c>
      <c r="J33" s="117" t="s">
        <v>61</v>
      </c>
      <c r="K33" s="117" t="s">
        <v>62</v>
      </c>
      <c r="L33" s="117" t="s">
        <v>63</v>
      </c>
      <c r="M33" s="117" t="s">
        <v>64</v>
      </c>
      <c r="N33" s="117" t="s">
        <v>79</v>
      </c>
      <c r="O33" s="117" t="s">
        <v>80</v>
      </c>
      <c r="P33" s="117" t="s">
        <v>81</v>
      </c>
      <c r="Q33" s="117" t="s">
        <v>195</v>
      </c>
      <c r="R33" s="117" t="s">
        <v>196</v>
      </c>
      <c r="S33" s="117"/>
      <c r="T33" s="117"/>
      <c r="U33" s="124"/>
    </row>
    <row r="34" spans="1:21">
      <c r="E34" s="135"/>
      <c r="U34" s="124"/>
    </row>
    <row r="35" spans="1:21">
      <c r="A35" s="118"/>
      <c r="B35" s="119"/>
      <c r="C35" s="119"/>
      <c r="D35" s="120"/>
      <c r="E35" s="119"/>
      <c r="F35" s="118"/>
      <c r="G35" s="121"/>
      <c r="H35" s="122"/>
      <c r="I35" s="121"/>
      <c r="J35" s="123"/>
      <c r="K35" s="123"/>
      <c r="L35" s="118"/>
      <c r="M35" s="118" t="s">
        <v>82</v>
      </c>
      <c r="N35" s="118"/>
      <c r="O35" s="118"/>
      <c r="P35" s="118"/>
      <c r="Q35" s="145"/>
      <c r="R35" s="145"/>
      <c r="S35" s="117"/>
      <c r="T35" s="117"/>
      <c r="U35" s="124"/>
    </row>
    <row r="36" spans="1:21">
      <c r="A36" s="125" t="s">
        <v>6</v>
      </c>
      <c r="B36" s="126" t="s">
        <v>87</v>
      </c>
      <c r="C36" s="126"/>
      <c r="D36" s="117"/>
      <c r="E36" s="126" t="s">
        <v>20</v>
      </c>
      <c r="F36" s="125"/>
      <c r="G36" s="127" t="s">
        <v>42</v>
      </c>
      <c r="H36" s="128"/>
      <c r="I36" s="127" t="s">
        <v>45</v>
      </c>
      <c r="J36" s="129"/>
      <c r="K36" s="129"/>
      <c r="L36" s="125"/>
      <c r="M36" s="125" t="s">
        <v>83</v>
      </c>
      <c r="N36" s="125" t="s">
        <v>46</v>
      </c>
      <c r="O36" s="125" t="s">
        <v>21</v>
      </c>
      <c r="P36" s="125" t="s">
        <v>194</v>
      </c>
      <c r="Q36" s="125" t="s">
        <v>194</v>
      </c>
      <c r="R36" s="146"/>
      <c r="S36" s="117"/>
      <c r="T36" s="117"/>
      <c r="U36" s="124"/>
    </row>
    <row r="37" spans="1:21">
      <c r="A37" s="130" t="s">
        <v>88</v>
      </c>
      <c r="B37" s="131" t="s">
        <v>88</v>
      </c>
      <c r="C37" s="127" t="s">
        <v>8</v>
      </c>
      <c r="D37" s="129"/>
      <c r="E37" s="131" t="s">
        <v>219</v>
      </c>
      <c r="F37" s="130" t="s">
        <v>41</v>
      </c>
      <c r="G37" s="132" t="s">
        <v>43</v>
      </c>
      <c r="H37" s="132" t="s">
        <v>33</v>
      </c>
      <c r="I37" s="132" t="s">
        <v>43</v>
      </c>
      <c r="J37" s="133" t="s">
        <v>33</v>
      </c>
      <c r="K37" s="133" t="s">
        <v>46</v>
      </c>
      <c r="L37" s="130" t="s">
        <v>34</v>
      </c>
      <c r="M37" s="130" t="s">
        <v>84</v>
      </c>
      <c r="N37" s="130" t="s">
        <v>85</v>
      </c>
      <c r="O37" s="130" t="s">
        <v>47</v>
      </c>
      <c r="P37" s="130" t="str">
        <f>P$10</f>
        <v>Direct</v>
      </c>
      <c r="Q37" s="130" t="str">
        <f>Q$10</f>
        <v>Supply</v>
      </c>
      <c r="R37" s="147" t="s">
        <v>86</v>
      </c>
      <c r="S37" s="117"/>
      <c r="T37" s="117"/>
      <c r="U37" s="124"/>
    </row>
    <row r="38" spans="1:21">
      <c r="A38" s="117"/>
      <c r="B38" s="117"/>
      <c r="C38" s="117"/>
      <c r="D38" s="117"/>
      <c r="E38" s="144" t="s">
        <v>27</v>
      </c>
      <c r="F38" s="117" t="s">
        <v>27</v>
      </c>
      <c r="G38" s="117" t="s">
        <v>27</v>
      </c>
      <c r="H38" s="117" t="s">
        <v>27</v>
      </c>
      <c r="I38" s="117" t="s">
        <v>27</v>
      </c>
      <c r="J38" s="117" t="s">
        <v>27</v>
      </c>
      <c r="K38" s="117" t="s">
        <v>27</v>
      </c>
      <c r="L38" s="117" t="s">
        <v>27</v>
      </c>
      <c r="M38" s="117" t="s">
        <v>27</v>
      </c>
      <c r="N38" s="117" t="s">
        <v>27</v>
      </c>
      <c r="O38" s="117" t="s">
        <v>27</v>
      </c>
      <c r="P38" s="117" t="s">
        <v>27</v>
      </c>
      <c r="Q38" s="117" t="s">
        <v>27</v>
      </c>
      <c r="R38" s="117"/>
      <c r="S38" s="117"/>
      <c r="T38" s="117"/>
      <c r="U38" s="124"/>
    </row>
    <row r="39" spans="1:21">
      <c r="A39" s="117">
        <v>1</v>
      </c>
      <c r="C39" s="134" t="s">
        <v>97</v>
      </c>
      <c r="E39" s="135"/>
      <c r="U39" s="124"/>
    </row>
    <row r="40" spans="1:21">
      <c r="A40" s="117" t="str">
        <f>IF(ISBLANK(C40),"",MAX($A$38:$A39)+1)</f>
        <v/>
      </c>
      <c r="C40" s="134"/>
      <c r="E40" s="135"/>
      <c r="U40" s="124"/>
    </row>
    <row r="41" spans="1:21">
      <c r="A41" s="117">
        <f>IF(ISBLANK(C41),"",MAX($A$38:$A40)+1)</f>
        <v>2</v>
      </c>
      <c r="B41" s="138"/>
      <c r="C41" s="138" t="s">
        <v>98</v>
      </c>
      <c r="E41" s="135"/>
      <c r="U41" s="124"/>
    </row>
    <row r="42" spans="1:21">
      <c r="A42" s="117">
        <f>IF(ISBLANK(C42),"",MAX($A$38:$A41)+1)</f>
        <v>3</v>
      </c>
      <c r="B42" s="148">
        <v>301</v>
      </c>
      <c r="C42" s="137" t="s">
        <v>242</v>
      </c>
      <c r="E42" s="136">
        <f>'COS Statement N'!K9</f>
        <v>256</v>
      </c>
      <c r="F42" s="136">
        <f t="shared" ref="F42:Q45" si="10">$E42*F$264/$E$264</f>
        <v>0</v>
      </c>
      <c r="G42" s="136">
        <f t="shared" si="10"/>
        <v>8.48169642510587</v>
      </c>
      <c r="H42" s="136">
        <f t="shared" si="10"/>
        <v>8.4898761148853445</v>
      </c>
      <c r="I42" s="136">
        <f t="shared" si="10"/>
        <v>42.78178944532457</v>
      </c>
      <c r="J42" s="136">
        <f t="shared" si="10"/>
        <v>15.365813787132758</v>
      </c>
      <c r="K42" s="136">
        <f t="shared" si="10"/>
        <v>42.083726613720891</v>
      </c>
      <c r="L42" s="136">
        <f t="shared" si="10"/>
        <v>45.760480233092167</v>
      </c>
      <c r="M42" s="136">
        <f t="shared" si="10"/>
        <v>37.947447537571662</v>
      </c>
      <c r="N42" s="136">
        <f t="shared" si="10"/>
        <v>53.008349239100461</v>
      </c>
      <c r="O42" s="136">
        <f t="shared" si="10"/>
        <v>0</v>
      </c>
      <c r="P42" s="136">
        <f t="shared" si="10"/>
        <v>0.94525921570497629</v>
      </c>
      <c r="Q42" s="136">
        <f t="shared" si="10"/>
        <v>1.1355613883613329</v>
      </c>
      <c r="R42" s="137" t="s">
        <v>67</v>
      </c>
      <c r="U42" s="124">
        <f>+E42-SUM(F42:Q42)</f>
        <v>0</v>
      </c>
    </row>
    <row r="43" spans="1:21">
      <c r="A43" s="117">
        <f>IF(ISBLANK(C43),"",MAX($A$38:$A42)+1)</f>
        <v>4</v>
      </c>
      <c r="B43" s="148">
        <v>302</v>
      </c>
      <c r="C43" s="137" t="s">
        <v>244</v>
      </c>
      <c r="E43" s="136">
        <f>'COS Statement N'!K10</f>
        <v>121062.49</v>
      </c>
      <c r="F43" s="136">
        <f t="shared" si="10"/>
        <v>0</v>
      </c>
      <c r="G43" s="136">
        <f t="shared" si="10"/>
        <v>4010.9972212789658</v>
      </c>
      <c r="H43" s="136">
        <f t="shared" si="10"/>
        <v>4014.8653994513511</v>
      </c>
      <c r="I43" s="136">
        <f t="shared" si="10"/>
        <v>20231.523269166839</v>
      </c>
      <c r="J43" s="136">
        <f t="shared" si="10"/>
        <v>7266.4987419789913</v>
      </c>
      <c r="K43" s="136">
        <f t="shared" si="10"/>
        <v>19901.409110688746</v>
      </c>
      <c r="L43" s="136">
        <f t="shared" si="10"/>
        <v>21640.147189898118</v>
      </c>
      <c r="M43" s="136">
        <f t="shared" si="10"/>
        <v>17945.361281417165</v>
      </c>
      <c r="N43" s="136">
        <f t="shared" si="10"/>
        <v>25067.666990918387</v>
      </c>
      <c r="O43" s="136">
        <f t="shared" si="10"/>
        <v>0</v>
      </c>
      <c r="P43" s="136">
        <f t="shared" si="10"/>
        <v>447.01341542457629</v>
      </c>
      <c r="Q43" s="136">
        <f t="shared" si="10"/>
        <v>537.00737977687493</v>
      </c>
      <c r="R43" s="137" t="s">
        <v>67</v>
      </c>
      <c r="U43" s="124">
        <f>+E43-SUM(F43:Q43)</f>
        <v>0</v>
      </c>
    </row>
    <row r="44" spans="1:21">
      <c r="A44" s="117">
        <f>IF(ISBLANK(C44),"",MAX($A$38:$A43)+1)</f>
        <v>5</v>
      </c>
      <c r="B44" s="148">
        <v>303</v>
      </c>
      <c r="C44" s="137" t="s">
        <v>245</v>
      </c>
      <c r="E44" s="136">
        <f>'COS Statement N'!K11</f>
        <v>742880.94</v>
      </c>
      <c r="F44" s="136">
        <f t="shared" si="10"/>
        <v>0</v>
      </c>
      <c r="G44" s="136">
        <f t="shared" si="10"/>
        <v>24612.853957333155</v>
      </c>
      <c r="H44" s="136">
        <f t="shared" si="10"/>
        <v>24636.590424646765</v>
      </c>
      <c r="I44" s="136">
        <f t="shared" si="10"/>
        <v>124147.56233603433</v>
      </c>
      <c r="J44" s="136">
        <f t="shared" si="10"/>
        <v>44589.727304883367</v>
      </c>
      <c r="K44" s="136">
        <f t="shared" si="10"/>
        <v>122121.86869337494</v>
      </c>
      <c r="L44" s="136">
        <f t="shared" si="10"/>
        <v>132791.36160316769</v>
      </c>
      <c r="M44" s="136">
        <f t="shared" si="10"/>
        <v>110118.8886613747</v>
      </c>
      <c r="N44" s="136">
        <f t="shared" si="10"/>
        <v>153823.79808824701</v>
      </c>
      <c r="O44" s="136">
        <f t="shared" si="10"/>
        <v>0</v>
      </c>
      <c r="P44" s="136">
        <f t="shared" si="10"/>
        <v>2743.0275574475604</v>
      </c>
      <c r="Q44" s="136">
        <f t="shared" si="10"/>
        <v>3295.2613734905158</v>
      </c>
      <c r="R44" s="137" t="s">
        <v>67</v>
      </c>
      <c r="U44" s="124">
        <f>+E44-SUM(F44:Q44)</f>
        <v>0</v>
      </c>
    </row>
    <row r="45" spans="1:21">
      <c r="A45" s="117">
        <f>IF(ISBLANK(C45),"",MAX($A$38:$A44)+1)</f>
        <v>6</v>
      </c>
      <c r="B45" s="148">
        <v>303.01</v>
      </c>
      <c r="C45" s="137" t="s">
        <v>547</v>
      </c>
      <c r="E45" s="136">
        <f>'COS Statement N'!K12</f>
        <v>500000</v>
      </c>
      <c r="F45" s="142">
        <f t="shared" si="10"/>
        <v>0</v>
      </c>
      <c r="G45" s="142">
        <f t="shared" si="10"/>
        <v>16565.813330284902</v>
      </c>
      <c r="H45" s="142">
        <f t="shared" si="10"/>
        <v>16581.78928688544</v>
      </c>
      <c r="I45" s="142">
        <f t="shared" si="10"/>
        <v>83558.182510399551</v>
      </c>
      <c r="J45" s="142">
        <f t="shared" si="10"/>
        <v>30011.355052993669</v>
      </c>
      <c r="K45" s="142">
        <f t="shared" si="10"/>
        <v>82194.778542423621</v>
      </c>
      <c r="L45" s="142">
        <f t="shared" si="10"/>
        <v>89375.937955258138</v>
      </c>
      <c r="M45" s="142">
        <f t="shared" si="10"/>
        <v>74116.108471819651</v>
      </c>
      <c r="N45" s="142">
        <f t="shared" si="10"/>
        <v>103531.93210761809</v>
      </c>
      <c r="O45" s="142">
        <f t="shared" si="10"/>
        <v>0</v>
      </c>
      <c r="P45" s="142">
        <f t="shared" si="10"/>
        <v>1846.2094056737817</v>
      </c>
      <c r="Q45" s="142">
        <f t="shared" si="10"/>
        <v>2217.8933366432288</v>
      </c>
      <c r="R45" s="137" t="s">
        <v>67</v>
      </c>
      <c r="U45" s="124">
        <f>+E45-SUM(F45:Q45)</f>
        <v>0</v>
      </c>
    </row>
    <row r="46" spans="1:21">
      <c r="A46" s="117">
        <f>IF(ISBLANK(C46),"",MAX($A$38:$A45)+1)</f>
        <v>7</v>
      </c>
      <c r="B46" s="138"/>
      <c r="C46" s="149" t="s">
        <v>135</v>
      </c>
      <c r="E46" s="150">
        <f t="shared" ref="E46:N46" si="11">SUM(E42:E45)</f>
        <v>1364199.43</v>
      </c>
      <c r="F46" s="136">
        <f t="shared" si="11"/>
        <v>0</v>
      </c>
      <c r="G46" s="136">
        <f t="shared" si="11"/>
        <v>45198.146205322133</v>
      </c>
      <c r="H46" s="136">
        <f t="shared" si="11"/>
        <v>45241.73498709844</v>
      </c>
      <c r="I46" s="136">
        <f t="shared" si="11"/>
        <v>227980.04990504603</v>
      </c>
      <c r="J46" s="136">
        <f>SUM(J42:J45)</f>
        <v>81882.946913643158</v>
      </c>
      <c r="K46" s="136">
        <f t="shared" si="11"/>
        <v>224260.14007310104</v>
      </c>
      <c r="L46" s="136">
        <f t="shared" si="11"/>
        <v>243853.20722855703</v>
      </c>
      <c r="M46" s="136">
        <f t="shared" si="11"/>
        <v>202218.30586214911</v>
      </c>
      <c r="N46" s="136">
        <f t="shared" si="11"/>
        <v>282476.40553602262</v>
      </c>
      <c r="O46" s="136">
        <f>SUM(O42:O45)</f>
        <v>0</v>
      </c>
      <c r="P46" s="136">
        <f>SUM(P42:P45)</f>
        <v>5037.1956377616234</v>
      </c>
      <c r="Q46" s="136">
        <f>SUM(Q42:Q45)</f>
        <v>6051.2976512989808</v>
      </c>
      <c r="R46" s="137" t="str">
        <f>"Sum of Lines "&amp;A42&amp;" thru "&amp;A45</f>
        <v>Sum of Lines 3 thru 6</v>
      </c>
      <c r="U46" s="124">
        <f>+E46-SUM(F46:Q46)</f>
        <v>0</v>
      </c>
    </row>
    <row r="47" spans="1:21">
      <c r="A47" s="117" t="str">
        <f>IF(ISBLANK(C47),"",MAX($A$38:$A46)+1)</f>
        <v/>
      </c>
      <c r="B47" s="138"/>
      <c r="C47" s="138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U47" s="124"/>
    </row>
    <row r="48" spans="1:21">
      <c r="A48" s="117">
        <f>IF(ISBLANK(C48),"",MAX($A$38:$A47)+1)</f>
        <v>8</v>
      </c>
      <c r="B48" s="138"/>
      <c r="C48" s="138" t="s">
        <v>99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U48" s="124"/>
    </row>
    <row r="49" spans="1:21">
      <c r="A49" s="117">
        <f>IF(ISBLANK(C49),"",MAX($A$38:$A48)+1)</f>
        <v>9</v>
      </c>
      <c r="B49" s="148">
        <v>365.03</v>
      </c>
      <c r="C49" s="137" t="s">
        <v>249</v>
      </c>
      <c r="E49" s="136">
        <f>'COS Statement N'!K15</f>
        <v>170272.49</v>
      </c>
      <c r="F49" s="136">
        <v>0</v>
      </c>
      <c r="G49" s="141">
        <f>TransDemand*($E49-$P49)</f>
        <v>64365.244999999995</v>
      </c>
      <c r="H49" s="141">
        <f>TransComm*($E49-$P49)</f>
        <v>64365.244999999995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41542</v>
      </c>
      <c r="Q49" s="141">
        <v>0</v>
      </c>
      <c r="R49" s="152" t="str">
        <f>'Functional Allocators'!$F$13*100&amp;" % Demand, "&amp;'Functional Allocators'!$G$13*100&amp;" % Commodity, Direct"</f>
        <v>50 % Demand, 50 % Commodity, Direct</v>
      </c>
      <c r="U49" s="124">
        <f>+E49-SUM(F49:Q49)</f>
        <v>0</v>
      </c>
    </row>
    <row r="50" spans="1:21">
      <c r="A50" s="117">
        <f>IF(ISBLANK(C50),"",MAX($A$38:$A49)+1)</f>
        <v>10</v>
      </c>
      <c r="B50" s="148">
        <v>366.01</v>
      </c>
      <c r="C50" s="137" t="s">
        <v>129</v>
      </c>
      <c r="E50" s="136">
        <f>'COS Statement N'!K16</f>
        <v>8173.65</v>
      </c>
      <c r="F50" s="136">
        <v>0</v>
      </c>
      <c r="G50" s="141">
        <f>TransDemand*($E50-$P50)</f>
        <v>3013.3249999999998</v>
      </c>
      <c r="H50" s="141">
        <f>TransComm*($E50-$P50)</f>
        <v>3013.3249999999998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2147</v>
      </c>
      <c r="Q50" s="141">
        <v>0</v>
      </c>
      <c r="R50" s="152" t="str">
        <f>'Functional Allocators'!$F$13*100&amp;" % Demand, "&amp;'Functional Allocators'!$G$13*100&amp;" % Commodity, Direct"</f>
        <v>50 % Demand, 50 % Commodity, Direct</v>
      </c>
      <c r="U50" s="124">
        <f>+E50-SUM(F50:Q50)</f>
        <v>0</v>
      </c>
    </row>
    <row r="51" spans="1:21">
      <c r="A51" s="117">
        <f>IF(ISBLANK(C51),"",MAX($A$38:$A50)+1)</f>
        <v>11</v>
      </c>
      <c r="B51" s="148">
        <v>367</v>
      </c>
      <c r="C51" s="137" t="s">
        <v>587</v>
      </c>
      <c r="E51" s="136">
        <f>'COS Statement N'!K17</f>
        <v>5361146.8400000008</v>
      </c>
      <c r="F51" s="136">
        <v>0</v>
      </c>
      <c r="G51" s="141">
        <f>TransDemand*($E51-$P51)</f>
        <v>2288350.4200000004</v>
      </c>
      <c r="H51" s="141">
        <f>TransComm*($E51-$P51)</f>
        <v>2288350.4200000004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784446</v>
      </c>
      <c r="Q51" s="141">
        <v>0</v>
      </c>
      <c r="R51" s="152" t="str">
        <f>'Functional Allocators'!$F$13*100&amp;" % Demand, "&amp;'Functional Allocators'!$G$13*100&amp;" % Commodity, Direct"</f>
        <v>50 % Demand, 50 % Commodity, Direct</v>
      </c>
      <c r="U51" s="124">
        <f>+E51-SUM(F51:Q51)</f>
        <v>0</v>
      </c>
    </row>
    <row r="52" spans="1:21">
      <c r="A52" s="117">
        <f>IF(ISBLANK(C52),"",MAX($A$38:$A51)+1)</f>
        <v>12</v>
      </c>
      <c r="B52" s="148">
        <v>369.03</v>
      </c>
      <c r="C52" s="137" t="s">
        <v>588</v>
      </c>
      <c r="E52" s="142">
        <f>'COS Statement N'!K18</f>
        <v>624131.56999999995</v>
      </c>
      <c r="F52" s="142">
        <v>0</v>
      </c>
      <c r="G52" s="156">
        <f>TransDemand*($E52-$P52)</f>
        <v>296199.28499999997</v>
      </c>
      <c r="H52" s="156">
        <f>TransComm*($E52-$P52)</f>
        <v>296199.28499999997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31733</v>
      </c>
      <c r="Q52" s="156">
        <v>0</v>
      </c>
      <c r="R52" s="152" t="str">
        <f>'Functional Allocators'!$F$13*100&amp;" % Demand, "&amp;'Functional Allocators'!$G$13*100&amp;" % Commodity, Direct"</f>
        <v>50 % Demand, 50 % Commodity, Direct</v>
      </c>
      <c r="U52" s="124">
        <f>+E52-SUM(F52:Q52)</f>
        <v>0</v>
      </c>
    </row>
    <row r="53" spans="1:21">
      <c r="A53" s="117">
        <f>IF(ISBLANK(C53),"",MAX($A$38:$A52)+1)</f>
        <v>13</v>
      </c>
      <c r="B53" s="138"/>
      <c r="C53" s="149" t="s">
        <v>139</v>
      </c>
      <c r="E53" s="136">
        <f t="shared" ref="E53:P53" si="12">SUM(E49:E52)</f>
        <v>6163724.5500000007</v>
      </c>
      <c r="F53" s="136">
        <f t="shared" si="12"/>
        <v>0</v>
      </c>
      <c r="G53" s="141">
        <f t="shared" si="12"/>
        <v>2651928.2750000004</v>
      </c>
      <c r="H53" s="141">
        <f t="shared" si="12"/>
        <v>2651928.2750000004</v>
      </c>
      <c r="I53" s="141">
        <f t="shared" si="12"/>
        <v>0</v>
      </c>
      <c r="J53" s="141">
        <f t="shared" si="12"/>
        <v>0</v>
      </c>
      <c r="K53" s="141">
        <f t="shared" si="12"/>
        <v>0</v>
      </c>
      <c r="L53" s="141">
        <f t="shared" si="12"/>
        <v>0</v>
      </c>
      <c r="M53" s="141">
        <f t="shared" si="12"/>
        <v>0</v>
      </c>
      <c r="N53" s="141">
        <f t="shared" si="12"/>
        <v>0</v>
      </c>
      <c r="O53" s="141">
        <f t="shared" si="12"/>
        <v>0</v>
      </c>
      <c r="P53" s="141">
        <f t="shared" si="12"/>
        <v>859868</v>
      </c>
      <c r="Q53" s="141">
        <f t="shared" ref="Q53" si="13">SUM(Q49:Q52)</f>
        <v>0</v>
      </c>
      <c r="R53" s="152" t="str">
        <f>"Sum of Lines "&amp;A49&amp;" thru "&amp;A52</f>
        <v>Sum of Lines 9 thru 12</v>
      </c>
      <c r="U53" s="124">
        <f>+E53-SUM(F53:Q53)</f>
        <v>0</v>
      </c>
    </row>
    <row r="54" spans="1:21">
      <c r="A54" s="117" t="str">
        <f>IF(ISBLANK(C54),"",MAX($A$38:$A53)+1)</f>
        <v/>
      </c>
      <c r="B54" s="138"/>
      <c r="C54" s="138"/>
      <c r="E54" s="136"/>
      <c r="F54" s="136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5"/>
      <c r="U54" s="124"/>
    </row>
    <row r="55" spans="1:21">
      <c r="A55" s="117">
        <f>IF(ISBLANK(C55),"",MAX($A$38:$A54)+1)</f>
        <v>14</v>
      </c>
      <c r="B55" s="138"/>
      <c r="C55" s="138" t="s">
        <v>100</v>
      </c>
      <c r="E55" s="136"/>
      <c r="F55" s="136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5"/>
      <c r="U55" s="124"/>
    </row>
    <row r="56" spans="1:21">
      <c r="A56" s="117">
        <f>IF(ISBLANK(C56),"",MAX($A$38:$A55)+1)</f>
        <v>15</v>
      </c>
      <c r="B56" s="151">
        <v>374.01</v>
      </c>
      <c r="C56" s="137" t="s">
        <v>247</v>
      </c>
      <c r="E56" s="136">
        <f>'COS Statement N'!K21</f>
        <v>608493.55000000005</v>
      </c>
      <c r="F56" s="136">
        <v>0</v>
      </c>
      <c r="G56" s="141">
        <f>TransMains*TransDemand*($E56-$P56-$Q56)</f>
        <v>36708.815062500005</v>
      </c>
      <c r="H56" s="141">
        <f>TransMains*TransComm*($E56-$P56-$Q56)</f>
        <v>36708.815062500005</v>
      </c>
      <c r="I56" s="141">
        <f>DistMains*0.5*($E56-$P56-$Q56)</f>
        <v>251203.45993750004</v>
      </c>
      <c r="J56" s="141">
        <f>DistMains*0.5*($E56-$P56-$Q56)</f>
        <v>251203.45993750004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2</v>
      </c>
      <c r="Q56" s="141">
        <v>32667</v>
      </c>
      <c r="R56" s="152" t="str">
        <f>TransMains*100&amp;"% Trans, "&amp;DistMains*100&amp;"% Dist; 50% Dem, 50% Comm"</f>
        <v>12.75% Trans, 87.25% Dist; 50% Dem, 50% Comm</v>
      </c>
      <c r="U56" s="124">
        <f t="shared" ref="U56:U72" si="14">+E56-SUM(F56:Q56)</f>
        <v>0</v>
      </c>
    </row>
    <row r="57" spans="1:21">
      <c r="A57" s="117">
        <f>IF(ISBLANK(C57),"",MAX($A$38:$A56)+1)</f>
        <v>16</v>
      </c>
      <c r="B57" s="151">
        <v>374.02</v>
      </c>
      <c r="C57" s="137" t="s">
        <v>248</v>
      </c>
      <c r="E57" s="136">
        <f>'COS Statement N'!K22</f>
        <v>1693103.5573682757</v>
      </c>
      <c r="F57" s="136">
        <v>0</v>
      </c>
      <c r="G57" s="141">
        <f>TransMains*TransDemand*$E57</f>
        <v>107935.35178222758</v>
      </c>
      <c r="H57" s="141">
        <f>TransMains*TransComm*$E57</f>
        <v>107935.35178222758</v>
      </c>
      <c r="I57" s="141">
        <f t="shared" ref="I57:J60" si="15">DistMains*0.5*$E57</f>
        <v>738616.42690191034</v>
      </c>
      <c r="J57" s="141">
        <f t="shared" si="15"/>
        <v>738616.42690191034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52" t="str">
        <f>TransMains*100&amp;"% Trans, "&amp;DistMains*100&amp;"% Dist; 50% Dem, 50% Comm"</f>
        <v>12.75% Trans, 87.25% Dist; 50% Dem, 50% Comm</v>
      </c>
      <c r="U57" s="124">
        <f t="shared" si="14"/>
        <v>0</v>
      </c>
    </row>
    <row r="58" spans="1:21">
      <c r="A58" s="117">
        <f>IF(ISBLANK(C58),"",MAX($A$38:$A57)+1)</f>
        <v>17</v>
      </c>
      <c r="B58" s="151">
        <v>374.03</v>
      </c>
      <c r="C58" s="137" t="s">
        <v>543</v>
      </c>
      <c r="E58" s="136">
        <f>'COS Statement N'!K23</f>
        <v>6797135.5700000003</v>
      </c>
      <c r="F58" s="136">
        <v>0</v>
      </c>
      <c r="G58" s="141">
        <f>TransMains*TransDemand*$E58</f>
        <v>433317.39258750004</v>
      </c>
      <c r="H58" s="141">
        <f>TransMains*TransComm*$E58</f>
        <v>433317.39258750004</v>
      </c>
      <c r="I58" s="141">
        <f t="shared" si="15"/>
        <v>2965250.3924125005</v>
      </c>
      <c r="J58" s="141">
        <f t="shared" si="15"/>
        <v>2965250.3924125005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52" t="str">
        <f>TransMains*100&amp;"% Trans, "&amp;DistMains*100&amp;"% Dist; 50% Dem, 50% Comm"</f>
        <v>12.75% Trans, 87.25% Dist; 50% Dem, 50% Comm</v>
      </c>
      <c r="U58" s="124">
        <f t="shared" si="14"/>
        <v>0</v>
      </c>
    </row>
    <row r="59" spans="1:21">
      <c r="A59" s="117">
        <f>IF(ISBLANK(C59),"",MAX($A$38:$A58)+1)</f>
        <v>18</v>
      </c>
      <c r="B59" s="151">
        <v>375.01</v>
      </c>
      <c r="C59" s="137" t="s">
        <v>129</v>
      </c>
      <c r="E59" s="136">
        <f>'COS Statement N'!K24</f>
        <v>3462086.8492294252</v>
      </c>
      <c r="F59" s="136">
        <v>0</v>
      </c>
      <c r="G59" s="141">
        <f>TransMains*TransDemand*($E59-$P59-$Q59)</f>
        <v>208462.49038837585</v>
      </c>
      <c r="H59" s="141">
        <f>TransMains*TransComm*($E59-$P59-$Q59)</f>
        <v>208462.49038837585</v>
      </c>
      <c r="I59" s="141">
        <f>DistMains*0.5*($E59-$P59-$Q59)</f>
        <v>1426537.4342263369</v>
      </c>
      <c r="J59" s="141">
        <f>DistMains*0.5*($E59-$P59-$Q59)</f>
        <v>1426537.4342263369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192087</v>
      </c>
      <c r="R59" s="152" t="str">
        <f>TransMains*100&amp;"% Trans, "&amp;DistMains*100&amp;"% Dist; 50% Dem, 50% Comm"</f>
        <v>12.75% Trans, 87.25% Dist; 50% Dem, 50% Comm</v>
      </c>
      <c r="U59" s="124">
        <f t="shared" si="14"/>
        <v>0</v>
      </c>
    </row>
    <row r="60" spans="1:21">
      <c r="A60" s="117">
        <f>IF(ISBLANK(C60),"",MAX($A$38:$A59)+1)</f>
        <v>19</v>
      </c>
      <c r="B60" s="151">
        <v>375.2</v>
      </c>
      <c r="C60" s="137" t="s">
        <v>544</v>
      </c>
      <c r="E60" s="136">
        <f>'COS Statement N'!K25</f>
        <v>12119.44</v>
      </c>
      <c r="F60" s="136">
        <v>0</v>
      </c>
      <c r="G60" s="141">
        <f>TransMains*TransDemand*$E60</f>
        <v>772.61430000000007</v>
      </c>
      <c r="H60" s="141">
        <f>TransMains*TransComm*$E60</f>
        <v>772.61430000000007</v>
      </c>
      <c r="I60" s="141">
        <f t="shared" si="15"/>
        <v>5287.105700000001</v>
      </c>
      <c r="J60" s="141">
        <f t="shared" si="15"/>
        <v>5287.105700000001</v>
      </c>
      <c r="K60" s="141">
        <v>0</v>
      </c>
      <c r="L60" s="141">
        <v>0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52" t="str">
        <f>TransMains*100&amp;"% Trans, "&amp;DistMains*100&amp;"% Dist; 50% Dem, 50% Comm"</f>
        <v>12.75% Trans, 87.25% Dist; 50% Dem, 50% Comm</v>
      </c>
      <c r="U60" s="124">
        <f t="shared" si="14"/>
        <v>0</v>
      </c>
    </row>
    <row r="61" spans="1:21">
      <c r="A61" s="117">
        <f>IF(ISBLANK(C61),"",MAX($A$38:$A60)+1)</f>
        <v>20</v>
      </c>
      <c r="B61" s="151">
        <v>376</v>
      </c>
      <c r="C61" s="137" t="s">
        <v>137</v>
      </c>
      <c r="E61" s="136">
        <f>'COS Statement N'!K26</f>
        <v>444565701.90557998</v>
      </c>
      <c r="F61" s="136">
        <v>0</v>
      </c>
      <c r="G61" s="141">
        <f>TransMains*TransDemand*($E61-$P61-$Q61)</f>
        <v>28184453.525230724</v>
      </c>
      <c r="H61" s="141">
        <f>TransMains*TransComm*($E61-$P61-$Q61)</f>
        <v>28184453.525230724</v>
      </c>
      <c r="I61" s="141">
        <f>DistMains*DistDemand*($E61-$P61-$Q61)</f>
        <v>161239390.16343954</v>
      </c>
      <c r="J61" s="141">
        <f>DistMains*DistComm*($E61-$P61-$Q61)</f>
        <v>24301630.574872468</v>
      </c>
      <c r="K61" s="141">
        <f>DistMains*DistCust*($E$61-$P$61-$Q$61)</f>
        <v>200199147.11680654</v>
      </c>
      <c r="L61" s="141">
        <v>0</v>
      </c>
      <c r="M61" s="141">
        <v>0</v>
      </c>
      <c r="N61" s="141">
        <v>0</v>
      </c>
      <c r="O61" s="141">
        <v>0</v>
      </c>
      <c r="P61" s="141">
        <v>628260</v>
      </c>
      <c r="Q61" s="141">
        <v>1828367</v>
      </c>
      <c r="R61" s="152" t="str">
        <f>TransMains*100&amp;"% T, 50-50; "&amp;DistMains*100&amp;"% D, "&amp;DistDemand*100&amp;" Dem, "&amp;DistComm*100&amp;" Comm, "&amp;DistCust*100&amp;" Cust"</f>
        <v>12.75% T, 50-50; 87.25% D, 41.8 Dem, 6.3 Comm, 51.9 Cust</v>
      </c>
      <c r="U61" s="124">
        <f t="shared" si="14"/>
        <v>0</v>
      </c>
    </row>
    <row r="62" spans="1:21">
      <c r="A62" s="117">
        <f>IF(ISBLANK(C62),"",MAX($A$38:$A61)+1)</f>
        <v>21</v>
      </c>
      <c r="B62" s="151">
        <v>378</v>
      </c>
      <c r="C62" s="137" t="s">
        <v>200</v>
      </c>
      <c r="E62" s="136">
        <f>'COS Statement N'!K27</f>
        <v>25439135.747249428</v>
      </c>
      <c r="F62" s="136">
        <v>0</v>
      </c>
      <c r="G62" s="141">
        <f>TransMains*TransDemand*($E62-$P62-$Q62)</f>
        <v>1526605.041387151</v>
      </c>
      <c r="H62" s="141">
        <f>TransMains*TransComm*($E62-$P62-$Q62)</f>
        <v>1526605.041387151</v>
      </c>
      <c r="I62" s="141">
        <f>DistMains*0.5*($E62-$P62-$Q62)</f>
        <v>10446767.832237564</v>
      </c>
      <c r="J62" s="141">
        <f>DistMains*0.5*($E62-$P62-$Q62)</f>
        <v>10446767.832237564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551079</v>
      </c>
      <c r="Q62" s="141">
        <v>941311</v>
      </c>
      <c r="R62" s="152" t="str">
        <f>TransMains*100&amp;"% Trans, "&amp;DistMains*100&amp;"% Dist; 50% Dem, 50% Comm"</f>
        <v>12.75% Trans, 87.25% Dist; 50% Dem, 50% Comm</v>
      </c>
      <c r="U62" s="124">
        <f t="shared" si="14"/>
        <v>0</v>
      </c>
    </row>
    <row r="63" spans="1:21">
      <c r="A63" s="117">
        <f>IF(ISBLANK(C63),"",MAX($A$38:$A62)+1)</f>
        <v>22</v>
      </c>
      <c r="B63" s="151">
        <v>379</v>
      </c>
      <c r="C63" s="137" t="s">
        <v>545</v>
      </c>
      <c r="E63" s="136">
        <f>'COS Statement N'!K28</f>
        <v>5022045.0347600002</v>
      </c>
      <c r="F63" s="136">
        <v>0</v>
      </c>
      <c r="G63" s="141">
        <f>TransMains*TransDemand*$E63</f>
        <v>320155.37096595002</v>
      </c>
      <c r="H63" s="141">
        <f>TransMains*TransComm*$E63</f>
        <v>320155.37096595002</v>
      </c>
      <c r="I63" s="141">
        <f t="shared" ref="I63:J63" si="16">DistMains*0.5*$E63</f>
        <v>2190867.1464140504</v>
      </c>
      <c r="J63" s="141">
        <f t="shared" si="16"/>
        <v>2190867.1464140504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52" t="str">
        <f>TransMains*100&amp;"% Trans, "&amp;DistMains*100&amp;"% Dist; 50% Dem, 50% Comm"</f>
        <v>12.75% Trans, 87.25% Dist; 50% Dem, 50% Comm</v>
      </c>
      <c r="U63" s="124">
        <f t="shared" si="14"/>
        <v>0</v>
      </c>
    </row>
    <row r="64" spans="1:21">
      <c r="A64" s="117">
        <f>IF(ISBLANK(C64),"",MAX($A$38:$A63)+1)</f>
        <v>23</v>
      </c>
      <c r="B64" s="148">
        <v>380</v>
      </c>
      <c r="C64" s="137" t="s">
        <v>34</v>
      </c>
      <c r="E64" s="136">
        <f>'COS Statement N'!K29</f>
        <v>159737814.73044708</v>
      </c>
      <c r="F64" s="136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41">
        <f>$E64</f>
        <v>159737814.73044708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52" t="s">
        <v>206</v>
      </c>
      <c r="U64" s="124">
        <f t="shared" si="14"/>
        <v>0</v>
      </c>
    </row>
    <row r="65" spans="1:21">
      <c r="A65" s="117">
        <f>IF(ISBLANK(C65),"",MAX($A$38:$A64)+1)</f>
        <v>24</v>
      </c>
      <c r="B65" s="148">
        <v>381</v>
      </c>
      <c r="C65" s="137" t="s">
        <v>82</v>
      </c>
      <c r="E65" s="136">
        <f>'COS Statement N'!K30</f>
        <v>46888273.993909426</v>
      </c>
      <c r="F65" s="136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f t="shared" ref="M65:M69" si="17">$E65</f>
        <v>46888273.993909426</v>
      </c>
      <c r="N65" s="141">
        <v>0</v>
      </c>
      <c r="O65" s="141">
        <v>0</v>
      </c>
      <c r="P65" s="141">
        <v>0</v>
      </c>
      <c r="Q65" s="141">
        <v>0</v>
      </c>
      <c r="R65" s="152" t="s">
        <v>207</v>
      </c>
      <c r="U65" s="124">
        <f t="shared" si="14"/>
        <v>0</v>
      </c>
    </row>
    <row r="66" spans="1:21">
      <c r="A66" s="117">
        <f>IF(ISBLANK(C66),"",MAX($A$38:$A65)+1)</f>
        <v>25</v>
      </c>
      <c r="B66" s="148">
        <v>382.01</v>
      </c>
      <c r="C66" s="137" t="s">
        <v>141</v>
      </c>
      <c r="E66" s="136">
        <f>'COS Statement N'!K31</f>
        <v>12370833.00282</v>
      </c>
      <c r="F66" s="136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f t="shared" si="17"/>
        <v>12370833.00282</v>
      </c>
      <c r="N66" s="141">
        <v>0</v>
      </c>
      <c r="O66" s="141">
        <v>0</v>
      </c>
      <c r="P66" s="141">
        <v>0</v>
      </c>
      <c r="Q66" s="141">
        <v>0</v>
      </c>
      <c r="R66" s="152" t="s">
        <v>207</v>
      </c>
      <c r="U66" s="124">
        <f t="shared" si="14"/>
        <v>0</v>
      </c>
    </row>
    <row r="67" spans="1:21">
      <c r="A67" s="117">
        <f>IF(ISBLANK(C67),"",MAX($A$38:$A66)+1)</f>
        <v>26</v>
      </c>
      <c r="B67" s="148">
        <v>383</v>
      </c>
      <c r="C67" s="137" t="s">
        <v>142</v>
      </c>
      <c r="E67" s="136">
        <f>'COS Statement N'!K32</f>
        <v>75357179.16018942</v>
      </c>
      <c r="F67" s="136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f t="shared" si="17"/>
        <v>75357179.16018942</v>
      </c>
      <c r="N67" s="141">
        <v>0</v>
      </c>
      <c r="O67" s="141">
        <v>0</v>
      </c>
      <c r="P67" s="141">
        <v>0</v>
      </c>
      <c r="Q67" s="141">
        <v>0</v>
      </c>
      <c r="R67" s="152" t="s">
        <v>207</v>
      </c>
      <c r="U67" s="124">
        <f t="shared" si="14"/>
        <v>0</v>
      </c>
    </row>
    <row r="68" spans="1:21">
      <c r="A68" s="117">
        <f>IF(ISBLANK(C68),"",MAX($A$38:$A67)+1)</f>
        <v>27</v>
      </c>
      <c r="B68" s="148">
        <v>384.01</v>
      </c>
      <c r="C68" s="137" t="s">
        <v>258</v>
      </c>
      <c r="E68" s="136">
        <f>'COS Statement N'!K33</f>
        <v>1557089.8189999999</v>
      </c>
      <c r="F68" s="136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f t="shared" si="17"/>
        <v>1557089.8189999999</v>
      </c>
      <c r="N68" s="141">
        <v>0</v>
      </c>
      <c r="O68" s="141">
        <v>0</v>
      </c>
      <c r="P68" s="141">
        <v>0</v>
      </c>
      <c r="Q68" s="141">
        <v>0</v>
      </c>
      <c r="R68" s="152" t="s">
        <v>207</v>
      </c>
      <c r="U68" s="124">
        <f t="shared" si="14"/>
        <v>0</v>
      </c>
    </row>
    <row r="69" spans="1:21">
      <c r="A69" s="117">
        <f>IF(ISBLANK(C69),"",MAX($A$38:$A68)+1)</f>
        <v>28</v>
      </c>
      <c r="B69" s="148">
        <v>385</v>
      </c>
      <c r="C69" s="137" t="s">
        <v>548</v>
      </c>
      <c r="E69" s="136">
        <f>'COS Statement N'!K34</f>
        <v>12527682.052389422</v>
      </c>
      <c r="F69" s="136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141">
        <f t="shared" si="17"/>
        <v>12527682.052389422</v>
      </c>
      <c r="N69" s="141">
        <v>0</v>
      </c>
      <c r="O69" s="141">
        <v>0</v>
      </c>
      <c r="P69" s="141">
        <v>0</v>
      </c>
      <c r="Q69" s="141">
        <v>0</v>
      </c>
      <c r="R69" s="152" t="s">
        <v>207</v>
      </c>
      <c r="U69" s="124">
        <f t="shared" si="14"/>
        <v>0</v>
      </c>
    </row>
    <row r="70" spans="1:21">
      <c r="A70" s="117">
        <f>IF(ISBLANK(C70),"",MAX($A$38:$A69)+1)</f>
        <v>29</v>
      </c>
      <c r="B70" s="148">
        <v>386</v>
      </c>
      <c r="C70" s="137" t="s">
        <v>259</v>
      </c>
      <c r="E70" s="136">
        <f>'COS Statement N'!K35</f>
        <v>35278.870000000003</v>
      </c>
      <c r="F70" s="136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f>+E70</f>
        <v>35278.870000000003</v>
      </c>
      <c r="M70" s="141">
        <v>0</v>
      </c>
      <c r="N70" s="141">
        <v>0</v>
      </c>
      <c r="O70" s="141">
        <v>0</v>
      </c>
      <c r="P70" s="141">
        <v>0</v>
      </c>
      <c r="Q70" s="141">
        <v>0</v>
      </c>
      <c r="R70" s="152" t="s">
        <v>206</v>
      </c>
      <c r="U70" s="124">
        <f t="shared" si="14"/>
        <v>0</v>
      </c>
    </row>
    <row r="71" spans="1:21">
      <c r="A71" s="117">
        <f>IF(ISBLANK(C71),"",MAX($A$38:$A70)+1)</f>
        <v>30</v>
      </c>
      <c r="B71" s="148">
        <v>387</v>
      </c>
      <c r="C71" s="137" t="s">
        <v>138</v>
      </c>
      <c r="E71" s="136">
        <f>'COS Statement N'!K36</f>
        <v>407724.66000000003</v>
      </c>
      <c r="F71" s="142">
        <v>0</v>
      </c>
      <c r="G71" s="156">
        <v>0</v>
      </c>
      <c r="H71" s="156">
        <v>0</v>
      </c>
      <c r="I71" s="156">
        <f>'Functional Allocators'!C13*$E71</f>
        <v>170428.90788000001</v>
      </c>
      <c r="J71" s="156">
        <f>'Functional Allocators'!D13*$E71</f>
        <v>25686.653580000002</v>
      </c>
      <c r="K71" s="156">
        <f>'Functional Allocators'!E13*$E71</f>
        <v>211609.09854000004</v>
      </c>
      <c r="L71" s="156">
        <v>0</v>
      </c>
      <c r="M71" s="156">
        <v>0</v>
      </c>
      <c r="N71" s="156">
        <v>0</v>
      </c>
      <c r="O71" s="156">
        <v>0</v>
      </c>
      <c r="P71" s="156">
        <v>0</v>
      </c>
      <c r="Q71" s="156">
        <v>0</v>
      </c>
      <c r="R71" s="152" t="str">
        <f>'Functional Allocators'!$C$13*100&amp;" % Dem, "&amp;'Functional Allocators'!$D$13*100&amp;" % Comm, "&amp;'Functional Allocators'!$E$13*100&amp;" % Cust"</f>
        <v>41.8 % Dem, 6.3 % Comm, 51.9 % Cust</v>
      </c>
      <c r="U71" s="124">
        <f t="shared" si="14"/>
        <v>0</v>
      </c>
    </row>
    <row r="72" spans="1:21">
      <c r="A72" s="117">
        <f>IF(ISBLANK(C72),"",MAX($A$38:$A71)+1)</f>
        <v>31</v>
      </c>
      <c r="B72" s="138"/>
      <c r="C72" s="149" t="s">
        <v>143</v>
      </c>
      <c r="E72" s="150">
        <f t="shared" ref="E72:Q72" si="18">SUM(E56:E71)</f>
        <v>796481697.94294238</v>
      </c>
      <c r="F72" s="136">
        <f t="shared" si="18"/>
        <v>0</v>
      </c>
      <c r="G72" s="136">
        <f t="shared" si="18"/>
        <v>30818410.60170443</v>
      </c>
      <c r="H72" s="136">
        <f t="shared" si="18"/>
        <v>30818410.60170443</v>
      </c>
      <c r="I72" s="136">
        <f t="shared" si="18"/>
        <v>179434348.86914942</v>
      </c>
      <c r="J72" s="136">
        <f t="shared" si="18"/>
        <v>42351847.026282333</v>
      </c>
      <c r="K72" s="136">
        <f t="shared" si="18"/>
        <v>200410756.21534654</v>
      </c>
      <c r="L72" s="136">
        <f t="shared" si="18"/>
        <v>159773093.60044709</v>
      </c>
      <c r="M72" s="136">
        <f t="shared" si="18"/>
        <v>148701058.02830827</v>
      </c>
      <c r="N72" s="136">
        <f t="shared" si="18"/>
        <v>0</v>
      </c>
      <c r="O72" s="136">
        <f t="shared" si="18"/>
        <v>0</v>
      </c>
      <c r="P72" s="136">
        <f t="shared" si="18"/>
        <v>1179341</v>
      </c>
      <c r="Q72" s="136">
        <f t="shared" si="18"/>
        <v>2994432</v>
      </c>
      <c r="R72" s="137" t="str">
        <f>"Sum of Lines "&amp;A56&amp;" thru "&amp;A71</f>
        <v>Sum of Lines 15 thru 30</v>
      </c>
      <c r="U72" s="124">
        <f t="shared" si="14"/>
        <v>0</v>
      </c>
    </row>
    <row r="73" spans="1:21">
      <c r="A73" s="117" t="str">
        <f>IF(ISBLANK(C73),"",MAX($A$38:$A72)+1)</f>
        <v/>
      </c>
      <c r="B73" s="138"/>
      <c r="C73" s="138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U73" s="124"/>
    </row>
    <row r="74" spans="1:21">
      <c r="A74" s="117">
        <f>IF(ISBLANK(C74),"",MAX($A$38:$A73)+1)</f>
        <v>32</v>
      </c>
      <c r="B74" s="138"/>
      <c r="C74" s="138" t="s">
        <v>101</v>
      </c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U74" s="124"/>
    </row>
    <row r="75" spans="1:21">
      <c r="A75" s="117">
        <f>IF(ISBLANK(C75),"",MAX($A$38:$A74)+1)</f>
        <v>33</v>
      </c>
      <c r="B75" s="148">
        <v>389.01</v>
      </c>
      <c r="C75" s="137" t="s">
        <v>247</v>
      </c>
      <c r="E75" s="136">
        <f>'COS Statement N'!K39</f>
        <v>6105836.9821000006</v>
      </c>
      <c r="F75" s="136">
        <f t="shared" ref="F75:Q84" si="19">$E75*F$264/$E$264</f>
        <v>0</v>
      </c>
      <c r="G75" s="136">
        <f t="shared" si="19"/>
        <v>202296.31134123745</v>
      </c>
      <c r="H75" s="136">
        <f t="shared" si="19"/>
        <v>202491.4045145094</v>
      </c>
      <c r="I75" s="136">
        <f t="shared" si="19"/>
        <v>1020385.281858118</v>
      </c>
      <c r="J75" s="136">
        <f t="shared" si="19"/>
        <v>366488.88313100493</v>
      </c>
      <c r="K75" s="136">
        <f t="shared" si="19"/>
        <v>1003735.8371196993</v>
      </c>
      <c r="L75" s="136">
        <f t="shared" si="19"/>
        <v>1091429.8145541805</v>
      </c>
      <c r="M75" s="136">
        <f t="shared" si="19"/>
        <v>905081.75215314329</v>
      </c>
      <c r="N75" s="136">
        <f t="shared" si="19"/>
        <v>1264298.1997819219</v>
      </c>
      <c r="O75" s="136">
        <f t="shared" si="19"/>
        <v>0</v>
      </c>
      <c r="P75" s="136">
        <f t="shared" si="19"/>
        <v>22545.307331727676</v>
      </c>
      <c r="Q75" s="136">
        <f t="shared" si="19"/>
        <v>27084.190314458781</v>
      </c>
      <c r="R75" s="137" t="s">
        <v>67</v>
      </c>
      <c r="U75" s="124">
        <f t="shared" ref="U75:U97" si="20">+E75-SUM(F75:Q75)</f>
        <v>0</v>
      </c>
    </row>
    <row r="76" spans="1:21">
      <c r="A76" s="117">
        <f>IF(ISBLANK(C76),"",MAX($A$38:$A75)+1)</f>
        <v>34</v>
      </c>
      <c r="B76" s="148">
        <v>389.02</v>
      </c>
      <c r="C76" s="137" t="s">
        <v>253</v>
      </c>
      <c r="E76" s="136">
        <f>'COS Statement N'!K40</f>
        <v>1428870.5133</v>
      </c>
      <c r="F76" s="136">
        <f t="shared" si="19"/>
        <v>0</v>
      </c>
      <c r="G76" s="136">
        <f t="shared" si="19"/>
        <v>47340.804392952334</v>
      </c>
      <c r="H76" s="136">
        <f t="shared" si="19"/>
        <v>47386.459539568874</v>
      </c>
      <c r="I76" s="136">
        <f t="shared" si="19"/>
        <v>238787.64626809934</v>
      </c>
      <c r="J76" s="136">
        <f t="shared" si="19"/>
        <v>85764.680598799212</v>
      </c>
      <c r="K76" s="136">
        <f t="shared" si="19"/>
        <v>234891.39081298531</v>
      </c>
      <c r="L76" s="136">
        <f t="shared" si="19"/>
        <v>255413.28468559732</v>
      </c>
      <c r="M76" s="136">
        <f t="shared" si="19"/>
        <v>211804.64391185486</v>
      </c>
      <c r="N76" s="136">
        <f t="shared" si="19"/>
        <v>295867.44994710601</v>
      </c>
      <c r="O76" s="136">
        <f t="shared" si="19"/>
        <v>0</v>
      </c>
      <c r="P76" s="136">
        <f t="shared" si="19"/>
        <v>5275.9883622887683</v>
      </c>
      <c r="Q76" s="136">
        <f t="shared" si="19"/>
        <v>6338.1647807481195</v>
      </c>
      <c r="R76" s="137" t="s">
        <v>67</v>
      </c>
      <c r="U76" s="124">
        <f t="shared" si="20"/>
        <v>0</v>
      </c>
    </row>
    <row r="77" spans="1:21">
      <c r="A77" s="117">
        <f>IF(ISBLANK(C77),"",MAX($A$38:$A76)+1)</f>
        <v>35</v>
      </c>
      <c r="B77" s="148">
        <v>390.01</v>
      </c>
      <c r="C77" s="137" t="s">
        <v>260</v>
      </c>
      <c r="E77" s="136">
        <f>'COS Statement N'!K41</f>
        <v>44604435.312399998</v>
      </c>
      <c r="F77" s="136">
        <f t="shared" si="19"/>
        <v>0</v>
      </c>
      <c r="G77" s="136">
        <f t="shared" si="19"/>
        <v>1477817.4981759731</v>
      </c>
      <c r="H77" s="136">
        <f t="shared" si="19"/>
        <v>1479242.6952214576</v>
      </c>
      <c r="I77" s="136">
        <f t="shared" si="19"/>
        <v>7454131.0932136588</v>
      </c>
      <c r="J77" s="136">
        <f t="shared" si="19"/>
        <v>2677279.09019745</v>
      </c>
      <c r="K77" s="136">
        <f t="shared" si="19"/>
        <v>7332503.3650251543</v>
      </c>
      <c r="L77" s="136">
        <f t="shared" si="19"/>
        <v>7973126.4860207746</v>
      </c>
      <c r="M77" s="136">
        <f t="shared" si="19"/>
        <v>6611814.3318762025</v>
      </c>
      <c r="N77" s="136">
        <f t="shared" si="19"/>
        <v>9235966.7369240802</v>
      </c>
      <c r="O77" s="136">
        <f t="shared" si="19"/>
        <v>0</v>
      </c>
      <c r="P77" s="136">
        <f t="shared" si="19"/>
        <v>164698.25601704128</v>
      </c>
      <c r="Q77" s="136">
        <f t="shared" si="19"/>
        <v>197855.75972821176</v>
      </c>
      <c r="R77" s="137" t="s">
        <v>67</v>
      </c>
      <c r="U77" s="124">
        <f t="shared" si="20"/>
        <v>0</v>
      </c>
    </row>
    <row r="78" spans="1:21">
      <c r="A78" s="117">
        <f>IF(ISBLANK(C78),"",MAX($A$38:$A77)+1)</f>
        <v>36</v>
      </c>
      <c r="B78" s="148">
        <v>390.51</v>
      </c>
      <c r="C78" s="137" t="s">
        <v>549</v>
      </c>
      <c r="E78" s="136">
        <f>'COS Statement N'!K42</f>
        <v>93091.32</v>
      </c>
      <c r="F78" s="136">
        <f t="shared" si="19"/>
        <v>0</v>
      </c>
      <c r="G78" s="136">
        <f t="shared" si="19"/>
        <v>3084.2668595796354</v>
      </c>
      <c r="H78" s="136">
        <f t="shared" si="19"/>
        <v>3087.2413053560485</v>
      </c>
      <c r="I78" s="136">
        <f t="shared" si="19"/>
        <v>15557.083013388015</v>
      </c>
      <c r="J78" s="136">
        <f t="shared" si="19"/>
        <v>5587.5933137437014</v>
      </c>
      <c r="K78" s="136">
        <f t="shared" si="19"/>
        <v>15303.24086324378</v>
      </c>
      <c r="L78" s="136">
        <f t="shared" si="19"/>
        <v>16640.248080986163</v>
      </c>
      <c r="M78" s="136">
        <f t="shared" si="19"/>
        <v>13799.13274180975</v>
      </c>
      <c r="N78" s="136">
        <f t="shared" si="19"/>
        <v>19275.848444097104</v>
      </c>
      <c r="O78" s="136">
        <f t="shared" si="19"/>
        <v>0</v>
      </c>
      <c r="P78" s="136">
        <f t="shared" si="19"/>
        <v>343.7321411411757</v>
      </c>
      <c r="Q78" s="136">
        <f t="shared" si="19"/>
        <v>412.93323665464504</v>
      </c>
      <c r="R78" s="137" t="s">
        <v>67</v>
      </c>
      <c r="U78" s="124">
        <f t="shared" si="20"/>
        <v>0</v>
      </c>
    </row>
    <row r="79" spans="1:21">
      <c r="A79" s="117">
        <f>IF(ISBLANK(C79),"",MAX($A$38:$A78)+1)</f>
        <v>37</v>
      </c>
      <c r="B79" s="148">
        <v>391.01</v>
      </c>
      <c r="C79" s="137" t="s">
        <v>261</v>
      </c>
      <c r="E79" s="136">
        <f>'COS Statement N'!K43</f>
        <v>507770.86109999998</v>
      </c>
      <c r="F79" s="136">
        <f t="shared" si="19"/>
        <v>0</v>
      </c>
      <c r="G79" s="136">
        <f t="shared" si="19"/>
        <v>16823.274599081244</v>
      </c>
      <c r="H79" s="136">
        <f t="shared" si="19"/>
        <v>16839.498849561147</v>
      </c>
      <c r="I79" s="136">
        <f t="shared" si="19"/>
        <v>84856.820570513068</v>
      </c>
      <c r="J79" s="136">
        <f t="shared" si="19"/>
        <v>30477.783196072862</v>
      </c>
      <c r="K79" s="136">
        <f t="shared" si="19"/>
        <v>83472.226956820479</v>
      </c>
      <c r="L79" s="136">
        <f t="shared" si="19"/>
        <v>90764.993954323203</v>
      </c>
      <c r="M79" s="136">
        <f t="shared" si="19"/>
        <v>75268.000440233736</v>
      </c>
      <c r="N79" s="136">
        <f t="shared" si="19"/>
        <v>105140.99663526395</v>
      </c>
      <c r="O79" s="136">
        <f t="shared" si="19"/>
        <v>0</v>
      </c>
      <c r="P79" s="136">
        <f t="shared" si="19"/>
        <v>1874.9026793797907</v>
      </c>
      <c r="Q79" s="136">
        <f t="shared" si="19"/>
        <v>2252.3632187505686</v>
      </c>
      <c r="R79" s="137" t="s">
        <v>67</v>
      </c>
      <c r="U79" s="124">
        <f t="shared" si="20"/>
        <v>0</v>
      </c>
    </row>
    <row r="80" spans="1:21">
      <c r="A80" s="117">
        <f>IF(ISBLANK(C80),"",MAX($A$38:$A79)+1)</f>
        <v>38</v>
      </c>
      <c r="B80" s="148">
        <v>391.02</v>
      </c>
      <c r="C80" s="137" t="s">
        <v>262</v>
      </c>
      <c r="E80" s="136">
        <f>'COS Statement N'!K44</f>
        <v>0</v>
      </c>
      <c r="F80" s="136">
        <f t="shared" si="19"/>
        <v>0</v>
      </c>
      <c r="G80" s="136">
        <f t="shared" si="19"/>
        <v>0</v>
      </c>
      <c r="H80" s="136">
        <f t="shared" si="19"/>
        <v>0</v>
      </c>
      <c r="I80" s="136">
        <f t="shared" si="19"/>
        <v>0</v>
      </c>
      <c r="J80" s="136">
        <f t="shared" si="19"/>
        <v>0</v>
      </c>
      <c r="K80" s="136">
        <f t="shared" si="19"/>
        <v>0</v>
      </c>
      <c r="L80" s="136">
        <f t="shared" si="19"/>
        <v>0</v>
      </c>
      <c r="M80" s="136">
        <f t="shared" si="19"/>
        <v>0</v>
      </c>
      <c r="N80" s="136">
        <f t="shared" si="19"/>
        <v>0</v>
      </c>
      <c r="O80" s="136">
        <f t="shared" si="19"/>
        <v>0</v>
      </c>
      <c r="P80" s="136">
        <f t="shared" si="19"/>
        <v>0</v>
      </c>
      <c r="Q80" s="136">
        <f t="shared" si="19"/>
        <v>0</v>
      </c>
      <c r="R80" s="137" t="s">
        <v>67</v>
      </c>
      <c r="U80" s="124">
        <f t="shared" si="20"/>
        <v>0</v>
      </c>
    </row>
    <row r="81" spans="1:21">
      <c r="A81" s="117">
        <f>IF(ISBLANK(C81),"",MAX($A$38:$A80)+1)</f>
        <v>39</v>
      </c>
      <c r="B81" s="148">
        <v>391.03</v>
      </c>
      <c r="C81" s="137" t="s">
        <v>263</v>
      </c>
      <c r="E81" s="136">
        <f>'COS Statement N'!K45</f>
        <v>639902.31109999993</v>
      </c>
      <c r="F81" s="136">
        <f t="shared" si="19"/>
        <v>0</v>
      </c>
      <c r="G81" s="136">
        <f t="shared" si="19"/>
        <v>21201.00447060099</v>
      </c>
      <c r="H81" s="136">
        <f t="shared" si="19"/>
        <v>21221.450573702423</v>
      </c>
      <c r="I81" s="136">
        <f t="shared" si="19"/>
        <v>106938.14819944053</v>
      </c>
      <c r="J81" s="136">
        <f t="shared" si="19"/>
        <v>38408.670915306619</v>
      </c>
      <c r="K81" s="136">
        <f t="shared" si="19"/>
        <v>105193.2574992991</v>
      </c>
      <c r="L81" s="136">
        <f t="shared" si="19"/>
        <v>114383.73850859977</v>
      </c>
      <c r="M81" s="136">
        <f t="shared" si="19"/>
        <v>94854.138201711365</v>
      </c>
      <c r="N81" s="136">
        <f t="shared" si="19"/>
        <v>132500.64525662622</v>
      </c>
      <c r="O81" s="136">
        <f t="shared" si="19"/>
        <v>0</v>
      </c>
      <c r="P81" s="136">
        <f t="shared" si="19"/>
        <v>2362.7873309304205</v>
      </c>
      <c r="Q81" s="136">
        <f t="shared" si="19"/>
        <v>2838.4701437825843</v>
      </c>
      <c r="R81" s="137" t="s">
        <v>67</v>
      </c>
      <c r="U81" s="124">
        <f t="shared" si="20"/>
        <v>0</v>
      </c>
    </row>
    <row r="82" spans="1:21">
      <c r="A82" s="117">
        <f>IF(ISBLANK(C82),"",MAX($A$38:$A81)+1)</f>
        <v>40</v>
      </c>
      <c r="B82" s="148">
        <v>391.04</v>
      </c>
      <c r="C82" s="137" t="s">
        <v>264</v>
      </c>
      <c r="E82" s="136">
        <f>'COS Statement N'!K46</f>
        <v>723580.82000000007</v>
      </c>
      <c r="F82" s="136">
        <f t="shared" si="19"/>
        <v>0</v>
      </c>
      <c r="G82" s="136">
        <f t="shared" si="19"/>
        <v>23973.409586988964</v>
      </c>
      <c r="H82" s="136">
        <f t="shared" si="19"/>
        <v>23996.529378543564</v>
      </c>
      <c r="I82" s="136">
        <f t="shared" si="19"/>
        <v>120922.19643716913</v>
      </c>
      <c r="J82" s="136">
        <f t="shared" si="19"/>
        <v>43431.281797112606</v>
      </c>
      <c r="K82" s="136">
        <f t="shared" si="19"/>
        <v>118949.13051489057</v>
      </c>
      <c r="L82" s="136">
        <f t="shared" si="19"/>
        <v>129341.42894786962</v>
      </c>
      <c r="M82" s="136">
        <f t="shared" si="19"/>
        <v>107257.98908649644</v>
      </c>
      <c r="N82" s="136">
        <f t="shared" si="19"/>
        <v>149827.44066122928</v>
      </c>
      <c r="O82" s="136">
        <f t="shared" si="19"/>
        <v>0</v>
      </c>
      <c r="P82" s="136">
        <f t="shared" si="19"/>
        <v>2671.7634312982955</v>
      </c>
      <c r="Q82" s="136">
        <f t="shared" si="19"/>
        <v>3209.6501584016869</v>
      </c>
      <c r="R82" s="137" t="s">
        <v>67</v>
      </c>
      <c r="U82" s="124">
        <f t="shared" si="20"/>
        <v>0</v>
      </c>
    </row>
    <row r="83" spans="1:21">
      <c r="A83" s="117">
        <f>IF(ISBLANK(C83),"",MAX($A$38:$A82)+1)</f>
        <v>41</v>
      </c>
      <c r="B83" s="148">
        <v>391.05</v>
      </c>
      <c r="C83" s="137" t="s">
        <v>265</v>
      </c>
      <c r="E83" s="136">
        <f>'COS Statement N'!K47</f>
        <v>0</v>
      </c>
      <c r="F83" s="136">
        <f t="shared" si="19"/>
        <v>0</v>
      </c>
      <c r="G83" s="136">
        <f t="shared" si="19"/>
        <v>0</v>
      </c>
      <c r="H83" s="136">
        <f t="shared" si="19"/>
        <v>0</v>
      </c>
      <c r="I83" s="136">
        <f t="shared" si="19"/>
        <v>0</v>
      </c>
      <c r="J83" s="136">
        <f t="shared" si="19"/>
        <v>0</v>
      </c>
      <c r="K83" s="136">
        <f t="shared" si="19"/>
        <v>0</v>
      </c>
      <c r="L83" s="136">
        <f t="shared" si="19"/>
        <v>0</v>
      </c>
      <c r="M83" s="136">
        <f t="shared" si="19"/>
        <v>0</v>
      </c>
      <c r="N83" s="136">
        <f t="shared" si="19"/>
        <v>0</v>
      </c>
      <c r="O83" s="136">
        <f t="shared" si="19"/>
        <v>0</v>
      </c>
      <c r="P83" s="136">
        <f t="shared" si="19"/>
        <v>0</v>
      </c>
      <c r="Q83" s="136">
        <f t="shared" si="19"/>
        <v>0</v>
      </c>
      <c r="R83" s="137" t="s">
        <v>67</v>
      </c>
      <c r="U83" s="124">
        <f t="shared" si="20"/>
        <v>0</v>
      </c>
    </row>
    <row r="84" spans="1:21">
      <c r="A84" s="117">
        <f>IF(ISBLANK(C84),"",MAX($A$38:$A83)+1)</f>
        <v>42</v>
      </c>
      <c r="B84" s="148">
        <v>391.07</v>
      </c>
      <c r="C84" s="137" t="s">
        <v>702</v>
      </c>
      <c r="E84" s="136">
        <f>'COS Statement N'!K48</f>
        <v>611478.77</v>
      </c>
      <c r="F84" s="136">
        <f t="shared" si="19"/>
        <v>0</v>
      </c>
      <c r="G84" s="136">
        <f t="shared" si="19"/>
        <v>20259.286318504433</v>
      </c>
      <c r="H84" s="136">
        <f t="shared" si="19"/>
        <v>20278.82423508777</v>
      </c>
      <c r="I84" s="136">
        <f t="shared" si="19"/>
        <v>102188.10932978925</v>
      </c>
      <c r="J84" s="136">
        <f t="shared" si="19"/>
        <v>36702.612947675705</v>
      </c>
      <c r="K84" s="136">
        <f t="shared" si="19"/>
        <v>100520.72416708717</v>
      </c>
      <c r="L84" s="136">
        <f t="shared" si="19"/>
        <v>109302.97721695511</v>
      </c>
      <c r="M84" s="136">
        <f t="shared" si="19"/>
        <v>90640.853691069729</v>
      </c>
      <c r="N84" s="136">
        <f t="shared" si="19"/>
        <v>126615.15700177963</v>
      </c>
      <c r="O84" s="136">
        <f t="shared" si="19"/>
        <v>0</v>
      </c>
      <c r="P84" s="136">
        <f t="shared" si="19"/>
        <v>2257.8357130876702</v>
      </c>
      <c r="Q84" s="136">
        <f t="shared" si="19"/>
        <v>2712.3893789635945</v>
      </c>
      <c r="R84" s="137" t="s">
        <v>67</v>
      </c>
      <c r="U84" s="124">
        <f t="shared" si="20"/>
        <v>0</v>
      </c>
    </row>
    <row r="85" spans="1:21">
      <c r="A85" s="117">
        <f>IF(ISBLANK(C85),"",MAX($A$38:$A84)+1)</f>
        <v>43</v>
      </c>
      <c r="B85" s="148">
        <v>392.01</v>
      </c>
      <c r="C85" s="137" t="s">
        <v>130</v>
      </c>
      <c r="E85" s="136">
        <f>'COS Statement N'!K49</f>
        <v>0</v>
      </c>
      <c r="F85" s="136">
        <f t="shared" ref="F85:Q97" si="21">$E85*F$264/$E$264</f>
        <v>0</v>
      </c>
      <c r="G85" s="136">
        <f t="shared" si="21"/>
        <v>0</v>
      </c>
      <c r="H85" s="136">
        <f t="shared" si="21"/>
        <v>0</v>
      </c>
      <c r="I85" s="136">
        <f t="shared" si="21"/>
        <v>0</v>
      </c>
      <c r="J85" s="136">
        <f t="shared" si="21"/>
        <v>0</v>
      </c>
      <c r="K85" s="136">
        <f t="shared" si="21"/>
        <v>0</v>
      </c>
      <c r="L85" s="136">
        <f t="shared" si="21"/>
        <v>0</v>
      </c>
      <c r="M85" s="136">
        <f t="shared" si="21"/>
        <v>0</v>
      </c>
      <c r="N85" s="136">
        <f t="shared" si="21"/>
        <v>0</v>
      </c>
      <c r="O85" s="136">
        <f t="shared" si="21"/>
        <v>0</v>
      </c>
      <c r="P85" s="136">
        <f t="shared" si="21"/>
        <v>0</v>
      </c>
      <c r="Q85" s="136">
        <f t="shared" si="21"/>
        <v>0</v>
      </c>
      <c r="R85" s="137" t="s">
        <v>67</v>
      </c>
      <c r="U85" s="124">
        <f t="shared" si="20"/>
        <v>0</v>
      </c>
    </row>
    <row r="86" spans="1:21">
      <c r="A86" s="117">
        <f>IF(ISBLANK(C86),"",MAX($A$38:$A85)+1)</f>
        <v>44</v>
      </c>
      <c r="B86" s="148">
        <v>392.02</v>
      </c>
      <c r="C86" s="137" t="s">
        <v>267</v>
      </c>
      <c r="E86" s="136">
        <f>'COS Statement N'!K50</f>
        <v>2919324.9899999998</v>
      </c>
      <c r="F86" s="136">
        <f t="shared" si="21"/>
        <v>0</v>
      </c>
      <c r="G86" s="136">
        <f t="shared" si="21"/>
        <v>96721.985669551665</v>
      </c>
      <c r="H86" s="136">
        <f t="shared" si="21"/>
        <v>96815.263688237857</v>
      </c>
      <c r="I86" s="136">
        <f t="shared" si="21"/>
        <v>487866.98064318061</v>
      </c>
      <c r="J86" s="136">
        <f t="shared" si="21"/>
        <v>175225.79757993435</v>
      </c>
      <c r="K86" s="136">
        <f t="shared" si="21"/>
        <v>479906.54209282604</v>
      </c>
      <c r="L86" s="136">
        <f t="shared" si="21"/>
        <v>521834.81835494918</v>
      </c>
      <c r="M86" s="136">
        <f t="shared" si="21"/>
        <v>432738.01524666761</v>
      </c>
      <c r="N86" s="136">
        <f t="shared" si="21"/>
        <v>604486.71332950564</v>
      </c>
      <c r="O86" s="136">
        <f t="shared" si="21"/>
        <v>0</v>
      </c>
      <c r="P86" s="136">
        <f t="shared" si="21"/>
        <v>10779.370509513037</v>
      </c>
      <c r="Q86" s="136">
        <f t="shared" si="21"/>
        <v>12949.502885634118</v>
      </c>
      <c r="R86" s="137" t="s">
        <v>67</v>
      </c>
      <c r="U86" s="124">
        <f t="shared" si="20"/>
        <v>0</v>
      </c>
    </row>
    <row r="87" spans="1:21">
      <c r="A87" s="117">
        <f>IF(ISBLANK(C87),"",MAX($A$38:$A86)+1)</f>
        <v>45</v>
      </c>
      <c r="B87" s="148">
        <v>392.03</v>
      </c>
      <c r="C87" s="137" t="s">
        <v>268</v>
      </c>
      <c r="E87" s="136">
        <f>'COS Statement N'!K51</f>
        <v>20011029.188882001</v>
      </c>
      <c r="F87" s="136">
        <f t="shared" si="21"/>
        <v>0</v>
      </c>
      <c r="G87" s="136">
        <f t="shared" si="21"/>
        <v>662997.94817980344</v>
      </c>
      <c r="H87" s="136">
        <f t="shared" si="21"/>
        <v>663637.33884751075</v>
      </c>
      <c r="I87" s="136">
        <f t="shared" si="21"/>
        <v>3344170.4583710697</v>
      </c>
      <c r="J87" s="136">
        <f t="shared" si="21"/>
        <v>1201116.2039267153</v>
      </c>
      <c r="K87" s="136">
        <f t="shared" si="21"/>
        <v>3289604.2251722617</v>
      </c>
      <c r="L87" s="136">
        <f t="shared" si="21"/>
        <v>3577009.0064127543</v>
      </c>
      <c r="M87" s="136">
        <f t="shared" si="21"/>
        <v>2966279.2199918553</v>
      </c>
      <c r="N87" s="136">
        <f t="shared" si="21"/>
        <v>4143561.0307737906</v>
      </c>
      <c r="O87" s="136">
        <f t="shared" si="21"/>
        <v>0</v>
      </c>
      <c r="P87" s="136">
        <f t="shared" si="21"/>
        <v>73889.100611453076</v>
      </c>
      <c r="Q87" s="136">
        <f t="shared" si="21"/>
        <v>88764.656594789078</v>
      </c>
      <c r="R87" s="137" t="s">
        <v>67</v>
      </c>
      <c r="U87" s="124">
        <f t="shared" si="20"/>
        <v>0</v>
      </c>
    </row>
    <row r="88" spans="1:21">
      <c r="A88" s="117">
        <f>IF(ISBLANK(C88),"",MAX($A$38:$A87)+1)</f>
        <v>46</v>
      </c>
      <c r="B88" s="148">
        <v>392.04</v>
      </c>
      <c r="C88" s="137" t="s">
        <v>269</v>
      </c>
      <c r="E88" s="136">
        <f>'COS Statement N'!K52</f>
        <v>1425880.7286699999</v>
      </c>
      <c r="F88" s="136">
        <f t="shared" si="21"/>
        <v>0</v>
      </c>
      <c r="G88" s="136">
        <f t="shared" si="21"/>
        <v>47241.747964795664</v>
      </c>
      <c r="H88" s="136">
        <f t="shared" si="21"/>
        <v>47287.307582073212</v>
      </c>
      <c r="I88" s="136">
        <f t="shared" si="21"/>
        <v>238288.00432853869</v>
      </c>
      <c r="J88" s="136">
        <f t="shared" si="21"/>
        <v>85585.225622673388</v>
      </c>
      <c r="K88" s="136">
        <f t="shared" si="21"/>
        <v>234399.9014418805</v>
      </c>
      <c r="L88" s="136">
        <f t="shared" si="21"/>
        <v>254878.85507441632</v>
      </c>
      <c r="M88" s="136">
        <f t="shared" si="21"/>
        <v>211361.46150796593</v>
      </c>
      <c r="N88" s="136">
        <f t="shared" si="21"/>
        <v>295248.37358844688</v>
      </c>
      <c r="O88" s="136">
        <f t="shared" si="21"/>
        <v>0</v>
      </c>
      <c r="P88" s="136">
        <f t="shared" si="21"/>
        <v>5264.9488252790788</v>
      </c>
      <c r="Q88" s="136">
        <f t="shared" si="21"/>
        <v>6324.9027339303684</v>
      </c>
      <c r="R88" s="137" t="s">
        <v>67</v>
      </c>
      <c r="U88" s="124">
        <f t="shared" si="20"/>
        <v>0</v>
      </c>
    </row>
    <row r="89" spans="1:21">
      <c r="A89" s="117">
        <f>IF(ISBLANK(C89),"",MAX($A$38:$A88)+1)</f>
        <v>47</v>
      </c>
      <c r="B89" s="148">
        <v>392.05</v>
      </c>
      <c r="C89" s="137" t="s">
        <v>270</v>
      </c>
      <c r="E89" s="136">
        <f>'COS Statement N'!K53</f>
        <v>3262358.4424480004</v>
      </c>
      <c r="F89" s="136">
        <f t="shared" si="21"/>
        <v>0</v>
      </c>
      <c r="G89" s="136">
        <f t="shared" si="21"/>
        <v>108087.24194814515</v>
      </c>
      <c r="H89" s="136">
        <f t="shared" si="21"/>
        <v>108191.48054192904</v>
      </c>
      <c r="I89" s="136">
        <f t="shared" si="21"/>
        <v>545193.4842968256</v>
      </c>
      <c r="J89" s="136">
        <f t="shared" si="21"/>
        <v>195815.59505287668</v>
      </c>
      <c r="K89" s="136">
        <f t="shared" si="21"/>
        <v>536297.65940603882</v>
      </c>
      <c r="L89" s="136">
        <f t="shared" si="21"/>
        <v>583152.69148009014</v>
      </c>
      <c r="M89" s="136">
        <f t="shared" si="21"/>
        <v>483586.6243888652</v>
      </c>
      <c r="N89" s="136">
        <f t="shared" si="21"/>
        <v>675516.54554848222</v>
      </c>
      <c r="O89" s="136">
        <f t="shared" si="21"/>
        <v>0</v>
      </c>
      <c r="P89" s="136">
        <f t="shared" si="21"/>
        <v>12045.993682253535</v>
      </c>
      <c r="Q89" s="136">
        <f t="shared" si="21"/>
        <v>14471.126102494403</v>
      </c>
      <c r="R89" s="137" t="s">
        <v>67</v>
      </c>
      <c r="U89" s="124">
        <f t="shared" si="20"/>
        <v>0</v>
      </c>
    </row>
    <row r="90" spans="1:21">
      <c r="A90" s="117">
        <f>IF(ISBLANK(C90),"",MAX($A$38:$A89)+1)</f>
        <v>48</v>
      </c>
      <c r="B90" s="148">
        <v>392.06</v>
      </c>
      <c r="C90" s="137" t="s">
        <v>271</v>
      </c>
      <c r="E90" s="136">
        <f>'COS Statement N'!K54</f>
        <v>1027857.551008</v>
      </c>
      <c r="F90" s="136">
        <f t="shared" si="21"/>
        <v>0</v>
      </c>
      <c r="G90" s="136">
        <f t="shared" si="21"/>
        <v>34054.592640244642</v>
      </c>
      <c r="H90" s="136">
        <f t="shared" si="21"/>
        <v>34087.434655497513</v>
      </c>
      <c r="I90" s="136">
        <f t="shared" si="21"/>
        <v>171771.81768363755</v>
      </c>
      <c r="J90" s="136">
        <f t="shared" si="21"/>
        <v>61694.795814403282</v>
      </c>
      <c r="K90" s="136">
        <f t="shared" si="21"/>
        <v>168969.04755652091</v>
      </c>
      <c r="L90" s="136">
        <f t="shared" si="21"/>
        <v>183731.46541146919</v>
      </c>
      <c r="M90" s="136">
        <f t="shared" si="21"/>
        <v>152361.60348817569</v>
      </c>
      <c r="N90" s="136">
        <f t="shared" si="21"/>
        <v>212832.15637452572</v>
      </c>
      <c r="O90" s="136">
        <f t="shared" si="21"/>
        <v>0</v>
      </c>
      <c r="P90" s="136">
        <f t="shared" si="21"/>
        <v>3795.2805567275773</v>
      </c>
      <c r="Q90" s="136">
        <f t="shared" si="21"/>
        <v>4559.3568267981409</v>
      </c>
      <c r="R90" s="137" t="s">
        <v>67</v>
      </c>
      <c r="U90" s="124">
        <f t="shared" si="20"/>
        <v>0</v>
      </c>
    </row>
    <row r="91" spans="1:21">
      <c r="A91" s="117">
        <f>IF(ISBLANK(C91),"",MAX($A$38:$A90)+1)</f>
        <v>49</v>
      </c>
      <c r="B91" s="148">
        <v>393</v>
      </c>
      <c r="C91" s="137" t="s">
        <v>131</v>
      </c>
      <c r="E91" s="136">
        <f>'COS Statement N'!K55</f>
        <v>28177.52</v>
      </c>
      <c r="F91" s="136">
        <f t="shared" si="21"/>
        <v>0</v>
      </c>
      <c r="G91" s="136">
        <f t="shared" si="21"/>
        <v>933.5670728607389</v>
      </c>
      <c r="H91" s="136">
        <f t="shared" si="21"/>
        <v>934.46739853400038</v>
      </c>
      <c r="I91" s="136">
        <f t="shared" si="21"/>
        <v>4708.9247177008665</v>
      </c>
      <c r="J91" s="136">
        <f t="shared" si="21"/>
        <v>1691.2911144656603</v>
      </c>
      <c r="K91" s="136">
        <f t="shared" si="21"/>
        <v>4632.0900325494249</v>
      </c>
      <c r="L91" s="136">
        <f t="shared" si="21"/>
        <v>5036.7845585060904</v>
      </c>
      <c r="M91" s="136">
        <f t="shared" si="21"/>
        <v>4176.816257573736</v>
      </c>
      <c r="N91" s="136">
        <f t="shared" si="21"/>
        <v>5834.5461752021019</v>
      </c>
      <c r="O91" s="136">
        <f t="shared" si="21"/>
        <v>0</v>
      </c>
      <c r="P91" s="136">
        <f t="shared" si="21"/>
        <v>104.0432049051222</v>
      </c>
      <c r="Q91" s="136">
        <f t="shared" si="21"/>
        <v>124.9894677022626</v>
      </c>
      <c r="R91" s="137" t="s">
        <v>67</v>
      </c>
      <c r="U91" s="124">
        <f t="shared" si="20"/>
        <v>0</v>
      </c>
    </row>
    <row r="92" spans="1:21">
      <c r="A92" s="117">
        <f>IF(ISBLANK(C92),"",MAX($A$38:$A91)+1)</f>
        <v>50</v>
      </c>
      <c r="B92" s="148">
        <v>394</v>
      </c>
      <c r="C92" s="137" t="s">
        <v>272</v>
      </c>
      <c r="E92" s="136">
        <f>'COS Statement N'!K56</f>
        <v>14026733.278991999</v>
      </c>
      <c r="F92" s="136">
        <f t="shared" si="21"/>
        <v>0</v>
      </c>
      <c r="G92" s="136">
        <f t="shared" si="21"/>
        <v>464728.49026695301</v>
      </c>
      <c r="H92" s="136">
        <f t="shared" si="21"/>
        <v>465176.67123117798</v>
      </c>
      <c r="I92" s="136">
        <f t="shared" si="21"/>
        <v>2344096.6787014171</v>
      </c>
      <c r="J92" s="136">
        <f t="shared" si="21"/>
        <v>841922.54533894197</v>
      </c>
      <c r="K92" s="136">
        <f t="shared" si="21"/>
        <v>2305848.4710807814</v>
      </c>
      <c r="L92" s="136">
        <f t="shared" si="21"/>
        <v>2507304.886516287</v>
      </c>
      <c r="M92" s="136">
        <f t="shared" si="21"/>
        <v>2079213.7704221071</v>
      </c>
      <c r="N92" s="136">
        <f t="shared" si="21"/>
        <v>2904429.5950645339</v>
      </c>
      <c r="O92" s="136">
        <f t="shared" si="21"/>
        <v>0</v>
      </c>
      <c r="P92" s="136">
        <f t="shared" si="21"/>
        <v>51792.573821104947</v>
      </c>
      <c r="Q92" s="136">
        <f t="shared" si="21"/>
        <v>62219.596548696354</v>
      </c>
      <c r="R92" s="137" t="s">
        <v>67</v>
      </c>
      <c r="U92" s="124">
        <f t="shared" si="20"/>
        <v>0</v>
      </c>
    </row>
    <row r="93" spans="1:21">
      <c r="A93" s="117">
        <f>IF(ISBLANK(C93),"",MAX($A$38:$A92)+1)</f>
        <v>51</v>
      </c>
      <c r="B93" s="148">
        <v>395</v>
      </c>
      <c r="C93" s="137" t="s">
        <v>132</v>
      </c>
      <c r="E93" s="136">
        <f>'COS Statement N'!K57</f>
        <v>88802.52</v>
      </c>
      <c r="F93" s="136">
        <f t="shared" si="21"/>
        <v>0</v>
      </c>
      <c r="G93" s="136">
        <f t="shared" si="21"/>
        <v>2942.1719391577831</v>
      </c>
      <c r="H93" s="136">
        <f t="shared" si="21"/>
        <v>2945.0093495688598</v>
      </c>
      <c r="I93" s="136">
        <f t="shared" si="21"/>
        <v>14840.354347086814</v>
      </c>
      <c r="J93" s="136">
        <f t="shared" si="21"/>
        <v>5330.1679146411425</v>
      </c>
      <c r="K93" s="136">
        <f t="shared" si="21"/>
        <v>14598.206930818287</v>
      </c>
      <c r="L93" s="136">
        <f t="shared" si="21"/>
        <v>15873.617035581139</v>
      </c>
      <c r="M93" s="136">
        <f t="shared" si="21"/>
        <v>13163.394409781869</v>
      </c>
      <c r="N93" s="136">
        <f t="shared" si="21"/>
        <v>18387.792943250795</v>
      </c>
      <c r="O93" s="136">
        <f t="shared" si="21"/>
        <v>0</v>
      </c>
      <c r="P93" s="136">
        <f t="shared" si="21"/>
        <v>327.89609534306823</v>
      </c>
      <c r="Q93" s="136">
        <f t="shared" si="21"/>
        <v>393.90903477025404</v>
      </c>
      <c r="R93" s="137" t="s">
        <v>67</v>
      </c>
      <c r="U93" s="124">
        <f t="shared" si="20"/>
        <v>0</v>
      </c>
    </row>
    <row r="94" spans="1:21">
      <c r="A94" s="117">
        <f>IF(ISBLANK(C94),"",MAX($A$38:$A93)+1)</f>
        <v>52</v>
      </c>
      <c r="B94" s="148">
        <v>396</v>
      </c>
      <c r="C94" s="137" t="s">
        <v>550</v>
      </c>
      <c r="E94" s="136">
        <f>'COS Statement N'!K58</f>
        <v>5497463.7499999991</v>
      </c>
      <c r="F94" s="136">
        <f t="shared" si="21"/>
        <v>0</v>
      </c>
      <c r="G94" s="136">
        <f t="shared" si="21"/>
        <v>182139.91654501602</v>
      </c>
      <c r="H94" s="136">
        <f t="shared" si="21"/>
        <v>182315.57102958206</v>
      </c>
      <c r="I94" s="136">
        <f t="shared" si="21"/>
        <v>918716.15873361076</v>
      </c>
      <c r="J94" s="136">
        <f t="shared" si="21"/>
        <v>329972.67298442399</v>
      </c>
      <c r="K94" s="136">
        <f t="shared" si="21"/>
        <v>903725.63095250318</v>
      </c>
      <c r="L94" s="136">
        <f t="shared" si="21"/>
        <v>982681.95806256123</v>
      </c>
      <c r="M94" s="136">
        <f t="shared" si="21"/>
        <v>814901.23922979273</v>
      </c>
      <c r="N94" s="136">
        <f t="shared" si="21"/>
        <v>1138326.0874581828</v>
      </c>
      <c r="O94" s="136">
        <f t="shared" si="21"/>
        <v>0</v>
      </c>
      <c r="P94" s="136">
        <f t="shared" si="21"/>
        <v>20298.938565201315</v>
      </c>
      <c r="Q94" s="136">
        <f t="shared" si="21"/>
        <v>24385.576439125387</v>
      </c>
      <c r="R94" s="137" t="s">
        <v>67</v>
      </c>
      <c r="U94" s="124">
        <f t="shared" si="20"/>
        <v>0</v>
      </c>
    </row>
    <row r="95" spans="1:21">
      <c r="A95" s="117">
        <f>IF(ISBLANK(C95),"",MAX($A$38:$A94)+1)</f>
        <v>53</v>
      </c>
      <c r="B95" s="148">
        <v>397</v>
      </c>
      <c r="C95" s="137" t="s">
        <v>133</v>
      </c>
      <c r="E95" s="136">
        <f>'COS Statement N'!K59</f>
        <v>846080.4</v>
      </c>
      <c r="F95" s="136">
        <f t="shared" si="21"/>
        <v>0</v>
      </c>
      <c r="G95" s="136">
        <f t="shared" si="21"/>
        <v>28032.019937625566</v>
      </c>
      <c r="H95" s="136">
        <f t="shared" si="21"/>
        <v>28059.053825127496</v>
      </c>
      <c r="I95" s="136">
        <f t="shared" si="21"/>
        <v>141393.88096334372</v>
      </c>
      <c r="J95" s="136">
        <f t="shared" si="21"/>
        <v>50784.03857555781</v>
      </c>
      <c r="K95" s="136">
        <f t="shared" si="21"/>
        <v>139086.78221417038</v>
      </c>
      <c r="L95" s="136">
        <f t="shared" si="21"/>
        <v>151238.45867111997</v>
      </c>
      <c r="M95" s="136">
        <f t="shared" si="21"/>
        <v>125416.37340456112</v>
      </c>
      <c r="N95" s="136">
        <f t="shared" si="21"/>
        <v>175192.67706077272</v>
      </c>
      <c r="O95" s="136">
        <f t="shared" si="21"/>
        <v>0</v>
      </c>
      <c r="P95" s="136">
        <f t="shared" si="21"/>
        <v>3124.0831848724711</v>
      </c>
      <c r="Q95" s="136">
        <f t="shared" si="21"/>
        <v>3753.0321628488746</v>
      </c>
      <c r="R95" s="137" t="s">
        <v>67</v>
      </c>
      <c r="U95" s="124">
        <f t="shared" si="20"/>
        <v>0</v>
      </c>
    </row>
    <row r="96" spans="1:21">
      <c r="A96" s="117">
        <f>IF(ISBLANK(C96),"",MAX($A$38:$A95)+1)</f>
        <v>54</v>
      </c>
      <c r="B96" s="148">
        <v>398</v>
      </c>
      <c r="C96" s="137" t="s">
        <v>273</v>
      </c>
      <c r="E96" s="136">
        <f>'COS Statement N'!K60</f>
        <v>177567.56999999998</v>
      </c>
      <c r="F96" s="136">
        <f t="shared" si="21"/>
        <v>0</v>
      </c>
      <c r="G96" s="136">
        <f t="shared" si="21"/>
        <v>5883.102436264594</v>
      </c>
      <c r="H96" s="136">
        <f t="shared" si="21"/>
        <v>5888.7760598485593</v>
      </c>
      <c r="I96" s="136">
        <f t="shared" si="21"/>
        <v>29674.44684397629</v>
      </c>
      <c r="J96" s="136">
        <f t="shared" si="21"/>
        <v>10658.086778334613</v>
      </c>
      <c r="K96" s="136">
        <f t="shared" si="21"/>
        <v>29190.254184932601</v>
      </c>
      <c r="L96" s="136">
        <f t="shared" si="21"/>
        <v>31740.536238371911</v>
      </c>
      <c r="M96" s="136">
        <f t="shared" si="21"/>
        <v>26321.234558394855</v>
      </c>
      <c r="N96" s="136">
        <f t="shared" si="21"/>
        <v>36767.827203509441</v>
      </c>
      <c r="O96" s="136">
        <f t="shared" si="21"/>
        <v>0</v>
      </c>
      <c r="P96" s="136">
        <f t="shared" si="21"/>
        <v>655.65383575327519</v>
      </c>
      <c r="Q96" s="136">
        <f t="shared" si="21"/>
        <v>787.65186061385998</v>
      </c>
      <c r="R96" s="137" t="s">
        <v>67</v>
      </c>
      <c r="U96" s="124">
        <f t="shared" si="20"/>
        <v>0</v>
      </c>
    </row>
    <row r="97" spans="1:21">
      <c r="A97" s="117">
        <f>IF(ISBLANK(C97),"",MAX($A$38:$A96)+1)</f>
        <v>55</v>
      </c>
      <c r="B97" s="148">
        <v>399</v>
      </c>
      <c r="C97" s="137" t="s">
        <v>198</v>
      </c>
      <c r="E97" s="142">
        <f>'COS Statement N'!K61</f>
        <v>0</v>
      </c>
      <c r="F97" s="142">
        <f t="shared" si="21"/>
        <v>0</v>
      </c>
      <c r="G97" s="142">
        <f t="shared" si="21"/>
        <v>0</v>
      </c>
      <c r="H97" s="142">
        <f t="shared" si="21"/>
        <v>0</v>
      </c>
      <c r="I97" s="142">
        <f t="shared" si="21"/>
        <v>0</v>
      </c>
      <c r="J97" s="142">
        <f t="shared" si="21"/>
        <v>0</v>
      </c>
      <c r="K97" s="142">
        <f t="shared" si="21"/>
        <v>0</v>
      </c>
      <c r="L97" s="142">
        <f t="shared" si="21"/>
        <v>0</v>
      </c>
      <c r="M97" s="142">
        <f t="shared" si="21"/>
        <v>0</v>
      </c>
      <c r="N97" s="142">
        <f t="shared" si="21"/>
        <v>0</v>
      </c>
      <c r="O97" s="142">
        <f t="shared" si="21"/>
        <v>0</v>
      </c>
      <c r="P97" s="142">
        <f t="shared" si="21"/>
        <v>0</v>
      </c>
      <c r="Q97" s="142">
        <f t="shared" si="21"/>
        <v>0</v>
      </c>
      <c r="R97" s="137" t="s">
        <v>67</v>
      </c>
      <c r="U97" s="124">
        <f t="shared" si="20"/>
        <v>0</v>
      </c>
    </row>
    <row r="98" spans="1:21">
      <c r="A98" s="117">
        <f>IF(ISBLANK(C98),"",MAX($A$38:$A97)+1)</f>
        <v>56</v>
      </c>
      <c r="B98" s="148"/>
      <c r="C98" s="149" t="s">
        <v>134</v>
      </c>
      <c r="E98" s="136">
        <f>SUM(E75:E97)</f>
        <v>104026242.83</v>
      </c>
      <c r="F98" s="136">
        <f t="shared" ref="F98:P98" si="22">SUM(F75:F97)</f>
        <v>0</v>
      </c>
      <c r="G98" s="136">
        <f t="shared" si="22"/>
        <v>3446558.6403453369</v>
      </c>
      <c r="H98" s="136">
        <f t="shared" si="22"/>
        <v>3449882.4778268742</v>
      </c>
      <c r="I98" s="136">
        <f t="shared" si="22"/>
        <v>17384487.568520568</v>
      </c>
      <c r="J98" s="136">
        <f t="shared" si="22"/>
        <v>6243937.0168001335</v>
      </c>
      <c r="K98" s="136">
        <f t="shared" si="22"/>
        <v>17100827.984024461</v>
      </c>
      <c r="L98" s="136">
        <f t="shared" si="22"/>
        <v>18594886.049785394</v>
      </c>
      <c r="M98" s="136">
        <f t="shared" si="22"/>
        <v>15420040.595008262</v>
      </c>
      <c r="N98" s="136">
        <f t="shared" si="22"/>
        <v>21540075.820172302</v>
      </c>
      <c r="O98" s="136">
        <f t="shared" si="22"/>
        <v>0</v>
      </c>
      <c r="P98" s="136">
        <f t="shared" si="22"/>
        <v>384108.45589930145</v>
      </c>
      <c r="Q98" s="136">
        <f t="shared" ref="Q98" si="23">SUM(Q75:Q97)</f>
        <v>461438.22161737486</v>
      </c>
      <c r="R98" s="137"/>
      <c r="U98" s="124"/>
    </row>
    <row r="99" spans="1:21">
      <c r="A99" s="117"/>
      <c r="B99" s="148"/>
      <c r="C99" s="137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7"/>
      <c r="U99" s="124"/>
    </row>
    <row r="100" spans="1:21">
      <c r="A100" s="117">
        <f>IF(ISBLANK(C100),"",MAX($A$38:$A98)+1)</f>
        <v>57</v>
      </c>
      <c r="B100" s="153">
        <v>118</v>
      </c>
      <c r="C100" s="154" t="s">
        <v>599</v>
      </c>
      <c r="D100" s="155"/>
      <c r="E100" s="141">
        <f>'COS Statement N'!K64</f>
        <v>12965643.674929507</v>
      </c>
      <c r="F100" s="141"/>
      <c r="G100" s="141"/>
      <c r="H100" s="141"/>
      <c r="I100" s="141"/>
      <c r="J100" s="141"/>
      <c r="K100" s="141"/>
      <c r="L100" s="141"/>
      <c r="M100" s="141"/>
      <c r="N100" s="141">
        <f>+E100</f>
        <v>12965643.674929507</v>
      </c>
      <c r="O100" s="141"/>
      <c r="P100" s="141"/>
      <c r="Q100" s="141"/>
      <c r="R100" s="152" t="s">
        <v>415</v>
      </c>
      <c r="U100" s="124">
        <f>+E100-SUM(F100:Q100)</f>
        <v>0</v>
      </c>
    </row>
    <row r="101" spans="1:21">
      <c r="A101" s="117">
        <f>IF(ISBLANK(C101),"",MAX($A$38:$A100)+1)</f>
        <v>58</v>
      </c>
      <c r="B101" s="153">
        <v>118</v>
      </c>
      <c r="C101" s="154" t="s">
        <v>600</v>
      </c>
      <c r="D101" s="155"/>
      <c r="E101" s="156">
        <f>'COS Statement N'!K65</f>
        <v>15939073.541234924</v>
      </c>
      <c r="F101" s="156">
        <f t="shared" ref="F101:Q101" si="24">$E101*F$264/$E$264</f>
        <v>0</v>
      </c>
      <c r="G101" s="156">
        <f t="shared" si="24"/>
        <v>528087.43388356175</v>
      </c>
      <c r="H101" s="156">
        <f t="shared" si="24"/>
        <v>528596.71777785674</v>
      </c>
      <c r="I101" s="156">
        <f t="shared" si="24"/>
        <v>2663680.0320103765</v>
      </c>
      <c r="J101" s="156">
        <f t="shared" si="24"/>
        <v>956706.39052355685</v>
      </c>
      <c r="K101" s="156">
        <f t="shared" si="24"/>
        <v>2620217.2397864163</v>
      </c>
      <c r="L101" s="156">
        <f t="shared" si="24"/>
        <v>2849139.2957714181</v>
      </c>
      <c r="M101" s="156">
        <f t="shared" si="24"/>
        <v>2362684.2070449563</v>
      </c>
      <c r="N101" s="156">
        <f t="shared" si="24"/>
        <v>3300406.159458932</v>
      </c>
      <c r="O101" s="156">
        <f t="shared" si="24"/>
        <v>0</v>
      </c>
      <c r="P101" s="156">
        <f t="shared" si="24"/>
        <v>58853.734979108056</v>
      </c>
      <c r="Q101" s="156">
        <f t="shared" si="24"/>
        <v>70702.329998742644</v>
      </c>
      <c r="R101" s="152" t="s">
        <v>67</v>
      </c>
      <c r="U101" s="124">
        <f>+E101-SUM(F101:Q101)</f>
        <v>0</v>
      </c>
    </row>
    <row r="102" spans="1:21">
      <c r="A102" s="117">
        <f>IF(ISBLANK(C102),"",MAX($A$38:$A101)+1)</f>
        <v>59</v>
      </c>
      <c r="B102" s="153"/>
      <c r="C102" s="157" t="s">
        <v>476</v>
      </c>
      <c r="D102" s="155"/>
      <c r="E102" s="141">
        <f t="shared" ref="E102:P102" si="25">SUM(E100:E101)</f>
        <v>28904717.216164432</v>
      </c>
      <c r="F102" s="141">
        <f t="shared" si="25"/>
        <v>0</v>
      </c>
      <c r="G102" s="141">
        <f t="shared" si="25"/>
        <v>528087.43388356175</v>
      </c>
      <c r="H102" s="141">
        <f t="shared" si="25"/>
        <v>528596.71777785674</v>
      </c>
      <c r="I102" s="141">
        <f t="shared" si="25"/>
        <v>2663680.0320103765</v>
      </c>
      <c r="J102" s="141">
        <f t="shared" si="25"/>
        <v>956706.39052355685</v>
      </c>
      <c r="K102" s="141">
        <f t="shared" si="25"/>
        <v>2620217.2397864163</v>
      </c>
      <c r="L102" s="141">
        <f t="shared" si="25"/>
        <v>2849139.2957714181</v>
      </c>
      <c r="M102" s="141">
        <f t="shared" si="25"/>
        <v>2362684.2070449563</v>
      </c>
      <c r="N102" s="141">
        <f t="shared" si="25"/>
        <v>16266049.834388439</v>
      </c>
      <c r="O102" s="141">
        <f t="shared" si="25"/>
        <v>0</v>
      </c>
      <c r="P102" s="141">
        <f t="shared" si="25"/>
        <v>58853.734979108056</v>
      </c>
      <c r="Q102" s="141">
        <f t="shared" ref="Q102" si="26">SUM(Q100:Q101)</f>
        <v>70702.329998742644</v>
      </c>
      <c r="R102" s="152"/>
      <c r="U102" s="124">
        <f>+E102-SUM(F102:Q102)</f>
        <v>0</v>
      </c>
    </row>
    <row r="103" spans="1:21">
      <c r="A103" s="117"/>
      <c r="B103" s="153"/>
      <c r="C103" s="154"/>
      <c r="D103" s="155"/>
      <c r="E103" s="141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2"/>
      <c r="U103" s="124"/>
    </row>
    <row r="104" spans="1:21">
      <c r="A104" s="117">
        <f>IF(ISBLANK(C104),"",MAX($A$38:$A102)+1)</f>
        <v>60</v>
      </c>
      <c r="B104" s="138"/>
      <c r="C104" s="137" t="s">
        <v>134</v>
      </c>
      <c r="E104" s="159">
        <f t="shared" ref="E104:P104" si="27">E98+E102</f>
        <v>132930960.04616442</v>
      </c>
      <c r="F104" s="159">
        <f t="shared" si="27"/>
        <v>0</v>
      </c>
      <c r="G104" s="159">
        <f t="shared" si="27"/>
        <v>3974646.0742288986</v>
      </c>
      <c r="H104" s="159">
        <f t="shared" si="27"/>
        <v>3978479.1956047309</v>
      </c>
      <c r="I104" s="159">
        <f t="shared" si="27"/>
        <v>20048167.600530945</v>
      </c>
      <c r="J104" s="159">
        <f t="shared" si="27"/>
        <v>7200643.4073236901</v>
      </c>
      <c r="K104" s="159">
        <f t="shared" si="27"/>
        <v>19721045.223810878</v>
      </c>
      <c r="L104" s="159">
        <f t="shared" si="27"/>
        <v>21444025.34555681</v>
      </c>
      <c r="M104" s="159">
        <f t="shared" si="27"/>
        <v>17782724.802053217</v>
      </c>
      <c r="N104" s="159">
        <f t="shared" si="27"/>
        <v>37806125.654560745</v>
      </c>
      <c r="O104" s="159">
        <f t="shared" si="27"/>
        <v>0</v>
      </c>
      <c r="P104" s="159">
        <f t="shared" si="27"/>
        <v>442962.19087840948</v>
      </c>
      <c r="Q104" s="159">
        <f t="shared" ref="Q104" si="28">Q98+Q102</f>
        <v>532140.55161611747</v>
      </c>
      <c r="R104" s="152" t="str">
        <f>"Sum of Lines "&amp;A98&amp;" and "&amp;A102&amp;""</f>
        <v>Sum of Lines 56 and 59</v>
      </c>
      <c r="U104" s="124">
        <f>+E104-SUM(F104:Q104)</f>
        <v>0</v>
      </c>
    </row>
    <row r="105" spans="1:21">
      <c r="A105" s="117">
        <f>IF(ISBLANK(C105),"",MAX($A$38:$A104)+1)</f>
        <v>61</v>
      </c>
      <c r="B105" s="138"/>
      <c r="C105" s="137" t="s">
        <v>102</v>
      </c>
      <c r="E105" s="136">
        <f t="shared" ref="E105:Q105" si="29">SUM(E46,E53,E72,E104)</f>
        <v>936940581.96910679</v>
      </c>
      <c r="F105" s="136">
        <f t="shared" si="29"/>
        <v>0</v>
      </c>
      <c r="G105" s="136">
        <f t="shared" si="29"/>
        <v>37490183.097138651</v>
      </c>
      <c r="H105" s="136">
        <f t="shared" si="29"/>
        <v>37494059.807296261</v>
      </c>
      <c r="I105" s="136">
        <f t="shared" si="29"/>
        <v>199710496.5195854</v>
      </c>
      <c r="J105" s="136">
        <f t="shared" si="29"/>
        <v>49634373.380519666</v>
      </c>
      <c r="K105" s="136">
        <f t="shared" si="29"/>
        <v>220356061.57923052</v>
      </c>
      <c r="L105" s="136">
        <f t="shared" si="29"/>
        <v>181460972.15323246</v>
      </c>
      <c r="M105" s="136">
        <f t="shared" si="29"/>
        <v>166686001.13622364</v>
      </c>
      <c r="N105" s="136">
        <f t="shared" si="29"/>
        <v>38088602.060096771</v>
      </c>
      <c r="O105" s="136">
        <f t="shared" si="29"/>
        <v>0</v>
      </c>
      <c r="P105" s="136">
        <f t="shared" si="29"/>
        <v>2487208.386516171</v>
      </c>
      <c r="Q105" s="136">
        <f t="shared" si="29"/>
        <v>3532623.8492674162</v>
      </c>
      <c r="R105" s="137" t="str">
        <f>"Sum of Lines "&amp;A46&amp;","&amp;A53&amp;", "&amp;A72&amp;" and "&amp;A104</f>
        <v>Sum of Lines 7,13, 31 and 60</v>
      </c>
      <c r="U105" s="124">
        <f>+E105-SUM(F105:Q105)</f>
        <v>0</v>
      </c>
    </row>
    <row r="106" spans="1:21">
      <c r="A106" s="117"/>
      <c r="B106" s="138"/>
      <c r="C106" s="138"/>
      <c r="E106" s="158"/>
      <c r="F106" s="635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7"/>
      <c r="U106" s="124"/>
    </row>
    <row r="107" spans="1:21">
      <c r="A107" s="117"/>
      <c r="B107" s="138"/>
      <c r="C107" s="138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7"/>
      <c r="U107" s="124"/>
    </row>
    <row r="108" spans="1:21">
      <c r="A108" s="113" t="str">
        <f>$A$1</f>
        <v>Black Hills Nebraska Gas, LLC</v>
      </c>
      <c r="B108" s="114"/>
      <c r="C108" s="115"/>
      <c r="D108" s="115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634" t="str">
        <f>$R$1</f>
        <v>Section 4, Exhibit A</v>
      </c>
      <c r="U108" s="124"/>
    </row>
    <row r="109" spans="1:21">
      <c r="A109" s="113" t="s">
        <v>706</v>
      </c>
      <c r="B109" s="114"/>
      <c r="C109" s="115"/>
      <c r="D109" s="115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634" t="s">
        <v>188</v>
      </c>
      <c r="U109" s="124"/>
    </row>
    <row r="110" spans="1:21">
      <c r="A110" s="113" t="str">
        <f>$A$3</f>
        <v>FOR THE PRO FORMA PERIOD ENDED DECEMBER 31, 2020</v>
      </c>
      <c r="B110" s="114"/>
      <c r="C110" s="115"/>
      <c r="D110" s="115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634" t="s">
        <v>60</v>
      </c>
      <c r="U110" s="124"/>
    </row>
    <row r="111" spans="1:21"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U111" s="124"/>
    </row>
    <row r="112" spans="1:21"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U112" s="124"/>
    </row>
    <row r="113" spans="1:21">
      <c r="A113" s="117"/>
      <c r="B113" s="117" t="s">
        <v>0</v>
      </c>
      <c r="C113" s="115" t="s">
        <v>1</v>
      </c>
      <c r="D113" s="115"/>
      <c r="E113" s="144" t="s">
        <v>2</v>
      </c>
      <c r="F113" s="144" t="s">
        <v>3</v>
      </c>
      <c r="G113" s="144" t="s">
        <v>4</v>
      </c>
      <c r="H113" s="144" t="s">
        <v>5</v>
      </c>
      <c r="I113" s="144" t="s">
        <v>26</v>
      </c>
      <c r="J113" s="144" t="s">
        <v>61</v>
      </c>
      <c r="K113" s="144" t="s">
        <v>62</v>
      </c>
      <c r="L113" s="144" t="s">
        <v>63</v>
      </c>
      <c r="M113" s="144" t="s">
        <v>64</v>
      </c>
      <c r="N113" s="144" t="s">
        <v>79</v>
      </c>
      <c r="O113" s="144" t="s">
        <v>80</v>
      </c>
      <c r="P113" s="144" t="s">
        <v>81</v>
      </c>
      <c r="Q113" s="144" t="s">
        <v>195</v>
      </c>
      <c r="R113" s="117" t="s">
        <v>196</v>
      </c>
      <c r="S113" s="117"/>
      <c r="T113" s="117"/>
      <c r="U113" s="124"/>
    </row>
    <row r="114" spans="1:21"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U114" s="124"/>
    </row>
    <row r="115" spans="1:21">
      <c r="A115" s="118"/>
      <c r="B115" s="119"/>
      <c r="C115" s="119"/>
      <c r="D115" s="120"/>
      <c r="E115" s="119"/>
      <c r="F115" s="118"/>
      <c r="G115" s="121"/>
      <c r="H115" s="122"/>
      <c r="I115" s="121"/>
      <c r="J115" s="123"/>
      <c r="K115" s="123"/>
      <c r="L115" s="118"/>
      <c r="M115" s="118" t="s">
        <v>82</v>
      </c>
      <c r="N115" s="118"/>
      <c r="O115" s="118"/>
      <c r="P115" s="160"/>
      <c r="Q115" s="160"/>
      <c r="R115" s="118"/>
      <c r="S115" s="117"/>
      <c r="T115" s="117"/>
      <c r="U115" s="124"/>
    </row>
    <row r="116" spans="1:21">
      <c r="A116" s="125" t="s">
        <v>6</v>
      </c>
      <c r="B116" s="126" t="s">
        <v>87</v>
      </c>
      <c r="C116" s="126"/>
      <c r="D116" s="117"/>
      <c r="E116" s="126" t="s">
        <v>20</v>
      </c>
      <c r="F116" s="125"/>
      <c r="G116" s="127" t="s">
        <v>42</v>
      </c>
      <c r="H116" s="128"/>
      <c r="I116" s="127" t="s">
        <v>45</v>
      </c>
      <c r="J116" s="129"/>
      <c r="K116" s="129"/>
      <c r="L116" s="125"/>
      <c r="M116" s="125" t="s">
        <v>83</v>
      </c>
      <c r="N116" s="125" t="s">
        <v>46</v>
      </c>
      <c r="O116" s="125" t="s">
        <v>21</v>
      </c>
      <c r="P116" s="161" t="s">
        <v>194</v>
      </c>
      <c r="Q116" s="161" t="s">
        <v>194</v>
      </c>
      <c r="R116" s="125"/>
      <c r="S116" s="117"/>
      <c r="T116" s="117"/>
      <c r="U116" s="124"/>
    </row>
    <row r="117" spans="1:21">
      <c r="A117" s="130" t="s">
        <v>88</v>
      </c>
      <c r="B117" s="131" t="s">
        <v>88</v>
      </c>
      <c r="C117" s="127" t="s">
        <v>8</v>
      </c>
      <c r="D117" s="129"/>
      <c r="E117" s="131" t="s">
        <v>219</v>
      </c>
      <c r="F117" s="130" t="s">
        <v>41</v>
      </c>
      <c r="G117" s="132" t="s">
        <v>43</v>
      </c>
      <c r="H117" s="132" t="s">
        <v>33</v>
      </c>
      <c r="I117" s="132" t="s">
        <v>43</v>
      </c>
      <c r="J117" s="133" t="s">
        <v>33</v>
      </c>
      <c r="K117" s="133" t="s">
        <v>46</v>
      </c>
      <c r="L117" s="130" t="s">
        <v>34</v>
      </c>
      <c r="M117" s="130" t="s">
        <v>84</v>
      </c>
      <c r="N117" s="130" t="s">
        <v>85</v>
      </c>
      <c r="O117" s="130" t="s">
        <v>47</v>
      </c>
      <c r="P117" s="162" t="s">
        <v>47</v>
      </c>
      <c r="Q117" s="162" t="str">
        <f>+Q10</f>
        <v>Supply</v>
      </c>
      <c r="R117" s="130" t="s">
        <v>86</v>
      </c>
      <c r="S117" s="117"/>
      <c r="T117" s="117"/>
      <c r="U117" s="124"/>
    </row>
    <row r="118" spans="1:21">
      <c r="A118" s="117" t="str">
        <f>IF(ISBLANK(C118),"",MAX($A$38:$A117)+1)</f>
        <v/>
      </c>
      <c r="B118" s="117"/>
      <c r="C118" s="117"/>
      <c r="D118" s="117"/>
      <c r="E118" s="144" t="s">
        <v>27</v>
      </c>
      <c r="F118" s="144" t="s">
        <v>27</v>
      </c>
      <c r="G118" s="144" t="s">
        <v>27</v>
      </c>
      <c r="H118" s="144" t="s">
        <v>27</v>
      </c>
      <c r="I118" s="144" t="s">
        <v>27</v>
      </c>
      <c r="J118" s="144" t="s">
        <v>27</v>
      </c>
      <c r="K118" s="144" t="s">
        <v>27</v>
      </c>
      <c r="L118" s="144" t="s">
        <v>27</v>
      </c>
      <c r="M118" s="144" t="s">
        <v>27</v>
      </c>
      <c r="N118" s="144" t="s">
        <v>27</v>
      </c>
      <c r="O118" s="144" t="s">
        <v>27</v>
      </c>
      <c r="P118" s="144" t="s">
        <v>27</v>
      </c>
      <c r="Q118" s="144" t="s">
        <v>27</v>
      </c>
      <c r="R118" s="117"/>
      <c r="S118" s="117"/>
      <c r="T118" s="117"/>
      <c r="U118" s="124"/>
    </row>
    <row r="119" spans="1:21">
      <c r="A119" s="117">
        <f>IF(ISBLANK(C119),"",MAX($A$38:$A118)+1)</f>
        <v>62</v>
      </c>
      <c r="C119" s="134" t="s">
        <v>103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U119" s="124"/>
    </row>
    <row r="120" spans="1:21">
      <c r="A120" s="117" t="str">
        <f>IF(ISBLANK(C120),"",MAX($A$38:$A119)+1)</f>
        <v/>
      </c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U120" s="124"/>
    </row>
    <row r="121" spans="1:21">
      <c r="A121" s="117">
        <f>IF(ISBLANK(C121),"",MAX($A$38:$A120)+1)</f>
        <v>63</v>
      </c>
      <c r="C121" s="140" t="s">
        <v>104</v>
      </c>
      <c r="E121" s="176">
        <f>'COS Statement N'!K71</f>
        <v>-1052017.6099999999</v>
      </c>
      <c r="F121" s="163">
        <f>$E121*F$46/$E$46</f>
        <v>0</v>
      </c>
      <c r="G121" s="163">
        <f t="shared" ref="G121:Q121" si="30">$E121*G$46/$E$46</f>
        <v>-34855.054694864928</v>
      </c>
      <c r="H121" s="163">
        <f t="shared" si="30"/>
        <v>-34888.668670225641</v>
      </c>
      <c r="I121" s="163">
        <f t="shared" si="30"/>
        <v>-175809.35892106863</v>
      </c>
      <c r="J121" s="163">
        <f t="shared" si="30"/>
        <v>-63144.948031423643</v>
      </c>
      <c r="K121" s="163">
        <f t="shared" si="30"/>
        <v>-172940.70895335951</v>
      </c>
      <c r="L121" s="163">
        <f t="shared" si="30"/>
        <v>-188050.12127839788</v>
      </c>
      <c r="M121" s="163">
        <f t="shared" si="30"/>
        <v>-155942.90259404894</v>
      </c>
      <c r="N121" s="163">
        <f t="shared" si="30"/>
        <v>-217834.83154907732</v>
      </c>
      <c r="O121" s="163">
        <f t="shared" si="30"/>
        <v>0</v>
      </c>
      <c r="P121" s="163">
        <f t="shared" si="30"/>
        <v>-3884.4896130329039</v>
      </c>
      <c r="Q121" s="163">
        <f t="shared" si="30"/>
        <v>-4666.5256945006695</v>
      </c>
      <c r="R121" s="137" t="s">
        <v>98</v>
      </c>
      <c r="U121" s="124">
        <f t="shared" ref="U121:U127" si="31">+E121-SUM(F121:Q121)</f>
        <v>0</v>
      </c>
    </row>
    <row r="122" spans="1:21">
      <c r="A122" s="117">
        <f>IF(ISBLANK(C122),"",MAX($A$38:$A121)+1)</f>
        <v>64</v>
      </c>
      <c r="C122" s="140" t="s">
        <v>42</v>
      </c>
      <c r="E122" s="176">
        <f>'COS Statement N'!K74</f>
        <v>-4310806.18</v>
      </c>
      <c r="F122" s="163">
        <f>$E122*F$53/$E$53</f>
        <v>0</v>
      </c>
      <c r="G122" s="163">
        <f t="shared" ref="G122:Q122" si="32">$E122*G$53/$E$53</f>
        <v>-1854714.4188633054</v>
      </c>
      <c r="H122" s="163">
        <f t="shared" si="32"/>
        <v>-1854714.4188633054</v>
      </c>
      <c r="I122" s="163">
        <f t="shared" si="32"/>
        <v>0</v>
      </c>
      <c r="J122" s="163">
        <f t="shared" si="32"/>
        <v>0</v>
      </c>
      <c r="K122" s="163">
        <f t="shared" si="32"/>
        <v>0</v>
      </c>
      <c r="L122" s="163">
        <f t="shared" si="32"/>
        <v>0</v>
      </c>
      <c r="M122" s="163">
        <f t="shared" si="32"/>
        <v>0</v>
      </c>
      <c r="N122" s="163">
        <f t="shared" si="32"/>
        <v>0</v>
      </c>
      <c r="O122" s="163">
        <f t="shared" si="32"/>
        <v>0</v>
      </c>
      <c r="P122" s="163">
        <f t="shared" si="32"/>
        <v>-601377.34227338876</v>
      </c>
      <c r="Q122" s="163">
        <f t="shared" si="32"/>
        <v>0</v>
      </c>
      <c r="R122" s="137" t="s">
        <v>99</v>
      </c>
      <c r="U122" s="124">
        <f t="shared" si="31"/>
        <v>0</v>
      </c>
    </row>
    <row r="123" spans="1:21">
      <c r="A123" s="117">
        <f>IF(ISBLANK(C123),"",MAX($A$38:$A122)+1)</f>
        <v>65</v>
      </c>
      <c r="C123" s="140" t="s">
        <v>45</v>
      </c>
      <c r="E123" s="176">
        <f>'COS Statement N'!K75</f>
        <v>-265816114.47031307</v>
      </c>
      <c r="F123" s="163">
        <f>$E123*F$72/$E$72</f>
        <v>0</v>
      </c>
      <c r="G123" s="163">
        <f t="shared" ref="G123:Q123" si="33">$E123*G$72/$E$72</f>
        <v>-10285271.063293947</v>
      </c>
      <c r="H123" s="163">
        <f t="shared" si="33"/>
        <v>-10285271.063293947</v>
      </c>
      <c r="I123" s="163">
        <f t="shared" si="33"/>
        <v>-59884039.447601661</v>
      </c>
      <c r="J123" s="163">
        <f t="shared" si="33"/>
        <v>-14134415.701255608</v>
      </c>
      <c r="K123" s="163">
        <f t="shared" si="33"/>
        <v>-66884661.19536227</v>
      </c>
      <c r="L123" s="163">
        <f t="shared" si="33"/>
        <v>-53322333.767944202</v>
      </c>
      <c r="M123" s="163">
        <f t="shared" si="33"/>
        <v>-49627176.072966166</v>
      </c>
      <c r="N123" s="163">
        <f>$E123*N$72/$E$72</f>
        <v>0</v>
      </c>
      <c r="O123" s="163">
        <f t="shared" si="33"/>
        <v>0</v>
      </c>
      <c r="P123" s="163">
        <f t="shared" si="33"/>
        <v>-393590.76682511647</v>
      </c>
      <c r="Q123" s="163">
        <f t="shared" si="33"/>
        <v>-999355.39177020651</v>
      </c>
      <c r="R123" s="137" t="s">
        <v>100</v>
      </c>
      <c r="U123" s="124">
        <f t="shared" si="31"/>
        <v>0</v>
      </c>
    </row>
    <row r="124" spans="1:21">
      <c r="A124" s="117">
        <f>IF(ISBLANK(C124),"",MAX($A$38:$A123)+1)</f>
        <v>66</v>
      </c>
      <c r="C124" s="140" t="s">
        <v>105</v>
      </c>
      <c r="E124" s="176">
        <f>'COS Statement N'!K76</f>
        <v>-17439178.911993302</v>
      </c>
      <c r="F124" s="166">
        <f>$E124*F$104/$E$104</f>
        <v>0</v>
      </c>
      <c r="G124" s="166">
        <f t="shared" ref="G124:Q124" si="34">$E124*G$104/$E$104</f>
        <v>-521432.80975521379</v>
      </c>
      <c r="H124" s="166">
        <f t="shared" si="34"/>
        <v>-521935.67597570381</v>
      </c>
      <c r="I124" s="166">
        <f t="shared" si="34"/>
        <v>-2630114.0195020703</v>
      </c>
      <c r="J124" s="166">
        <f t="shared" si="34"/>
        <v>-944650.5811601273</v>
      </c>
      <c r="K124" s="166">
        <f t="shared" si="34"/>
        <v>-2587198.9179203426</v>
      </c>
      <c r="L124" s="166">
        <f t="shared" si="34"/>
        <v>-2813236.242818173</v>
      </c>
      <c r="M124" s="166">
        <f t="shared" si="34"/>
        <v>-2332911.1537150508</v>
      </c>
      <c r="N124" s="166">
        <f t="shared" si="34"/>
        <v>-4959776.0298294658</v>
      </c>
      <c r="O124" s="166">
        <f t="shared" si="34"/>
        <v>0</v>
      </c>
      <c r="P124" s="166">
        <f t="shared" si="34"/>
        <v>-58112.097402248495</v>
      </c>
      <c r="Q124" s="166">
        <f t="shared" si="34"/>
        <v>-69811.383914909486</v>
      </c>
      <c r="R124" s="137" t="s">
        <v>101</v>
      </c>
      <c r="U124" s="124">
        <f t="shared" si="31"/>
        <v>0</v>
      </c>
    </row>
    <row r="125" spans="1:21">
      <c r="A125" s="117">
        <f>IF(ISBLANK(C125),"",MAX($A$38:$A124)+1)</f>
        <v>67</v>
      </c>
      <c r="C125" s="167" t="s">
        <v>599</v>
      </c>
      <c r="D125" s="155"/>
      <c r="E125" s="176">
        <f>'COS Statement N'!K77</f>
        <v>625655.50084761553</v>
      </c>
      <c r="F125" s="166"/>
      <c r="G125" s="166"/>
      <c r="H125" s="166"/>
      <c r="I125" s="166"/>
      <c r="J125" s="166"/>
      <c r="K125" s="166"/>
      <c r="L125" s="166"/>
      <c r="M125" s="166"/>
      <c r="N125" s="141">
        <f>+E125</f>
        <v>625655.50084761553</v>
      </c>
      <c r="O125" s="166"/>
      <c r="P125" s="166"/>
      <c r="Q125" s="166"/>
      <c r="R125" s="137" t="s">
        <v>46</v>
      </c>
      <c r="U125" s="124">
        <f t="shared" si="31"/>
        <v>0</v>
      </c>
    </row>
    <row r="126" spans="1:21" s="155" customFormat="1">
      <c r="A126" s="225">
        <f>IF(ISBLANK(C126),"",MAX($A$38:$A125)+1)</f>
        <v>68</v>
      </c>
      <c r="C126" s="167" t="s">
        <v>600</v>
      </c>
      <c r="E126" s="168">
        <f>'COS Statement N'!K78</f>
        <v>-438077.85316301603</v>
      </c>
      <c r="F126" s="156">
        <f t="shared" ref="F126:Q126" si="35">$E126*F$264/$E$264</f>
        <v>0</v>
      </c>
      <c r="G126" s="156">
        <f t="shared" si="35"/>
        <v>-14514.231879260966</v>
      </c>
      <c r="H126" s="156">
        <f t="shared" si="35"/>
        <v>-14528.229304800543</v>
      </c>
      <c r="I126" s="156">
        <f t="shared" si="35"/>
        <v>-73209.978416718615</v>
      </c>
      <c r="J126" s="156">
        <f t="shared" si="35"/>
        <v>-26294.619984256999</v>
      </c>
      <c r="K126" s="156">
        <f t="shared" si="35"/>
        <v>-72015.42425014895</v>
      </c>
      <c r="L126" s="156">
        <f t="shared" si="35"/>
        <v>-78307.238047740801</v>
      </c>
      <c r="M126" s="156">
        <f t="shared" si="35"/>
        <v>-64937.251368263955</v>
      </c>
      <c r="N126" s="156">
        <f t="shared" si="35"/>
        <v>-90710.093103048916</v>
      </c>
      <c r="O126" s="156">
        <f t="shared" si="35"/>
        <v>0</v>
      </c>
      <c r="P126" s="156">
        <f t="shared" si="35"/>
        <v>-1617.5669058538761</v>
      </c>
      <c r="Q126" s="156">
        <f t="shared" si="35"/>
        <v>-1943.219902922448</v>
      </c>
      <c r="R126" s="152" t="s">
        <v>67</v>
      </c>
      <c r="U126" s="124">
        <f t="shared" si="31"/>
        <v>0</v>
      </c>
    </row>
    <row r="127" spans="1:21">
      <c r="A127" s="117">
        <f>IF(ISBLANK(C127),"",MAX($A$38:$A126)+1)</f>
        <v>69</v>
      </c>
      <c r="C127" s="169" t="s">
        <v>106</v>
      </c>
      <c r="E127" s="170">
        <f t="shared" ref="E127:Q127" si="36">SUM(E121:E126)</f>
        <v>-288430539.52462178</v>
      </c>
      <c r="F127" s="170">
        <f t="shared" si="36"/>
        <v>0</v>
      </c>
      <c r="G127" s="170">
        <f t="shared" si="36"/>
        <v>-12710787.578486592</v>
      </c>
      <c r="H127" s="170">
        <f t="shared" si="36"/>
        <v>-12711338.056107983</v>
      </c>
      <c r="I127" s="170">
        <f t="shared" si="36"/>
        <v>-62763172.804441519</v>
      </c>
      <c r="J127" s="170">
        <f t="shared" si="36"/>
        <v>-15168505.850431416</v>
      </c>
      <c r="K127" s="170">
        <f t="shared" si="36"/>
        <v>-69716816.246486127</v>
      </c>
      <c r="L127" s="170">
        <f t="shared" si="36"/>
        <v>-56401927.37008851</v>
      </c>
      <c r="M127" s="170">
        <f t="shared" si="36"/>
        <v>-52180967.380643532</v>
      </c>
      <c r="N127" s="170">
        <f t="shared" si="36"/>
        <v>-4642665.4536339771</v>
      </c>
      <c r="O127" s="170">
        <f t="shared" si="36"/>
        <v>0</v>
      </c>
      <c r="P127" s="170">
        <f t="shared" si="36"/>
        <v>-1058582.2630196405</v>
      </c>
      <c r="Q127" s="170">
        <f t="shared" si="36"/>
        <v>-1075776.521282539</v>
      </c>
      <c r="R127" s="137" t="str">
        <f>"Sum of Lines "&amp;A121&amp;" thru "&amp;A126</f>
        <v>Sum of Lines 63 thru 68</v>
      </c>
      <c r="U127" s="124">
        <f t="shared" si="31"/>
        <v>0</v>
      </c>
    </row>
    <row r="128" spans="1:21">
      <c r="A128" s="117" t="str">
        <f>IF(ISBLANK(C128),"",MAX($A$38:$A127)+1)</f>
        <v/>
      </c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U128" s="124"/>
    </row>
    <row r="129" spans="1:21">
      <c r="A129" s="117">
        <f>IF(ISBLANK(C129),"",MAX($A$38:$A128)+1)</f>
        <v>70</v>
      </c>
      <c r="C129" s="34" t="s">
        <v>107</v>
      </c>
      <c r="E129" s="163">
        <f t="shared" ref="E129:Q129" si="37">E105+E127</f>
        <v>648510042.44448495</v>
      </c>
      <c r="F129" s="163">
        <f t="shared" si="37"/>
        <v>0</v>
      </c>
      <c r="G129" s="163">
        <f t="shared" si="37"/>
        <v>24779395.518652059</v>
      </c>
      <c r="H129" s="163">
        <f t="shared" si="37"/>
        <v>24782721.751188278</v>
      </c>
      <c r="I129" s="163">
        <f t="shared" si="37"/>
        <v>136947323.71514389</v>
      </c>
      <c r="J129" s="163">
        <f t="shared" si="37"/>
        <v>34465867.530088246</v>
      </c>
      <c r="K129" s="163">
        <f t="shared" si="37"/>
        <v>150639245.33274439</v>
      </c>
      <c r="L129" s="163">
        <f t="shared" si="37"/>
        <v>125059044.78314394</v>
      </c>
      <c r="M129" s="163">
        <f t="shared" si="37"/>
        <v>114505033.75558011</v>
      </c>
      <c r="N129" s="163">
        <f t="shared" si="37"/>
        <v>33445936.606462792</v>
      </c>
      <c r="O129" s="163">
        <f t="shared" si="37"/>
        <v>0</v>
      </c>
      <c r="P129" s="163">
        <f t="shared" si="37"/>
        <v>1428626.1234965306</v>
      </c>
      <c r="Q129" s="163">
        <f t="shared" si="37"/>
        <v>2456847.3279848769</v>
      </c>
      <c r="R129" s="137" t="str">
        <f>"Line "&amp;A105&amp;" - Line "&amp;A127</f>
        <v>Line 61 - Line 69</v>
      </c>
      <c r="U129" s="124">
        <f>+E129-SUM(F129:Q129)</f>
        <v>0</v>
      </c>
    </row>
    <row r="130" spans="1:21">
      <c r="A130" s="117" t="str">
        <f>IF(ISBLANK(C130),"",MAX($A$38:$A129)+1)</f>
        <v/>
      </c>
      <c r="E130" s="491"/>
      <c r="F130" s="6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U130" s="124"/>
    </row>
    <row r="131" spans="1:21">
      <c r="A131" s="117">
        <f>IF(ISBLANK(#REF!),"",MAX($A$38:$A130)+1)</f>
        <v>71</v>
      </c>
      <c r="C131" s="134" t="s">
        <v>108</v>
      </c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U131" s="124"/>
    </row>
    <row r="132" spans="1:21">
      <c r="A132" s="117">
        <f>IF(ISBLANK(#REF!),"",MAX($A$38:$A131)+1)</f>
        <v>72</v>
      </c>
      <c r="C132" s="140" t="s">
        <v>213</v>
      </c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7"/>
      <c r="U132" s="124"/>
    </row>
    <row r="133" spans="1:21">
      <c r="A133" s="117">
        <f>IF(ISBLANK(#REF!),"",MAX($A$38:$A132)+1)</f>
        <v>73</v>
      </c>
      <c r="C133" s="169" t="s">
        <v>214</v>
      </c>
      <c r="E133" s="141">
        <f>'COS Statement N'!K84</f>
        <v>1282220.2394626469</v>
      </c>
      <c r="F133" s="141">
        <f>E133</f>
        <v>1282220.2394626469</v>
      </c>
      <c r="G133" s="141">
        <v>0</v>
      </c>
      <c r="H133" s="141">
        <v>0</v>
      </c>
      <c r="I133" s="141">
        <v>0</v>
      </c>
      <c r="J133" s="141">
        <v>0</v>
      </c>
      <c r="K133" s="141">
        <v>0</v>
      </c>
      <c r="L133" s="141">
        <v>0</v>
      </c>
      <c r="M133" s="141">
        <v>0</v>
      </c>
      <c r="N133" s="141">
        <v>0</v>
      </c>
      <c r="O133" s="141">
        <v>0</v>
      </c>
      <c r="P133" s="141">
        <v>0</v>
      </c>
      <c r="Q133" s="141">
        <v>0</v>
      </c>
      <c r="R133" s="137" t="s">
        <v>216</v>
      </c>
      <c r="U133" s="124">
        <f t="shared" ref="U133:U141" si="38">+E133-SUM(F133:Q133)</f>
        <v>0</v>
      </c>
    </row>
    <row r="134" spans="1:21">
      <c r="A134" s="117">
        <f>IF(ISBLANK(#REF!),"",MAX($A$38:$A133)+1)</f>
        <v>74</v>
      </c>
      <c r="C134" s="169" t="s">
        <v>411</v>
      </c>
      <c r="E134" s="141">
        <f>'COS Statement N'!K85</f>
        <v>-3838072.9862808832</v>
      </c>
      <c r="F134" s="141">
        <f>$E134*F$129/$E$129</f>
        <v>0</v>
      </c>
      <c r="G134" s="141">
        <f t="shared" ref="G134:Q134" si="39">$E134*G$129/$E$129</f>
        <v>-146651.74373864755</v>
      </c>
      <c r="H134" s="141">
        <f t="shared" si="39"/>
        <v>-146671.42936016116</v>
      </c>
      <c r="I134" s="141">
        <f t="shared" si="39"/>
        <v>-810494.50169393758</v>
      </c>
      <c r="J134" s="141">
        <f t="shared" si="39"/>
        <v>-203979.1313290126</v>
      </c>
      <c r="K134" s="141">
        <f t="shared" si="39"/>
        <v>-891527.31699577044</v>
      </c>
      <c r="L134" s="141">
        <f t="shared" si="39"/>
        <v>-740136.1737792436</v>
      </c>
      <c r="M134" s="141">
        <f t="shared" si="39"/>
        <v>-677674.43537791295</v>
      </c>
      <c r="N134" s="141">
        <f t="shared" si="39"/>
        <v>-197942.88043136441</v>
      </c>
      <c r="O134" s="141">
        <f t="shared" si="39"/>
        <v>0</v>
      </c>
      <c r="P134" s="141">
        <f t="shared" si="39"/>
        <v>-8455.0291795313133</v>
      </c>
      <c r="Q134" s="141">
        <f t="shared" si="39"/>
        <v>-14540.344395302611</v>
      </c>
      <c r="R134" s="137" t="s">
        <v>107</v>
      </c>
      <c r="U134" s="124">
        <f t="shared" si="38"/>
        <v>0</v>
      </c>
    </row>
    <row r="135" spans="1:21">
      <c r="A135" s="117">
        <f>IF(ISBLANK(#REF!),"",MAX($A$38:$A134)+1)</f>
        <v>75</v>
      </c>
      <c r="C135" s="169" t="s">
        <v>215</v>
      </c>
      <c r="E135" s="141">
        <f>'COS Statement N'!K86</f>
        <v>329739.79002712434</v>
      </c>
      <c r="F135" s="168">
        <f t="shared" ref="F135:Q135" si="40">$E135*F$264/$E$264</f>
        <v>0</v>
      </c>
      <c r="G135" s="168">
        <f t="shared" si="40"/>
        <v>10924.815618313361</v>
      </c>
      <c r="H135" s="168">
        <f t="shared" si="40"/>
        <v>10935.351435463248</v>
      </c>
      <c r="I135" s="168">
        <f t="shared" si="40"/>
        <v>55104.915112054558</v>
      </c>
      <c r="J135" s="168">
        <f t="shared" si="40"/>
        <v>19791.875827207219</v>
      </c>
      <c r="K135" s="168">
        <f t="shared" si="40"/>
        <v>54205.77803580949</v>
      </c>
      <c r="L135" s="168">
        <f t="shared" si="40"/>
        <v>58941.606029688221</v>
      </c>
      <c r="M135" s="168">
        <f t="shared" si="40"/>
        <v>48878.060090250772</v>
      </c>
      <c r="N135" s="168">
        <f t="shared" si="40"/>
        <v>68277.195108536966</v>
      </c>
      <c r="O135" s="168">
        <f t="shared" si="40"/>
        <v>0</v>
      </c>
      <c r="P135" s="168">
        <f t="shared" si="40"/>
        <v>1217.5374035459497</v>
      </c>
      <c r="Q135" s="168">
        <f t="shared" si="40"/>
        <v>1462.6553662545928</v>
      </c>
      <c r="R135" s="137" t="s">
        <v>67</v>
      </c>
      <c r="U135" s="124">
        <f t="shared" si="38"/>
        <v>0</v>
      </c>
    </row>
    <row r="136" spans="1:21">
      <c r="A136" s="117">
        <f>IF(ISBLANK(#REF!),"",MAX($A$38:$A135)+1)</f>
        <v>76</v>
      </c>
      <c r="C136" s="140" t="s">
        <v>109</v>
      </c>
      <c r="E136" s="141">
        <f>'COS Statement N'!K87</f>
        <v>5048023</v>
      </c>
      <c r="F136" s="158">
        <f t="shared" ref="F136:Q136" si="41">$E136*F$105/$E$105</f>
        <v>0</v>
      </c>
      <c r="G136" s="158">
        <f t="shared" si="41"/>
        <v>201988.58944804169</v>
      </c>
      <c r="H136" s="158">
        <f t="shared" si="41"/>
        <v>202009.47628165371</v>
      </c>
      <c r="I136" s="158">
        <f t="shared" si="41"/>
        <v>1075994.784699728</v>
      </c>
      <c r="J136" s="158">
        <f t="shared" si="41"/>
        <v>267418.72775846149</v>
      </c>
      <c r="K136" s="158">
        <f t="shared" si="41"/>
        <v>1187228.3989488345</v>
      </c>
      <c r="L136" s="158">
        <f t="shared" si="41"/>
        <v>977670.49336974963</v>
      </c>
      <c r="M136" s="158">
        <f t="shared" si="41"/>
        <v>898066.30613148876</v>
      </c>
      <c r="N136" s="158">
        <f t="shared" si="41"/>
        <v>205212.73487068954</v>
      </c>
      <c r="O136" s="158">
        <f t="shared" si="41"/>
        <v>0</v>
      </c>
      <c r="P136" s="158">
        <f t="shared" si="41"/>
        <v>13400.513738597467</v>
      </c>
      <c r="Q136" s="158">
        <f t="shared" si="41"/>
        <v>19032.974752755919</v>
      </c>
      <c r="R136" s="137" t="s">
        <v>182</v>
      </c>
      <c r="U136" s="124">
        <f t="shared" si="38"/>
        <v>0</v>
      </c>
    </row>
    <row r="137" spans="1:21">
      <c r="A137" s="117">
        <f>IF(ISBLANK(#REF!),"",MAX($A$38:$A136)+1)</f>
        <v>77</v>
      </c>
      <c r="C137" s="140" t="s">
        <v>110</v>
      </c>
      <c r="E137" s="141">
        <f>'COS Statement N'!K88</f>
        <v>394283</v>
      </c>
      <c r="F137" s="141">
        <f t="shared" ref="F137:Q139" si="42">$E137*F$129/$E$129</f>
        <v>0</v>
      </c>
      <c r="G137" s="141">
        <f t="shared" si="42"/>
        <v>15065.448125449882</v>
      </c>
      <c r="H137" s="141">
        <f t="shared" si="42"/>
        <v>15067.470417869803</v>
      </c>
      <c r="I137" s="141">
        <f t="shared" si="42"/>
        <v>83261.627580733038</v>
      </c>
      <c r="J137" s="141">
        <f t="shared" si="42"/>
        <v>20954.657226497897</v>
      </c>
      <c r="K137" s="141">
        <f t="shared" si="42"/>
        <v>91586.081448561163</v>
      </c>
      <c r="L137" s="141">
        <f t="shared" si="42"/>
        <v>76033.757578169447</v>
      </c>
      <c r="M137" s="141">
        <f t="shared" si="42"/>
        <v>69617.099612017482</v>
      </c>
      <c r="N137" s="141">
        <f t="shared" si="42"/>
        <v>20334.556691363563</v>
      </c>
      <c r="O137" s="141">
        <f t="shared" si="42"/>
        <v>0</v>
      </c>
      <c r="P137" s="141">
        <f t="shared" si="42"/>
        <v>868.58021770542098</v>
      </c>
      <c r="Q137" s="141">
        <f t="shared" si="42"/>
        <v>1493.7211016324165</v>
      </c>
      <c r="R137" s="137" t="s">
        <v>107</v>
      </c>
      <c r="U137" s="124">
        <f t="shared" si="38"/>
        <v>0</v>
      </c>
    </row>
    <row r="138" spans="1:21">
      <c r="A138" s="117">
        <f>IF(ISBLANK(#REF!),"",MAX($A$38:$A137)+1)</f>
        <v>78</v>
      </c>
      <c r="C138" s="167" t="s">
        <v>111</v>
      </c>
      <c r="E138" s="141">
        <f>'COS Statement N'!K92</f>
        <v>-3518846</v>
      </c>
      <c r="F138" s="141">
        <v>0</v>
      </c>
      <c r="G138" s="141">
        <v>0</v>
      </c>
      <c r="H138" s="141">
        <v>0</v>
      </c>
      <c r="I138" s="141">
        <v>0</v>
      </c>
      <c r="J138" s="141">
        <v>0</v>
      </c>
      <c r="K138" s="141">
        <v>0</v>
      </c>
      <c r="L138" s="141">
        <v>0</v>
      </c>
      <c r="M138" s="141">
        <v>0</v>
      </c>
      <c r="N138" s="141">
        <f>$E138</f>
        <v>-3518846</v>
      </c>
      <c r="O138" s="141">
        <v>0</v>
      </c>
      <c r="P138" s="141">
        <v>0</v>
      </c>
      <c r="Q138" s="141">
        <v>0</v>
      </c>
      <c r="R138" s="137" t="s">
        <v>50</v>
      </c>
      <c r="U138" s="124">
        <f t="shared" si="38"/>
        <v>0</v>
      </c>
    </row>
    <row r="139" spans="1:21">
      <c r="A139" s="117">
        <f>IF(ISBLANK(#REF!),"",MAX($A$38:$A138)+1)</f>
        <v>79</v>
      </c>
      <c r="C139" s="167" t="s">
        <v>641</v>
      </c>
      <c r="E139" s="141">
        <f>'COS Statement N'!K94</f>
        <v>-46644274.728433244</v>
      </c>
      <c r="F139" s="141">
        <f t="shared" si="42"/>
        <v>0</v>
      </c>
      <c r="G139" s="141">
        <f t="shared" si="42"/>
        <v>-1782265.2796860225</v>
      </c>
      <c r="H139" s="141">
        <f t="shared" si="42"/>
        <v>-1782504.5199353255</v>
      </c>
      <c r="I139" s="141">
        <f t="shared" si="42"/>
        <v>-9849976.3652305733</v>
      </c>
      <c r="J139" s="141">
        <f t="shared" si="42"/>
        <v>-2478967.6159330145</v>
      </c>
      <c r="K139" s="141">
        <f t="shared" si="42"/>
        <v>-10834771.837455206</v>
      </c>
      <c r="L139" s="141">
        <f t="shared" si="42"/>
        <v>-8994908.4213907979</v>
      </c>
      <c r="M139" s="141">
        <f t="shared" si="42"/>
        <v>-8235808.0873373868</v>
      </c>
      <c r="N139" s="141">
        <f t="shared" si="42"/>
        <v>-2405608.7855496244</v>
      </c>
      <c r="O139" s="141">
        <f t="shared" si="42"/>
        <v>0</v>
      </c>
      <c r="P139" s="141">
        <f t="shared" si="42"/>
        <v>-102754.35232646098</v>
      </c>
      <c r="Q139" s="141">
        <f t="shared" si="42"/>
        <v>-176709.46358884452</v>
      </c>
      <c r="R139" s="152" t="s">
        <v>107</v>
      </c>
      <c r="U139" s="124">
        <f t="shared" si="38"/>
        <v>0</v>
      </c>
    </row>
    <row r="140" spans="1:21">
      <c r="A140" s="117">
        <f>IF(ISBLANK(#REF!),"",MAX($A$38:$A139)+1)</f>
        <v>80</v>
      </c>
      <c r="C140" s="167" t="s">
        <v>642</v>
      </c>
      <c r="E140" s="141">
        <f>'COS Statement N'!K95</f>
        <v>-15464912.93187424</v>
      </c>
      <c r="F140" s="141">
        <f t="shared" ref="F140" si="43">$E140*F$129/$E$129</f>
        <v>0</v>
      </c>
      <c r="G140" s="141">
        <v>0</v>
      </c>
      <c r="H140" s="141">
        <v>0</v>
      </c>
      <c r="I140" s="141">
        <v>0</v>
      </c>
      <c r="J140" s="141">
        <v>0</v>
      </c>
      <c r="K140" s="141">
        <v>0</v>
      </c>
      <c r="L140" s="141">
        <v>0</v>
      </c>
      <c r="M140" s="141">
        <v>0</v>
      </c>
      <c r="N140" s="141">
        <v>0</v>
      </c>
      <c r="O140" s="141">
        <f>E140</f>
        <v>-15464912.93187424</v>
      </c>
      <c r="P140" s="141">
        <v>0</v>
      </c>
      <c r="Q140" s="141">
        <v>0</v>
      </c>
      <c r="R140" s="152" t="s">
        <v>492</v>
      </c>
      <c r="U140" s="124">
        <f t="shared" si="38"/>
        <v>0</v>
      </c>
    </row>
    <row r="141" spans="1:21">
      <c r="A141" s="117">
        <f>IF(ISBLANK(#REF!),"",MAX($A$38:$A140)+1)</f>
        <v>81</v>
      </c>
      <c r="C141" s="169" t="s">
        <v>112</v>
      </c>
      <c r="E141" s="150">
        <f t="shared" ref="E141:Q141" si="44">SUM(E133:E140)</f>
        <v>-62411840.617098592</v>
      </c>
      <c r="F141" s="150">
        <f t="shared" si="44"/>
        <v>1282220.2394626469</v>
      </c>
      <c r="G141" s="150">
        <f t="shared" si="44"/>
        <v>-1700938.1702328653</v>
      </c>
      <c r="H141" s="150">
        <f t="shared" si="44"/>
        <v>-1701163.6511605</v>
      </c>
      <c r="I141" s="150">
        <f t="shared" si="44"/>
        <v>-9446109.5395319946</v>
      </c>
      <c r="J141" s="150">
        <f t="shared" si="44"/>
        <v>-2374781.4864498605</v>
      </c>
      <c r="K141" s="150">
        <f t="shared" si="44"/>
        <v>-10393278.896017771</v>
      </c>
      <c r="L141" s="150">
        <f t="shared" si="44"/>
        <v>-8622398.7381924335</v>
      </c>
      <c r="M141" s="150">
        <f t="shared" si="44"/>
        <v>-7896921.0568815423</v>
      </c>
      <c r="N141" s="150">
        <f t="shared" si="44"/>
        <v>-5828573.1793103982</v>
      </c>
      <c r="O141" s="150">
        <f t="shared" si="44"/>
        <v>-15464912.93187424</v>
      </c>
      <c r="P141" s="150">
        <f t="shared" si="44"/>
        <v>-95722.750146143459</v>
      </c>
      <c r="Q141" s="150">
        <f t="shared" si="44"/>
        <v>-169260.45676350419</v>
      </c>
      <c r="R141" s="137" t="str">
        <f>"Sum of Lines "&amp;A132&amp;" thru "&amp;A140</f>
        <v>Sum of Lines 72 thru 80</v>
      </c>
      <c r="U141" s="124">
        <f t="shared" si="38"/>
        <v>0</v>
      </c>
    </row>
    <row r="142" spans="1:21">
      <c r="A142" s="117" t="str">
        <f>IF(ISBLANK(C142),"",MAX($A$38:$A141)+1)</f>
        <v/>
      </c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U142" s="124"/>
    </row>
    <row r="143" spans="1:21">
      <c r="A143" s="117">
        <f>IF(ISBLANK(C143),"",MAX($A$38:$A142)+1)</f>
        <v>82</v>
      </c>
      <c r="C143" s="34" t="s">
        <v>51</v>
      </c>
      <c r="E143" s="136">
        <f t="shared" ref="E143:Q143" si="45">E129+E141</f>
        <v>586098201.82738638</v>
      </c>
      <c r="F143" s="136">
        <f t="shared" si="45"/>
        <v>1282220.2394626469</v>
      </c>
      <c r="G143" s="136">
        <f t="shared" si="45"/>
        <v>23078457.348419193</v>
      </c>
      <c r="H143" s="136">
        <f t="shared" si="45"/>
        <v>23081558.100027777</v>
      </c>
      <c r="I143" s="136">
        <f t="shared" si="45"/>
        <v>127501214.1756119</v>
      </c>
      <c r="J143" s="136">
        <f t="shared" si="45"/>
        <v>32091086.043638386</v>
      </c>
      <c r="K143" s="136">
        <f t="shared" si="45"/>
        <v>140245966.43672663</v>
      </c>
      <c r="L143" s="136">
        <f t="shared" si="45"/>
        <v>116436646.0449515</v>
      </c>
      <c r="M143" s="136">
        <f t="shared" si="45"/>
        <v>106608112.69869857</v>
      </c>
      <c r="N143" s="136">
        <f t="shared" si="45"/>
        <v>27617363.427152395</v>
      </c>
      <c r="O143" s="136">
        <f t="shared" si="45"/>
        <v>-15464912.93187424</v>
      </c>
      <c r="P143" s="136">
        <f t="shared" si="45"/>
        <v>1332903.3733503872</v>
      </c>
      <c r="Q143" s="136">
        <f t="shared" si="45"/>
        <v>2287586.8712213729</v>
      </c>
      <c r="R143" s="137" t="str">
        <f>"Line "&amp;A129&amp;" + Line "&amp;A141</f>
        <v>Line 70 + Line 81</v>
      </c>
      <c r="U143" s="124">
        <f>+E143-SUM(F143:Q143)</f>
        <v>0</v>
      </c>
    </row>
    <row r="144" spans="1:21">
      <c r="E144" s="491"/>
      <c r="F144" s="6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U144" s="124"/>
    </row>
    <row r="145" spans="1:21">
      <c r="A145" s="113" t="str">
        <f>$A$1</f>
        <v>Black Hills Nebraska Gas, LLC</v>
      </c>
      <c r="B145" s="113"/>
      <c r="C145" s="115"/>
      <c r="D145" s="115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634" t="str">
        <f>$R$1</f>
        <v>Section 4, Exhibit A</v>
      </c>
      <c r="U145" s="124"/>
    </row>
    <row r="146" spans="1:21">
      <c r="A146" s="113" t="s">
        <v>707</v>
      </c>
      <c r="B146" s="113"/>
      <c r="C146" s="115"/>
      <c r="D146" s="115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634" t="s">
        <v>187</v>
      </c>
      <c r="U146" s="124"/>
    </row>
    <row r="147" spans="1:21">
      <c r="A147" s="113" t="str">
        <f>$A$3</f>
        <v>FOR THE PRO FORMA PERIOD ENDED DECEMBER 31, 2020</v>
      </c>
      <c r="B147" s="113"/>
      <c r="C147" s="115"/>
      <c r="D147" s="115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634" t="s">
        <v>75</v>
      </c>
      <c r="U147" s="124"/>
    </row>
    <row r="148" spans="1:21"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U148" s="124"/>
    </row>
    <row r="149" spans="1:21"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U149" s="124"/>
    </row>
    <row r="150" spans="1:21">
      <c r="A150" s="117"/>
      <c r="B150" s="117" t="s">
        <v>0</v>
      </c>
      <c r="C150" s="115" t="s">
        <v>1</v>
      </c>
      <c r="D150" s="115"/>
      <c r="E150" s="144" t="s">
        <v>2</v>
      </c>
      <c r="F150" s="144" t="s">
        <v>3</v>
      </c>
      <c r="G150" s="144" t="s">
        <v>4</v>
      </c>
      <c r="H150" s="144" t="s">
        <v>5</v>
      </c>
      <c r="I150" s="144" t="s">
        <v>26</v>
      </c>
      <c r="J150" s="144" t="s">
        <v>61</v>
      </c>
      <c r="K150" s="144" t="s">
        <v>62</v>
      </c>
      <c r="L150" s="144" t="s">
        <v>63</v>
      </c>
      <c r="M150" s="144" t="s">
        <v>64</v>
      </c>
      <c r="N150" s="144" t="s">
        <v>79</v>
      </c>
      <c r="O150" s="144" t="s">
        <v>80</v>
      </c>
      <c r="P150" s="144" t="s">
        <v>81</v>
      </c>
      <c r="Q150" s="144" t="s">
        <v>195</v>
      </c>
      <c r="R150" s="117" t="s">
        <v>196</v>
      </c>
      <c r="S150" s="117"/>
      <c r="T150" s="117"/>
      <c r="U150" s="124"/>
    </row>
    <row r="151" spans="1:21"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U151" s="124"/>
    </row>
    <row r="152" spans="1:21">
      <c r="A152" s="118"/>
      <c r="B152" s="119"/>
      <c r="C152" s="119"/>
      <c r="D152" s="120"/>
      <c r="E152" s="119"/>
      <c r="F152" s="118"/>
      <c r="G152" s="121"/>
      <c r="H152" s="122"/>
      <c r="I152" s="121"/>
      <c r="J152" s="123"/>
      <c r="K152" s="123"/>
      <c r="L152" s="118"/>
      <c r="M152" s="118" t="s">
        <v>82</v>
      </c>
      <c r="N152" s="118"/>
      <c r="O152" s="118"/>
      <c r="P152" s="160"/>
      <c r="Q152" s="160"/>
      <c r="R152" s="118"/>
      <c r="S152" s="117"/>
      <c r="T152" s="117"/>
      <c r="U152" s="124"/>
    </row>
    <row r="153" spans="1:21">
      <c r="A153" s="125" t="s">
        <v>6</v>
      </c>
      <c r="B153" s="126" t="s">
        <v>87</v>
      </c>
      <c r="C153" s="126"/>
      <c r="D153" s="117"/>
      <c r="E153" s="126" t="s">
        <v>20</v>
      </c>
      <c r="F153" s="125"/>
      <c r="G153" s="127" t="s">
        <v>42</v>
      </c>
      <c r="H153" s="128"/>
      <c r="I153" s="127" t="s">
        <v>45</v>
      </c>
      <c r="J153" s="129"/>
      <c r="K153" s="129"/>
      <c r="L153" s="125"/>
      <c r="M153" s="125" t="s">
        <v>83</v>
      </c>
      <c r="N153" s="125" t="s">
        <v>46</v>
      </c>
      <c r="O153" s="125" t="s">
        <v>21</v>
      </c>
      <c r="P153" s="161" t="s">
        <v>194</v>
      </c>
      <c r="Q153" s="161" t="s">
        <v>194</v>
      </c>
      <c r="R153" s="125"/>
      <c r="S153" s="117"/>
      <c r="T153" s="117"/>
      <c r="U153" s="124"/>
    </row>
    <row r="154" spans="1:21">
      <c r="A154" s="130" t="s">
        <v>88</v>
      </c>
      <c r="B154" s="131" t="s">
        <v>88</v>
      </c>
      <c r="C154" s="127" t="s">
        <v>8</v>
      </c>
      <c r="D154" s="129"/>
      <c r="E154" s="131" t="s">
        <v>219</v>
      </c>
      <c r="F154" s="130" t="s">
        <v>41</v>
      </c>
      <c r="G154" s="132" t="s">
        <v>43</v>
      </c>
      <c r="H154" s="132" t="s">
        <v>33</v>
      </c>
      <c r="I154" s="132" t="s">
        <v>43</v>
      </c>
      <c r="J154" s="133" t="s">
        <v>33</v>
      </c>
      <c r="K154" s="133" t="s">
        <v>46</v>
      </c>
      <c r="L154" s="130" t="s">
        <v>34</v>
      </c>
      <c r="M154" s="130" t="s">
        <v>84</v>
      </c>
      <c r="N154" s="130" t="s">
        <v>85</v>
      </c>
      <c r="O154" s="130" t="s">
        <v>47</v>
      </c>
      <c r="P154" s="162" t="s">
        <v>47</v>
      </c>
      <c r="Q154" s="162" t="str">
        <f>+Q10</f>
        <v>Supply</v>
      </c>
      <c r="R154" s="130" t="s">
        <v>86</v>
      </c>
      <c r="S154" s="117"/>
      <c r="T154" s="117"/>
      <c r="U154" s="124"/>
    </row>
    <row r="155" spans="1:21">
      <c r="A155" s="117"/>
      <c r="B155" s="117"/>
      <c r="C155" s="117"/>
      <c r="D155" s="117"/>
      <c r="E155" s="144" t="s">
        <v>27</v>
      </c>
      <c r="F155" s="144" t="s">
        <v>27</v>
      </c>
      <c r="G155" s="144" t="s">
        <v>27</v>
      </c>
      <c r="H155" s="144" t="s">
        <v>27</v>
      </c>
      <c r="I155" s="144" t="s">
        <v>27</v>
      </c>
      <c r="J155" s="144" t="s">
        <v>27</v>
      </c>
      <c r="K155" s="144" t="s">
        <v>27</v>
      </c>
      <c r="L155" s="144" t="s">
        <v>27</v>
      </c>
      <c r="M155" s="144" t="s">
        <v>27</v>
      </c>
      <c r="N155" s="144" t="s">
        <v>27</v>
      </c>
      <c r="O155" s="144" t="s">
        <v>27</v>
      </c>
      <c r="P155" s="144" t="s">
        <v>27</v>
      </c>
      <c r="Q155" s="144" t="s">
        <v>27</v>
      </c>
      <c r="R155" s="117"/>
      <c r="S155" s="117"/>
      <c r="T155" s="117"/>
      <c r="U155" s="124"/>
    </row>
    <row r="156" spans="1:21">
      <c r="A156" s="117">
        <f>IF(ISBLANK(C156),"",MAX($A155:$A$155)+1)</f>
        <v>1</v>
      </c>
      <c r="C156" s="134" t="s">
        <v>113</v>
      </c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U156" s="124"/>
    </row>
    <row r="157" spans="1:21">
      <c r="A157" s="117">
        <f>IF(ISBLANK(C157),"",MAX($A$155:$A156)+1)</f>
        <v>2</v>
      </c>
      <c r="B157" s="117"/>
      <c r="C157" s="34" t="s">
        <v>114</v>
      </c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U157" s="124"/>
    </row>
    <row r="158" spans="1:21">
      <c r="A158" s="117">
        <f>IF(ISBLANK(C158),"",MAX($A$155:$A157)+1)</f>
        <v>3</v>
      </c>
      <c r="B158" s="117"/>
      <c r="C158" s="140" t="s">
        <v>144</v>
      </c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U158" s="124"/>
    </row>
    <row r="159" spans="1:21">
      <c r="A159" s="117">
        <f>IF(ISBLANK(C159),"",MAX($A$155:$A158)+1)</f>
        <v>4</v>
      </c>
      <c r="B159" s="117">
        <v>850</v>
      </c>
      <c r="C159" s="169" t="s">
        <v>290</v>
      </c>
      <c r="E159" s="163">
        <f>'COS Statement N'!K165</f>
        <v>198452.86149800004</v>
      </c>
      <c r="F159" s="163">
        <f t="shared" ref="F159:Q159" si="46">+$E159*F$164/$E$164</f>
        <v>0</v>
      </c>
      <c r="G159" s="163">
        <f t="shared" si="46"/>
        <v>84707.563980685562</v>
      </c>
      <c r="H159" s="163">
        <f t="shared" si="46"/>
        <v>84707.563980685562</v>
      </c>
      <c r="I159" s="163">
        <f t="shared" si="46"/>
        <v>0</v>
      </c>
      <c r="J159" s="163">
        <f t="shared" si="46"/>
        <v>0</v>
      </c>
      <c r="K159" s="163">
        <f t="shared" si="46"/>
        <v>0</v>
      </c>
      <c r="L159" s="163">
        <f t="shared" si="46"/>
        <v>0</v>
      </c>
      <c r="M159" s="163">
        <f t="shared" si="46"/>
        <v>0</v>
      </c>
      <c r="N159" s="163">
        <f t="shared" si="46"/>
        <v>0</v>
      </c>
      <c r="O159" s="163">
        <f t="shared" si="46"/>
        <v>0</v>
      </c>
      <c r="P159" s="163">
        <f t="shared" si="46"/>
        <v>29037.733536628912</v>
      </c>
      <c r="Q159" s="163">
        <f t="shared" si="46"/>
        <v>0</v>
      </c>
      <c r="R159" s="137" t="s">
        <v>412</v>
      </c>
      <c r="U159" s="124">
        <f t="shared" ref="U159:U167" si="47">+E159-SUM(F159:Q159)</f>
        <v>0</v>
      </c>
    </row>
    <row r="160" spans="1:21">
      <c r="A160" s="117">
        <f>IF(ISBLANK(C160),"",MAX($A$155:$A159)+1)</f>
        <v>5</v>
      </c>
      <c r="B160" s="117">
        <v>851</v>
      </c>
      <c r="C160" s="169" t="s">
        <v>327</v>
      </c>
      <c r="E160" s="176">
        <f>'COS Statement N'!K166</f>
        <v>1170.3591529706164</v>
      </c>
      <c r="F160" s="176">
        <f t="shared" ref="F160:Q163" si="48">$E160*(F$51)/($E$51)</f>
        <v>0</v>
      </c>
      <c r="G160" s="176">
        <v>0</v>
      </c>
      <c r="H160" s="176">
        <f>E160</f>
        <v>1170.3591529706164</v>
      </c>
      <c r="I160" s="176">
        <f t="shared" si="48"/>
        <v>0</v>
      </c>
      <c r="J160" s="176">
        <f t="shared" si="48"/>
        <v>0</v>
      </c>
      <c r="K160" s="176">
        <f t="shared" si="48"/>
        <v>0</v>
      </c>
      <c r="L160" s="176">
        <f t="shared" si="48"/>
        <v>0</v>
      </c>
      <c r="M160" s="176">
        <f t="shared" si="48"/>
        <v>0</v>
      </c>
      <c r="N160" s="176">
        <f t="shared" si="48"/>
        <v>0</v>
      </c>
      <c r="O160" s="176">
        <f t="shared" si="48"/>
        <v>0</v>
      </c>
      <c r="P160" s="176">
        <v>0</v>
      </c>
      <c r="Q160" s="176">
        <v>0</v>
      </c>
      <c r="R160" s="152" t="s">
        <v>591</v>
      </c>
      <c r="U160" s="124">
        <f t="shared" si="47"/>
        <v>0</v>
      </c>
    </row>
    <row r="161" spans="1:21">
      <c r="A161" s="117">
        <f>IF(ISBLANK(C161),"",MAX($A$155:$A160)+1)</f>
        <v>6</v>
      </c>
      <c r="B161" s="117">
        <v>852</v>
      </c>
      <c r="C161" s="169" t="s">
        <v>328</v>
      </c>
      <c r="E161" s="176">
        <f>'COS Statement N'!K167</f>
        <v>0</v>
      </c>
      <c r="F161" s="176">
        <f t="shared" si="48"/>
        <v>0</v>
      </c>
      <c r="G161" s="176">
        <f t="shared" si="48"/>
        <v>0</v>
      </c>
      <c r="H161" s="176">
        <f t="shared" si="48"/>
        <v>0</v>
      </c>
      <c r="I161" s="176">
        <f t="shared" si="48"/>
        <v>0</v>
      </c>
      <c r="J161" s="176">
        <f t="shared" si="48"/>
        <v>0</v>
      </c>
      <c r="K161" s="176">
        <f t="shared" si="48"/>
        <v>0</v>
      </c>
      <c r="L161" s="176">
        <f t="shared" si="48"/>
        <v>0</v>
      </c>
      <c r="M161" s="176">
        <f t="shared" si="48"/>
        <v>0</v>
      </c>
      <c r="N161" s="176">
        <f t="shared" si="48"/>
        <v>0</v>
      </c>
      <c r="O161" s="176">
        <f t="shared" si="48"/>
        <v>0</v>
      </c>
      <c r="P161" s="176">
        <f t="shared" si="48"/>
        <v>0</v>
      </c>
      <c r="Q161" s="176">
        <f t="shared" si="48"/>
        <v>0</v>
      </c>
      <c r="R161" s="152" t="s">
        <v>592</v>
      </c>
      <c r="U161" s="124">
        <f t="shared" si="47"/>
        <v>0</v>
      </c>
    </row>
    <row r="162" spans="1:21">
      <c r="A162" s="117">
        <f>IF(ISBLANK(C162),"",MAX($A$155:$A161)+1)</f>
        <v>7</v>
      </c>
      <c r="B162" s="117">
        <v>853</v>
      </c>
      <c r="C162" s="169" t="s">
        <v>329</v>
      </c>
      <c r="E162" s="163">
        <f>'COS Statement N'!K168</f>
        <v>0</v>
      </c>
      <c r="F162" s="176">
        <f t="shared" si="48"/>
        <v>0</v>
      </c>
      <c r="G162" s="176">
        <f t="shared" si="48"/>
        <v>0</v>
      </c>
      <c r="H162" s="176">
        <f t="shared" si="48"/>
        <v>0</v>
      </c>
      <c r="I162" s="176">
        <f t="shared" si="48"/>
        <v>0</v>
      </c>
      <c r="J162" s="176">
        <f t="shared" si="48"/>
        <v>0</v>
      </c>
      <c r="K162" s="176">
        <f t="shared" si="48"/>
        <v>0</v>
      </c>
      <c r="L162" s="176">
        <f t="shared" si="48"/>
        <v>0</v>
      </c>
      <c r="M162" s="176">
        <f t="shared" si="48"/>
        <v>0</v>
      </c>
      <c r="N162" s="176">
        <f t="shared" si="48"/>
        <v>0</v>
      </c>
      <c r="O162" s="176">
        <f t="shared" si="48"/>
        <v>0</v>
      </c>
      <c r="P162" s="176">
        <f t="shared" si="48"/>
        <v>0</v>
      </c>
      <c r="Q162" s="176">
        <f t="shared" si="48"/>
        <v>0</v>
      </c>
      <c r="R162" s="152" t="s">
        <v>593</v>
      </c>
      <c r="U162" s="124">
        <f t="shared" si="47"/>
        <v>0</v>
      </c>
    </row>
    <row r="163" spans="1:21">
      <c r="A163" s="117">
        <f>IF(ISBLANK(C163),"",MAX($A$155:$A162)+1)</f>
        <v>8</v>
      </c>
      <c r="B163" s="117">
        <v>856</v>
      </c>
      <c r="C163" s="169" t="s">
        <v>330</v>
      </c>
      <c r="E163" s="163">
        <f>'COS Statement N'!K169</f>
        <v>63026.282280066924</v>
      </c>
      <c r="F163" s="176">
        <f t="shared" si="48"/>
        <v>0</v>
      </c>
      <c r="G163" s="176">
        <f>$E163*(G$51)/($E$51)</f>
        <v>26902.120727331116</v>
      </c>
      <c r="H163" s="176">
        <f t="shared" si="48"/>
        <v>26902.120727331116</v>
      </c>
      <c r="I163" s="176">
        <f t="shared" si="48"/>
        <v>0</v>
      </c>
      <c r="J163" s="176">
        <f t="shared" si="48"/>
        <v>0</v>
      </c>
      <c r="K163" s="176">
        <f t="shared" si="48"/>
        <v>0</v>
      </c>
      <c r="L163" s="176">
        <f t="shared" si="48"/>
        <v>0</v>
      </c>
      <c r="M163" s="176">
        <f t="shared" si="48"/>
        <v>0</v>
      </c>
      <c r="N163" s="176">
        <f t="shared" si="48"/>
        <v>0</v>
      </c>
      <c r="O163" s="176">
        <f t="shared" si="48"/>
        <v>0</v>
      </c>
      <c r="P163" s="176">
        <f t="shared" si="48"/>
        <v>9222.0408254046943</v>
      </c>
      <c r="Q163" s="176">
        <f t="shared" si="48"/>
        <v>0</v>
      </c>
      <c r="R163" s="152" t="s">
        <v>221</v>
      </c>
      <c r="U163" s="124">
        <f t="shared" si="47"/>
        <v>0</v>
      </c>
    </row>
    <row r="164" spans="1:21">
      <c r="A164" s="117">
        <f>IF(ISBLANK(C164),"",MAX($A$155:$A163)+1)</f>
        <v>9</v>
      </c>
      <c r="B164" s="117">
        <v>857</v>
      </c>
      <c r="C164" s="169" t="s">
        <v>331</v>
      </c>
      <c r="E164" s="163">
        <f>'COS Statement N'!K170</f>
        <v>12313.30793924924</v>
      </c>
      <c r="F164" s="163">
        <f t="shared" ref="F164:N164" si="49">$E164*(F$51)/($E$51)</f>
        <v>0</v>
      </c>
      <c r="G164" s="163">
        <f t="shared" si="49"/>
        <v>5255.8089221018863</v>
      </c>
      <c r="H164" s="163">
        <f t="shared" si="49"/>
        <v>5255.8089221018863</v>
      </c>
      <c r="I164" s="163">
        <f t="shared" si="49"/>
        <v>0</v>
      </c>
      <c r="J164" s="163">
        <f t="shared" si="49"/>
        <v>0</v>
      </c>
      <c r="K164" s="163">
        <f t="shared" si="49"/>
        <v>0</v>
      </c>
      <c r="L164" s="163">
        <f t="shared" si="49"/>
        <v>0</v>
      </c>
      <c r="M164" s="163">
        <f t="shared" si="49"/>
        <v>0</v>
      </c>
      <c r="N164" s="163">
        <f t="shared" si="49"/>
        <v>0</v>
      </c>
      <c r="O164" s="163">
        <f>$E164*(O$51)/($E$51)</f>
        <v>0</v>
      </c>
      <c r="P164" s="163">
        <f>$E164*(P$51)/($E$51)</f>
        <v>1801.6900950454674</v>
      </c>
      <c r="Q164" s="163">
        <f>$E164*(Q$51)/($E$51)</f>
        <v>0</v>
      </c>
      <c r="R164" s="152" t="s">
        <v>594</v>
      </c>
      <c r="U164" s="124">
        <f t="shared" si="47"/>
        <v>0</v>
      </c>
    </row>
    <row r="165" spans="1:21">
      <c r="A165" s="117">
        <f>IF(ISBLANK(C165),"",MAX($A$155:$A164)+1)</f>
        <v>10</v>
      </c>
      <c r="B165" s="117">
        <v>859</v>
      </c>
      <c r="C165" s="169" t="s">
        <v>146</v>
      </c>
      <c r="E165" s="166">
        <f>'COS Statement N'!K171</f>
        <v>63760.820262780602</v>
      </c>
      <c r="F165" s="163">
        <f t="shared" ref="F165:Q166" si="50">+$E165*F$164/$E$164</f>
        <v>0</v>
      </c>
      <c r="G165" s="163">
        <f t="shared" si="50"/>
        <v>27215.650714741198</v>
      </c>
      <c r="H165" s="163">
        <f t="shared" si="50"/>
        <v>27215.650714741198</v>
      </c>
      <c r="I165" s="163">
        <f t="shared" si="50"/>
        <v>0</v>
      </c>
      <c r="J165" s="163">
        <f t="shared" si="50"/>
        <v>0</v>
      </c>
      <c r="K165" s="163">
        <f t="shared" si="50"/>
        <v>0</v>
      </c>
      <c r="L165" s="163">
        <f t="shared" si="50"/>
        <v>0</v>
      </c>
      <c r="M165" s="163">
        <f t="shared" si="50"/>
        <v>0</v>
      </c>
      <c r="N165" s="163">
        <f t="shared" si="50"/>
        <v>0</v>
      </c>
      <c r="O165" s="163">
        <f t="shared" si="50"/>
        <v>0</v>
      </c>
      <c r="P165" s="163">
        <f t="shared" si="50"/>
        <v>9329.5188332982088</v>
      </c>
      <c r="Q165" s="163">
        <f t="shared" si="50"/>
        <v>0</v>
      </c>
      <c r="R165" s="152" t="s">
        <v>412</v>
      </c>
      <c r="U165" s="124">
        <f t="shared" si="47"/>
        <v>0</v>
      </c>
    </row>
    <row r="166" spans="1:21">
      <c r="A166" s="117">
        <f>IF(ISBLANK(C166),"",MAX($A$155:$A165)+1)</f>
        <v>11</v>
      </c>
      <c r="B166" s="117">
        <v>860</v>
      </c>
      <c r="C166" s="169" t="s">
        <v>156</v>
      </c>
      <c r="E166" s="166">
        <f>'COS Statement N'!K172</f>
        <v>0</v>
      </c>
      <c r="F166" s="163">
        <f t="shared" si="50"/>
        <v>0</v>
      </c>
      <c r="G166" s="163">
        <f t="shared" si="50"/>
        <v>0</v>
      </c>
      <c r="H166" s="163">
        <f t="shared" si="50"/>
        <v>0</v>
      </c>
      <c r="I166" s="163">
        <f t="shared" si="50"/>
        <v>0</v>
      </c>
      <c r="J166" s="163">
        <f t="shared" si="50"/>
        <v>0</v>
      </c>
      <c r="K166" s="163">
        <f t="shared" si="50"/>
        <v>0</v>
      </c>
      <c r="L166" s="163">
        <f t="shared" si="50"/>
        <v>0</v>
      </c>
      <c r="M166" s="163">
        <f t="shared" si="50"/>
        <v>0</v>
      </c>
      <c r="N166" s="163">
        <f t="shared" si="50"/>
        <v>0</v>
      </c>
      <c r="O166" s="163">
        <f t="shared" si="50"/>
        <v>0</v>
      </c>
      <c r="P166" s="163">
        <f t="shared" si="50"/>
        <v>0</v>
      </c>
      <c r="Q166" s="163">
        <f t="shared" si="50"/>
        <v>0</v>
      </c>
      <c r="R166" s="152" t="s">
        <v>412</v>
      </c>
      <c r="U166" s="124">
        <f t="shared" si="47"/>
        <v>0</v>
      </c>
    </row>
    <row r="167" spans="1:21">
      <c r="A167" s="117">
        <f>IF(ISBLANK(C167),"",MAX($A$155:$A166)+1)</f>
        <v>12</v>
      </c>
      <c r="B167" s="117"/>
      <c r="C167" s="174" t="s">
        <v>147</v>
      </c>
      <c r="E167" s="170">
        <f>SUM(E159:E166)</f>
        <v>338723.63113306742</v>
      </c>
      <c r="F167" s="170">
        <f t="shared" ref="F167:P167" si="51">SUM(F159:F166)</f>
        <v>0</v>
      </c>
      <c r="G167" s="170">
        <f t="shared" si="51"/>
        <v>144081.14434485976</v>
      </c>
      <c r="H167" s="170">
        <f t="shared" si="51"/>
        <v>145251.50349783039</v>
      </c>
      <c r="I167" s="170">
        <f t="shared" si="51"/>
        <v>0</v>
      </c>
      <c r="J167" s="170">
        <f t="shared" si="51"/>
        <v>0</v>
      </c>
      <c r="K167" s="170">
        <f t="shared" si="51"/>
        <v>0</v>
      </c>
      <c r="L167" s="170">
        <f t="shared" si="51"/>
        <v>0</v>
      </c>
      <c r="M167" s="170">
        <f t="shared" si="51"/>
        <v>0</v>
      </c>
      <c r="N167" s="170">
        <f t="shared" si="51"/>
        <v>0</v>
      </c>
      <c r="O167" s="170">
        <f t="shared" si="51"/>
        <v>0</v>
      </c>
      <c r="P167" s="170">
        <f t="shared" si="51"/>
        <v>49390.983290377277</v>
      </c>
      <c r="Q167" s="170">
        <f t="shared" ref="Q167" si="52">SUM(Q159:Q166)</f>
        <v>0</v>
      </c>
      <c r="R167" s="152" t="str">
        <f>"Sum of Lines "&amp;A159&amp;" thru "&amp;A166</f>
        <v>Sum of Lines 4 thru 11</v>
      </c>
      <c r="U167" s="124">
        <f t="shared" si="47"/>
        <v>0</v>
      </c>
    </row>
    <row r="168" spans="1:21">
      <c r="A168" s="117" t="str">
        <f>IF(ISBLANK(C168),"",MAX($A$155:$A167)+1)</f>
        <v/>
      </c>
      <c r="B168" s="117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55"/>
      <c r="U168" s="124"/>
    </row>
    <row r="169" spans="1:21">
      <c r="A169" s="117">
        <f>IF(ISBLANK(C169),"",MAX($A$155:$A168)+1)</f>
        <v>13</v>
      </c>
      <c r="B169" s="117"/>
      <c r="C169" s="140" t="s">
        <v>148</v>
      </c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55"/>
      <c r="U169" s="124"/>
    </row>
    <row r="170" spans="1:21">
      <c r="A170" s="117">
        <f>IF(ISBLANK(C170),"",MAX($A$155:$A169)+1)</f>
        <v>14</v>
      </c>
      <c r="B170" s="117">
        <v>861</v>
      </c>
      <c r="C170" s="169" t="s">
        <v>145</v>
      </c>
      <c r="E170" s="163">
        <f>'COS Statement N'!K176</f>
        <v>16567.326580000004</v>
      </c>
      <c r="F170" s="163">
        <f>+$E170*F$172/$E$172</f>
        <v>0</v>
      </c>
      <c r="G170" s="163">
        <f t="shared" ref="G170:Q170" si="53">+$E170*G$172/$E$172</f>
        <v>7071.5930507175162</v>
      </c>
      <c r="H170" s="163">
        <f t="shared" si="53"/>
        <v>7071.5930507175162</v>
      </c>
      <c r="I170" s="163">
        <f t="shared" si="53"/>
        <v>0</v>
      </c>
      <c r="J170" s="163">
        <f t="shared" si="53"/>
        <v>0</v>
      </c>
      <c r="K170" s="163">
        <f t="shared" si="53"/>
        <v>0</v>
      </c>
      <c r="L170" s="163">
        <f t="shared" si="53"/>
        <v>0</v>
      </c>
      <c r="M170" s="163">
        <f t="shared" si="53"/>
        <v>0</v>
      </c>
      <c r="N170" s="163">
        <f t="shared" si="53"/>
        <v>0</v>
      </c>
      <c r="O170" s="163">
        <f t="shared" si="53"/>
        <v>0</v>
      </c>
      <c r="P170" s="163">
        <f t="shared" si="53"/>
        <v>2424.1404785649706</v>
      </c>
      <c r="Q170" s="163">
        <f t="shared" si="53"/>
        <v>0</v>
      </c>
      <c r="R170" s="152" t="s">
        <v>413</v>
      </c>
      <c r="U170" s="124">
        <f t="shared" ref="U170:U177" si="54">+E170-SUM(F170:Q170)</f>
        <v>0</v>
      </c>
    </row>
    <row r="171" spans="1:21">
      <c r="A171" s="117">
        <f>IF(ISBLANK(C171),"",MAX($A$155:$A170)+1)</f>
        <v>15</v>
      </c>
      <c r="B171" s="117">
        <v>862</v>
      </c>
      <c r="C171" s="228" t="s">
        <v>136</v>
      </c>
      <c r="D171" s="155"/>
      <c r="E171" s="176">
        <f>'COS Statement N'!K177</f>
        <v>0</v>
      </c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52" t="s">
        <v>595</v>
      </c>
      <c r="U171" s="124">
        <f t="shared" si="54"/>
        <v>0</v>
      </c>
    </row>
    <row r="172" spans="1:21">
      <c r="A172" s="117">
        <f>IF(ISBLANK(C172),"",MAX($A$155:$A171)+1)</f>
        <v>16</v>
      </c>
      <c r="B172" s="117">
        <v>863</v>
      </c>
      <c r="C172" s="228" t="s">
        <v>137</v>
      </c>
      <c r="D172" s="155"/>
      <c r="E172" s="176">
        <f>'COS Statement N'!K178+'COS Statement N'!K179+'COS Statement N'!K180</f>
        <v>3264.8465267218544</v>
      </c>
      <c r="F172" s="176">
        <f t="shared" ref="F172:Q173" si="55">$E172*(F$51)/($E$51)</f>
        <v>0</v>
      </c>
      <c r="G172" s="176">
        <f t="shared" si="55"/>
        <v>1393.5661797055902</v>
      </c>
      <c r="H172" s="176">
        <f t="shared" si="55"/>
        <v>1393.5661797055902</v>
      </c>
      <c r="I172" s="176">
        <f t="shared" si="55"/>
        <v>0</v>
      </c>
      <c r="J172" s="176">
        <f t="shared" si="55"/>
        <v>0</v>
      </c>
      <c r="K172" s="176">
        <f t="shared" si="55"/>
        <v>0</v>
      </c>
      <c r="L172" s="176">
        <f t="shared" si="55"/>
        <v>0</v>
      </c>
      <c r="M172" s="176">
        <f t="shared" si="55"/>
        <v>0</v>
      </c>
      <c r="N172" s="176">
        <f t="shared" si="55"/>
        <v>0</v>
      </c>
      <c r="O172" s="176">
        <f>$E172*(O$51)/($E$51)</f>
        <v>0</v>
      </c>
      <c r="P172" s="176">
        <f>$E172*(P$51)/($E$51)</f>
        <v>477.71416731067399</v>
      </c>
      <c r="Q172" s="176">
        <f>$E172*(Q$51)/($E$51)</f>
        <v>0</v>
      </c>
      <c r="R172" s="152" t="s">
        <v>221</v>
      </c>
      <c r="U172" s="124">
        <f t="shared" si="54"/>
        <v>0</v>
      </c>
    </row>
    <row r="173" spans="1:21">
      <c r="A173" s="117">
        <f>IF(ISBLANK(C173),"",MAX($A$155:$A172)+1)</f>
        <v>17</v>
      </c>
      <c r="B173" s="117">
        <v>864</v>
      </c>
      <c r="C173" s="228" t="s">
        <v>589</v>
      </c>
      <c r="D173" s="155"/>
      <c r="E173" s="176">
        <v>0</v>
      </c>
      <c r="F173" s="176">
        <f t="shared" si="55"/>
        <v>0</v>
      </c>
      <c r="G173" s="176">
        <f t="shared" si="55"/>
        <v>0</v>
      </c>
      <c r="H173" s="176">
        <f t="shared" si="55"/>
        <v>0</v>
      </c>
      <c r="I173" s="176">
        <f t="shared" si="55"/>
        <v>0</v>
      </c>
      <c r="J173" s="176">
        <f t="shared" si="55"/>
        <v>0</v>
      </c>
      <c r="K173" s="176">
        <f t="shared" si="55"/>
        <v>0</v>
      </c>
      <c r="L173" s="176">
        <f t="shared" si="55"/>
        <v>0</v>
      </c>
      <c r="M173" s="176">
        <f t="shared" si="55"/>
        <v>0</v>
      </c>
      <c r="N173" s="176">
        <f t="shared" si="55"/>
        <v>0</v>
      </c>
      <c r="O173" s="176">
        <f t="shared" si="55"/>
        <v>0</v>
      </c>
      <c r="P173" s="176">
        <f t="shared" si="55"/>
        <v>0</v>
      </c>
      <c r="Q173" s="176">
        <f t="shared" si="55"/>
        <v>0</v>
      </c>
      <c r="R173" s="152" t="s">
        <v>593</v>
      </c>
      <c r="U173" s="124">
        <f t="shared" si="54"/>
        <v>0</v>
      </c>
    </row>
    <row r="174" spans="1:21">
      <c r="A174" s="117">
        <f>IF(ISBLANK(C174),"",MAX($A$155:$A173)+1)</f>
        <v>18</v>
      </c>
      <c r="B174" s="117">
        <v>865</v>
      </c>
      <c r="C174" s="228" t="s">
        <v>590</v>
      </c>
      <c r="D174" s="155"/>
      <c r="E174" s="176">
        <v>0</v>
      </c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52" t="s">
        <v>596</v>
      </c>
      <c r="U174" s="124">
        <f t="shared" si="54"/>
        <v>0</v>
      </c>
    </row>
    <row r="175" spans="1:21">
      <c r="A175" s="117">
        <f>IF(ISBLANK(C175),"",MAX($A$155:$A174)+1)</f>
        <v>19</v>
      </c>
      <c r="B175" s="117">
        <v>866</v>
      </c>
      <c r="C175" s="169" t="s">
        <v>133</v>
      </c>
      <c r="E175" s="176">
        <f>'COS Statement N'!K181</f>
        <v>138.95768981197887</v>
      </c>
      <c r="F175" s="176">
        <f t="shared" ref="F175:G175" si="56">$E175*(F$172)/($E$172)</f>
        <v>0</v>
      </c>
      <c r="G175" s="176">
        <f t="shared" si="56"/>
        <v>59.312661513198094</v>
      </c>
      <c r="H175" s="176">
        <f t="shared" ref="H175:O175" si="57">$E175*(H$172)/($E$172)</f>
        <v>59.312661513198094</v>
      </c>
      <c r="I175" s="176">
        <f t="shared" si="57"/>
        <v>0</v>
      </c>
      <c r="J175" s="176">
        <f t="shared" si="57"/>
        <v>0</v>
      </c>
      <c r="K175" s="176">
        <f t="shared" si="57"/>
        <v>0</v>
      </c>
      <c r="L175" s="176">
        <f t="shared" si="57"/>
        <v>0</v>
      </c>
      <c r="M175" s="176">
        <f t="shared" si="57"/>
        <v>0</v>
      </c>
      <c r="N175" s="176">
        <f t="shared" si="57"/>
        <v>0</v>
      </c>
      <c r="O175" s="176">
        <f t="shared" si="57"/>
        <v>0</v>
      </c>
      <c r="P175" s="176">
        <f>$E175*(P$172)/($E$172)</f>
        <v>20.332366785582682</v>
      </c>
      <c r="Q175" s="176">
        <f>$E175*(Q$172)/($E$172)</f>
        <v>0</v>
      </c>
      <c r="R175" s="152" t="s">
        <v>597</v>
      </c>
      <c r="U175" s="124">
        <f t="shared" si="54"/>
        <v>0</v>
      </c>
    </row>
    <row r="176" spans="1:21">
      <c r="A176" s="117">
        <f>IF(ISBLANK(C176),"",MAX($A$155:$A175)+1)</f>
        <v>20</v>
      </c>
      <c r="B176" s="117">
        <v>867</v>
      </c>
      <c r="C176" s="169" t="s">
        <v>138</v>
      </c>
      <c r="E176" s="163">
        <f>'COS Statement N'!K182</f>
        <v>0</v>
      </c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52" t="s">
        <v>598</v>
      </c>
      <c r="U176" s="124">
        <f t="shared" si="54"/>
        <v>0</v>
      </c>
    </row>
    <row r="177" spans="1:21">
      <c r="A177" s="117">
        <f>IF(ISBLANK(C177),"",MAX($A$155:$A176)+1)</f>
        <v>21</v>
      </c>
      <c r="B177" s="117"/>
      <c r="C177" s="174" t="s">
        <v>149</v>
      </c>
      <c r="E177" s="175">
        <f>SUM(E170:E176)</f>
        <v>19971.130796533835</v>
      </c>
      <c r="F177" s="175">
        <f t="shared" ref="F177:P177" si="58">SUM(F170:F176)</f>
        <v>0</v>
      </c>
      <c r="G177" s="175">
        <f t="shared" si="58"/>
        <v>8524.4718919363058</v>
      </c>
      <c r="H177" s="175">
        <f t="shared" si="58"/>
        <v>8524.4718919363058</v>
      </c>
      <c r="I177" s="175">
        <f t="shared" si="58"/>
        <v>0</v>
      </c>
      <c r="J177" s="175">
        <f t="shared" si="58"/>
        <v>0</v>
      </c>
      <c r="K177" s="175">
        <f t="shared" si="58"/>
        <v>0</v>
      </c>
      <c r="L177" s="175">
        <f t="shared" si="58"/>
        <v>0</v>
      </c>
      <c r="M177" s="175">
        <f t="shared" si="58"/>
        <v>0</v>
      </c>
      <c r="N177" s="175">
        <f t="shared" si="58"/>
        <v>0</v>
      </c>
      <c r="O177" s="175">
        <f t="shared" si="58"/>
        <v>0</v>
      </c>
      <c r="P177" s="175">
        <f t="shared" si="58"/>
        <v>2922.1870126612271</v>
      </c>
      <c r="Q177" s="175">
        <f t="shared" ref="Q177" si="59">SUM(Q170:Q176)</f>
        <v>0</v>
      </c>
      <c r="R177" s="137" t="str">
        <f>"Line "&amp;A170&amp;" + Line "&amp;A172</f>
        <v>Line 14 + Line 16</v>
      </c>
      <c r="U177" s="124">
        <f t="shared" si="54"/>
        <v>0</v>
      </c>
    </row>
    <row r="178" spans="1:21">
      <c r="A178" s="117" t="str">
        <f>IF(ISBLANK(C178),"",MAX($A$155:$A177)+1)</f>
        <v/>
      </c>
      <c r="B178" s="117"/>
      <c r="C178" s="174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37"/>
      <c r="U178" s="124"/>
    </row>
    <row r="179" spans="1:21">
      <c r="A179" s="117">
        <f>IF(ISBLANK(C179),"",MAX($A$155:$A178)+1)</f>
        <v>22</v>
      </c>
      <c r="B179" s="117"/>
      <c r="C179" s="34" t="s">
        <v>150</v>
      </c>
      <c r="E179" s="163">
        <f t="shared" ref="E179:P179" si="60">E167+E177</f>
        <v>358694.76192960126</v>
      </c>
      <c r="F179" s="163">
        <f t="shared" si="60"/>
        <v>0</v>
      </c>
      <c r="G179" s="163">
        <f t="shared" si="60"/>
        <v>152605.61623679605</v>
      </c>
      <c r="H179" s="163">
        <f t="shared" si="60"/>
        <v>153775.97538976668</v>
      </c>
      <c r="I179" s="163">
        <f t="shared" si="60"/>
        <v>0</v>
      </c>
      <c r="J179" s="163">
        <f t="shared" si="60"/>
        <v>0</v>
      </c>
      <c r="K179" s="163">
        <f t="shared" si="60"/>
        <v>0</v>
      </c>
      <c r="L179" s="163">
        <f t="shared" si="60"/>
        <v>0</v>
      </c>
      <c r="M179" s="163">
        <f t="shared" si="60"/>
        <v>0</v>
      </c>
      <c r="N179" s="163">
        <f t="shared" si="60"/>
        <v>0</v>
      </c>
      <c r="O179" s="163">
        <f t="shared" si="60"/>
        <v>0</v>
      </c>
      <c r="P179" s="163">
        <f t="shared" si="60"/>
        <v>52313.170303038503</v>
      </c>
      <c r="Q179" s="163">
        <f t="shared" ref="Q179" si="61">Q167+Q177</f>
        <v>0</v>
      </c>
      <c r="R179" s="137" t="str">
        <f>"Line "&amp;A167&amp;" + Line "&amp;A177</f>
        <v>Line 12 + Line 21</v>
      </c>
      <c r="U179" s="124">
        <f>+E179-SUM(F179:Q179)</f>
        <v>0</v>
      </c>
    </row>
    <row r="180" spans="1:21">
      <c r="A180" s="117" t="str">
        <f>IF(ISBLANK(C180),"",MAX($A$155:$A179)+1)</f>
        <v/>
      </c>
      <c r="B180" s="117"/>
      <c r="E180" s="168"/>
      <c r="F180" s="635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U180" s="124"/>
    </row>
    <row r="181" spans="1:21">
      <c r="A181" s="117">
        <f>IF(ISBLANK(C181),"",MAX($A$155:$A180)+1)</f>
        <v>23</v>
      </c>
      <c r="B181" s="117"/>
      <c r="C181" s="34" t="s">
        <v>115</v>
      </c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U181" s="124"/>
    </row>
    <row r="182" spans="1:21">
      <c r="A182" s="117">
        <f>IF(ISBLANK(C182),"",MAX($A$155:$A181)+1)</f>
        <v>24</v>
      </c>
      <c r="B182" s="117"/>
      <c r="C182" s="140" t="s">
        <v>144</v>
      </c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37"/>
      <c r="U182" s="124"/>
    </row>
    <row r="183" spans="1:21">
      <c r="A183" s="117">
        <f>IF(ISBLANK(C183),"",MAX($A$155:$A182)+1)</f>
        <v>25</v>
      </c>
      <c r="B183" s="117">
        <v>870</v>
      </c>
      <c r="C183" s="169" t="s">
        <v>145</v>
      </c>
      <c r="E183" s="163">
        <f>'COS Statement N'!K189</f>
        <v>4065042.6123208087</v>
      </c>
      <c r="F183" s="163">
        <f>$E183*SUM(F$184:F$192)/SUM($E$184:$E$192)</f>
        <v>0</v>
      </c>
      <c r="G183" s="163">
        <f t="shared" ref="G183:Q183" si="62">$E183*SUM(G$184:G$192)/SUM($E$184:$E$192)</f>
        <v>154539.25510979645</v>
      </c>
      <c r="H183" s="163">
        <f t="shared" si="62"/>
        <v>154539.25510979645</v>
      </c>
      <c r="I183" s="163">
        <f t="shared" si="62"/>
        <v>891559.87679741066</v>
      </c>
      <c r="J183" s="163">
        <f t="shared" si="62"/>
        <v>262048.14149945535</v>
      </c>
      <c r="K183" s="163">
        <f t="shared" si="62"/>
        <v>920559.67738419131</v>
      </c>
      <c r="L183" s="163">
        <f t="shared" si="62"/>
        <v>970591.56340476661</v>
      </c>
      <c r="M183" s="163">
        <f t="shared" si="62"/>
        <v>680128.52056147181</v>
      </c>
      <c r="N183" s="163">
        <f t="shared" si="62"/>
        <v>0</v>
      </c>
      <c r="O183" s="163">
        <f t="shared" si="62"/>
        <v>0</v>
      </c>
      <c r="P183" s="163">
        <f t="shared" si="62"/>
        <v>10208.568848075121</v>
      </c>
      <c r="Q183" s="163">
        <f t="shared" si="62"/>
        <v>20867.75360584625</v>
      </c>
      <c r="R183" s="137" t="s">
        <v>183</v>
      </c>
      <c r="U183" s="124">
        <f t="shared" ref="U183:U194" si="63">+E183-SUM(F183:Q183)</f>
        <v>0</v>
      </c>
    </row>
    <row r="184" spans="1:21">
      <c r="A184" s="117">
        <f>IF(ISBLANK(C184),"",MAX($A$155:$A183)+1)</f>
        <v>26</v>
      </c>
      <c r="B184" s="117">
        <v>871</v>
      </c>
      <c r="C184" s="169" t="s">
        <v>151</v>
      </c>
      <c r="E184" s="163">
        <f>'COS Statement N'!K190</f>
        <v>829.84999999999991</v>
      </c>
      <c r="F184" s="163">
        <v>0</v>
      </c>
      <c r="G184" s="163">
        <v>0</v>
      </c>
      <c r="H184" s="163">
        <v>0</v>
      </c>
      <c r="I184" s="163">
        <v>0</v>
      </c>
      <c r="J184" s="163">
        <f>$E184</f>
        <v>829.84999999999991</v>
      </c>
      <c r="K184" s="163">
        <v>0</v>
      </c>
      <c r="L184" s="163">
        <v>0</v>
      </c>
      <c r="M184" s="163">
        <v>0</v>
      </c>
      <c r="N184" s="163">
        <v>0</v>
      </c>
      <c r="O184" s="163">
        <v>0</v>
      </c>
      <c r="P184" s="163">
        <v>0</v>
      </c>
      <c r="Q184" s="163">
        <v>0</v>
      </c>
      <c r="R184" s="137" t="s">
        <v>203</v>
      </c>
      <c r="U184" s="124">
        <f t="shared" si="63"/>
        <v>0</v>
      </c>
    </row>
    <row r="185" spans="1:21">
      <c r="A185" s="117">
        <f>IF(ISBLANK(C185),"",MAX($A$155:$A184)+1)</f>
        <v>27</v>
      </c>
      <c r="B185" s="117">
        <v>872</v>
      </c>
      <c r="C185" s="169" t="s">
        <v>152</v>
      </c>
      <c r="E185" s="163">
        <f>'COS Statement N'!K191</f>
        <v>147.47999999999999</v>
      </c>
      <c r="F185" s="163">
        <v>0</v>
      </c>
      <c r="G185" s="163">
        <v>0</v>
      </c>
      <c r="H185" s="163">
        <v>0</v>
      </c>
      <c r="I185" s="176">
        <f>$E185*0.5</f>
        <v>73.739999999999995</v>
      </c>
      <c r="J185" s="176">
        <f>$E185*0.5</f>
        <v>73.739999999999995</v>
      </c>
      <c r="K185" s="176">
        <v>0</v>
      </c>
      <c r="L185" s="163">
        <v>0</v>
      </c>
      <c r="M185" s="163">
        <v>0</v>
      </c>
      <c r="N185" s="163">
        <v>0</v>
      </c>
      <c r="O185" s="163">
        <v>0</v>
      </c>
      <c r="P185" s="163">
        <v>0</v>
      </c>
      <c r="Q185" s="163">
        <v>0</v>
      </c>
      <c r="R185" s="152" t="s">
        <v>202</v>
      </c>
      <c r="U185" s="124">
        <f t="shared" si="63"/>
        <v>0</v>
      </c>
    </row>
    <row r="186" spans="1:21">
      <c r="A186" s="117">
        <f>IF(ISBLANK(C186),"",MAX($A$155:$A185)+1)</f>
        <v>28</v>
      </c>
      <c r="B186" s="117">
        <v>874</v>
      </c>
      <c r="C186" s="169" t="s">
        <v>153</v>
      </c>
      <c r="E186" s="163">
        <f>'COS Statement N'!K192</f>
        <v>7214824.0691544227</v>
      </c>
      <c r="F186" s="163">
        <f t="shared" ref="F186:Q186" si="64">$E186*(F$61+F$64)/($E$61+$E$64)</f>
        <v>0</v>
      </c>
      <c r="G186" s="163">
        <f t="shared" si="64"/>
        <v>336496.26068993134</v>
      </c>
      <c r="H186" s="163">
        <f t="shared" si="64"/>
        <v>336496.26068993134</v>
      </c>
      <c r="I186" s="163">
        <f t="shared" si="64"/>
        <v>1925048.9216458262</v>
      </c>
      <c r="J186" s="163">
        <f t="shared" si="64"/>
        <v>290138.95230547141</v>
      </c>
      <c r="K186" s="163">
        <f t="shared" si="64"/>
        <v>2390192.3213736457</v>
      </c>
      <c r="L186" s="163">
        <f t="shared" si="64"/>
        <v>1907121.5022657232</v>
      </c>
      <c r="M186" s="163">
        <f t="shared" si="64"/>
        <v>0</v>
      </c>
      <c r="N186" s="163">
        <f t="shared" si="64"/>
        <v>0</v>
      </c>
      <c r="O186" s="163">
        <f t="shared" si="64"/>
        <v>0</v>
      </c>
      <c r="P186" s="163">
        <f t="shared" si="64"/>
        <v>7500.8422835590763</v>
      </c>
      <c r="Q186" s="163">
        <f t="shared" si="64"/>
        <v>21829.007900334345</v>
      </c>
      <c r="R186" s="137" t="s">
        <v>184</v>
      </c>
      <c r="U186" s="124">
        <f t="shared" si="63"/>
        <v>0</v>
      </c>
    </row>
    <row r="187" spans="1:21">
      <c r="A187" s="117">
        <f>IF(ISBLANK(C187),"",MAX($A$155:$A186)+1)</f>
        <v>29</v>
      </c>
      <c r="B187" s="117">
        <v>875</v>
      </c>
      <c r="C187" s="169" t="s">
        <v>200</v>
      </c>
      <c r="E187" s="163">
        <f>'COS Statement N'!K193</f>
        <v>1218416.7066066319</v>
      </c>
      <c r="F187" s="163">
        <f t="shared" ref="F187:Q187" si="65">$E187*(F$52+F$62)/($E$52+$E$62)</f>
        <v>0</v>
      </c>
      <c r="G187" s="163">
        <f t="shared" si="65"/>
        <v>85213.231983200865</v>
      </c>
      <c r="H187" s="163">
        <f t="shared" si="65"/>
        <v>85213.231983200865</v>
      </c>
      <c r="I187" s="163">
        <f t="shared" si="65"/>
        <v>488369.94617382041</v>
      </c>
      <c r="J187" s="163">
        <f t="shared" si="65"/>
        <v>488369.94617382041</v>
      </c>
      <c r="K187" s="163">
        <f t="shared" si="65"/>
        <v>0</v>
      </c>
      <c r="L187" s="163">
        <f t="shared" si="65"/>
        <v>0</v>
      </c>
      <c r="M187" s="163">
        <f t="shared" si="65"/>
        <v>0</v>
      </c>
      <c r="N187" s="163">
        <f t="shared" si="65"/>
        <v>0</v>
      </c>
      <c r="O187" s="163">
        <f t="shared" si="65"/>
        <v>0</v>
      </c>
      <c r="P187" s="163">
        <f t="shared" si="65"/>
        <v>27245.543276182194</v>
      </c>
      <c r="Q187" s="163">
        <f t="shared" si="65"/>
        <v>44004.807016407241</v>
      </c>
      <c r="R187" s="137" t="s">
        <v>204</v>
      </c>
      <c r="U187" s="124">
        <f t="shared" si="63"/>
        <v>0</v>
      </c>
    </row>
    <row r="188" spans="1:21">
      <c r="A188" s="117">
        <f>IF(ISBLANK(C188),"",MAX($A$155:$A187)+1)</f>
        <v>30</v>
      </c>
      <c r="B188" s="117">
        <v>876</v>
      </c>
      <c r="C188" s="169" t="s">
        <v>201</v>
      </c>
      <c r="E188" s="163">
        <f>'COS Statement N'!K194</f>
        <v>24200.168481126868</v>
      </c>
      <c r="F188" s="163">
        <f>$E188*F$69/$E$69</f>
        <v>0</v>
      </c>
      <c r="G188" s="163">
        <f t="shared" ref="G188:Q188" si="66">$E188*G$69/$E$69</f>
        <v>0</v>
      </c>
      <c r="H188" s="163">
        <f t="shared" si="66"/>
        <v>0</v>
      </c>
      <c r="I188" s="163">
        <f t="shared" si="66"/>
        <v>0</v>
      </c>
      <c r="J188" s="163">
        <f t="shared" si="66"/>
        <v>0</v>
      </c>
      <c r="K188" s="163">
        <f t="shared" si="66"/>
        <v>0</v>
      </c>
      <c r="L188" s="163">
        <f t="shared" si="66"/>
        <v>0</v>
      </c>
      <c r="M188" s="163">
        <f t="shared" si="66"/>
        <v>24200.168481126868</v>
      </c>
      <c r="N188" s="163">
        <f t="shared" si="66"/>
        <v>0</v>
      </c>
      <c r="O188" s="163">
        <f t="shared" si="66"/>
        <v>0</v>
      </c>
      <c r="P188" s="163">
        <f t="shared" si="66"/>
        <v>0</v>
      </c>
      <c r="Q188" s="163">
        <f t="shared" si="66"/>
        <v>0</v>
      </c>
      <c r="R188" s="137" t="s">
        <v>205</v>
      </c>
      <c r="U188" s="124">
        <f t="shared" si="63"/>
        <v>0</v>
      </c>
    </row>
    <row r="189" spans="1:21">
      <c r="A189" s="117">
        <f>IF(ISBLANK(C189),"",MAX($A$155:$A188)+1)</f>
        <v>31</v>
      </c>
      <c r="B189" s="117">
        <v>877</v>
      </c>
      <c r="C189" s="169" t="s">
        <v>140</v>
      </c>
      <c r="E189" s="163">
        <f>'COS Statement N'!K195</f>
        <v>199277.10742041876</v>
      </c>
      <c r="F189" s="163">
        <f t="shared" ref="F189:Q189" si="67">$E189*(F$52+F$62)/($E$52+$E$62)</f>
        <v>0</v>
      </c>
      <c r="G189" s="163">
        <f t="shared" si="67"/>
        <v>13936.977629640909</v>
      </c>
      <c r="H189" s="163">
        <f t="shared" si="67"/>
        <v>13936.977629640909</v>
      </c>
      <c r="I189" s="163">
        <f t="shared" si="67"/>
        <v>79874.9308811019</v>
      </c>
      <c r="J189" s="163">
        <f t="shared" si="67"/>
        <v>79874.9308811019</v>
      </c>
      <c r="K189" s="163">
        <f t="shared" si="67"/>
        <v>0</v>
      </c>
      <c r="L189" s="163">
        <f t="shared" si="67"/>
        <v>0</v>
      </c>
      <c r="M189" s="163">
        <f t="shared" si="67"/>
        <v>0</v>
      </c>
      <c r="N189" s="163">
        <f t="shared" si="67"/>
        <v>0</v>
      </c>
      <c r="O189" s="163">
        <f t="shared" si="67"/>
        <v>0</v>
      </c>
      <c r="P189" s="163">
        <f t="shared" si="67"/>
        <v>4456.1216410900088</v>
      </c>
      <c r="Q189" s="163">
        <f t="shared" si="67"/>
        <v>7197.1687578431402</v>
      </c>
      <c r="R189" s="137" t="s">
        <v>204</v>
      </c>
      <c r="U189" s="124">
        <f t="shared" si="63"/>
        <v>0</v>
      </c>
    </row>
    <row r="190" spans="1:21">
      <c r="A190" s="117">
        <f>IF(ISBLANK(C190),"",MAX($A$155:$A189)+1)</f>
        <v>32</v>
      </c>
      <c r="B190" s="117">
        <v>878</v>
      </c>
      <c r="C190" s="169" t="s">
        <v>154</v>
      </c>
      <c r="E190" s="163">
        <f>'COS Statement N'!K196</f>
        <v>1734013.2623411347</v>
      </c>
      <c r="F190" s="163">
        <v>0</v>
      </c>
      <c r="G190" s="163">
        <v>0</v>
      </c>
      <c r="H190" s="163">
        <v>0</v>
      </c>
      <c r="I190" s="163">
        <v>0</v>
      </c>
      <c r="J190" s="163">
        <v>0</v>
      </c>
      <c r="K190" s="163">
        <v>0</v>
      </c>
      <c r="L190" s="163">
        <v>0</v>
      </c>
      <c r="M190" s="163">
        <f>$E190</f>
        <v>1734013.2623411347</v>
      </c>
      <c r="N190" s="163">
        <v>0</v>
      </c>
      <c r="O190" s="163">
        <v>0</v>
      </c>
      <c r="P190" s="163">
        <v>0</v>
      </c>
      <c r="Q190" s="163">
        <v>0</v>
      </c>
      <c r="R190" s="137" t="s">
        <v>207</v>
      </c>
      <c r="U190" s="124">
        <f t="shared" si="63"/>
        <v>0</v>
      </c>
    </row>
    <row r="191" spans="1:21">
      <c r="A191" s="117">
        <f>IF(ISBLANK(C191),"",MAX($A$155:$A190)+1)</f>
        <v>33</v>
      </c>
      <c r="B191" s="117">
        <v>879</v>
      </c>
      <c r="C191" s="169" t="s">
        <v>155</v>
      </c>
      <c r="E191" s="163">
        <f>'COS Statement N'!K197</f>
        <v>1240176.63386243</v>
      </c>
      <c r="F191" s="163">
        <v>0</v>
      </c>
      <c r="G191" s="163">
        <v>0</v>
      </c>
      <c r="H191" s="163">
        <v>0</v>
      </c>
      <c r="I191" s="163">
        <v>0</v>
      </c>
      <c r="J191" s="163">
        <v>0</v>
      </c>
      <c r="K191" s="163">
        <v>0</v>
      </c>
      <c r="L191" s="163">
        <f>$E191</f>
        <v>1240176.63386243</v>
      </c>
      <c r="M191" s="163">
        <v>0</v>
      </c>
      <c r="N191" s="163">
        <v>0</v>
      </c>
      <c r="O191" s="163">
        <v>0</v>
      </c>
      <c r="P191" s="163">
        <v>0</v>
      </c>
      <c r="Q191" s="163">
        <v>0</v>
      </c>
      <c r="R191" s="137" t="s">
        <v>206</v>
      </c>
      <c r="U191" s="124">
        <f t="shared" si="63"/>
        <v>0</v>
      </c>
    </row>
    <row r="192" spans="1:21">
      <c r="A192" s="117">
        <f>IF(ISBLANK(C192),"",MAX($A$155:$A191)+1)</f>
        <v>34</v>
      </c>
      <c r="B192" s="117">
        <v>880</v>
      </c>
      <c r="C192" s="169" t="s">
        <v>146</v>
      </c>
      <c r="E192" s="163">
        <f>'COS Statement N'!K198</f>
        <v>9694445.2439462245</v>
      </c>
      <c r="F192" s="163">
        <f t="shared" ref="F192:Q193" si="68">$E192*F$72/$E$72</f>
        <v>0</v>
      </c>
      <c r="G192" s="163">
        <f t="shared" si="68"/>
        <v>375108.92573589087</v>
      </c>
      <c r="H192" s="163">
        <f t="shared" si="68"/>
        <v>375108.92573589087</v>
      </c>
      <c r="I192" s="163">
        <f t="shared" si="68"/>
        <v>2184000.5545484954</v>
      </c>
      <c r="J192" s="163">
        <f t="shared" si="68"/>
        <v>515489.13557796954</v>
      </c>
      <c r="K192" s="163">
        <f t="shared" si="68"/>
        <v>2439316.6942132474</v>
      </c>
      <c r="L192" s="163">
        <f t="shared" si="68"/>
        <v>1944691.9011017736</v>
      </c>
      <c r="M192" s="163">
        <f t="shared" si="68"/>
        <v>1809927.6712766034</v>
      </c>
      <c r="N192" s="163">
        <f t="shared" si="68"/>
        <v>0</v>
      </c>
      <c r="O192" s="163">
        <f t="shared" si="68"/>
        <v>0</v>
      </c>
      <c r="P192" s="163">
        <f t="shared" si="68"/>
        <v>14354.450049472218</v>
      </c>
      <c r="Q192" s="163">
        <f t="shared" si="68"/>
        <v>36446.985706883068</v>
      </c>
      <c r="R192" s="137" t="s">
        <v>100</v>
      </c>
      <c r="U192" s="124">
        <f t="shared" si="63"/>
        <v>0</v>
      </c>
    </row>
    <row r="193" spans="1:21">
      <c r="A193" s="117">
        <f>IF(ISBLANK(C193),"",MAX($A$155:$A192)+1)</f>
        <v>35</v>
      </c>
      <c r="B193" s="117">
        <v>881</v>
      </c>
      <c r="C193" s="169" t="s">
        <v>156</v>
      </c>
      <c r="D193" s="177"/>
      <c r="E193" s="163">
        <f>'COS Statement N'!K199</f>
        <v>36553.419800000003</v>
      </c>
      <c r="F193" s="164">
        <f t="shared" si="68"/>
        <v>0</v>
      </c>
      <c r="G193" s="164">
        <f t="shared" si="68"/>
        <v>1414.368093080242</v>
      </c>
      <c r="H193" s="164">
        <f t="shared" si="68"/>
        <v>1414.368093080242</v>
      </c>
      <c r="I193" s="164">
        <f t="shared" si="68"/>
        <v>8234.8898884849677</v>
      </c>
      <c r="J193" s="164">
        <f t="shared" si="68"/>
        <v>1943.6791173674671</v>
      </c>
      <c r="K193" s="164">
        <f t="shared" si="68"/>
        <v>9197.5729301689662</v>
      </c>
      <c r="L193" s="164">
        <f t="shared" si="68"/>
        <v>7332.5639223165363</v>
      </c>
      <c r="M193" s="164">
        <f t="shared" si="68"/>
        <v>6824.4282484470832</v>
      </c>
      <c r="N193" s="164">
        <f t="shared" si="68"/>
        <v>0</v>
      </c>
      <c r="O193" s="164">
        <f t="shared" si="68"/>
        <v>0</v>
      </c>
      <c r="P193" s="164">
        <f t="shared" si="68"/>
        <v>54.124214996638891</v>
      </c>
      <c r="Q193" s="164">
        <f t="shared" si="68"/>
        <v>137.42529205786568</v>
      </c>
      <c r="R193" s="137" t="s">
        <v>100</v>
      </c>
      <c r="U193" s="124">
        <f t="shared" si="63"/>
        <v>0</v>
      </c>
    </row>
    <row r="194" spans="1:21">
      <c r="A194" s="117">
        <f>IF(ISBLANK(C194),"",MAX($A$155:$A193)+1)</f>
        <v>36</v>
      </c>
      <c r="B194" s="117"/>
      <c r="C194" s="174" t="s">
        <v>147</v>
      </c>
      <c r="D194" s="177"/>
      <c r="E194" s="170">
        <f>SUM(E183:E193)</f>
        <v>25427926.553933196</v>
      </c>
      <c r="F194" s="170">
        <f t="shared" ref="F194:P194" si="69">SUM(F183:F193)</f>
        <v>0</v>
      </c>
      <c r="G194" s="170">
        <f t="shared" si="69"/>
        <v>966709.01924154069</v>
      </c>
      <c r="H194" s="170">
        <f t="shared" si="69"/>
        <v>966709.01924154069</v>
      </c>
      <c r="I194" s="170">
        <f t="shared" si="69"/>
        <v>5577162.8599351393</v>
      </c>
      <c r="J194" s="170">
        <f t="shared" si="69"/>
        <v>1638768.3755551858</v>
      </c>
      <c r="K194" s="170">
        <f t="shared" si="69"/>
        <v>5759266.2659012536</v>
      </c>
      <c r="L194" s="170">
        <f t="shared" si="69"/>
        <v>6069914.1645570099</v>
      </c>
      <c r="M194" s="170">
        <f t="shared" si="69"/>
        <v>4255094.0509087844</v>
      </c>
      <c r="N194" s="170">
        <f t="shared" si="69"/>
        <v>0</v>
      </c>
      <c r="O194" s="170">
        <f t="shared" si="69"/>
        <v>0</v>
      </c>
      <c r="P194" s="170">
        <f t="shared" si="69"/>
        <v>63819.650313375256</v>
      </c>
      <c r="Q194" s="170">
        <f t="shared" ref="Q194" si="70">SUM(Q183:Q193)</f>
        <v>130483.14827937192</v>
      </c>
      <c r="R194" s="137" t="str">
        <f>"Sum of Lines "&amp;A183&amp;" thru "&amp;A193</f>
        <v>Sum of Lines 25 thru 35</v>
      </c>
      <c r="U194" s="124">
        <f t="shared" si="63"/>
        <v>0</v>
      </c>
    </row>
    <row r="195" spans="1:21">
      <c r="A195" s="117" t="str">
        <f>IF(ISBLANK(C195),"",MAX($A$155:$A194)+1)</f>
        <v/>
      </c>
      <c r="B195" s="117"/>
      <c r="E195" s="168"/>
      <c r="F195" s="635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U195" s="124"/>
    </row>
    <row r="196" spans="1:21">
      <c r="A196" s="117">
        <f>IF(ISBLANK(C196),"",MAX($A$155:$A195)+1)</f>
        <v>37</v>
      </c>
      <c r="B196" s="117"/>
      <c r="C196" s="140" t="s">
        <v>148</v>
      </c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U196" s="124"/>
    </row>
    <row r="197" spans="1:21">
      <c r="A197" s="117">
        <f>IF(ISBLANK(C197),"",MAX($A$155:$A196)+1)</f>
        <v>38</v>
      </c>
      <c r="B197" s="117">
        <v>885</v>
      </c>
      <c r="C197" s="169" t="s">
        <v>145</v>
      </c>
      <c r="E197" s="163">
        <f>'COS Statement N'!K203</f>
        <v>202.67000000000002</v>
      </c>
      <c r="F197" s="163">
        <f>$E197*SUM(F$198:F$206)/SUM($E$198:$E$206)</f>
        <v>0</v>
      </c>
      <c r="G197" s="163">
        <f t="shared" ref="G197:Q197" si="71">$E197*SUM(G$198:G$206)/SUM($E$198:$E$206)</f>
        <v>6.2562417805474206</v>
      </c>
      <c r="H197" s="163">
        <f t="shared" si="71"/>
        <v>6.2562417805474206</v>
      </c>
      <c r="I197" s="163">
        <f t="shared" si="71"/>
        <v>36.119469729675082</v>
      </c>
      <c r="J197" s="163">
        <f t="shared" si="71"/>
        <v>23.983465257284937</v>
      </c>
      <c r="K197" s="163">
        <f t="shared" si="71"/>
        <v>17.742496679353472</v>
      </c>
      <c r="L197" s="163">
        <f t="shared" si="71"/>
        <v>31.708058147341429</v>
      </c>
      <c r="M197" s="163">
        <f t="shared" si="71"/>
        <v>77.249214993147788</v>
      </c>
      <c r="N197" s="163">
        <f t="shared" si="71"/>
        <v>0</v>
      </c>
      <c r="O197" s="163">
        <f t="shared" si="71"/>
        <v>0</v>
      </c>
      <c r="P197" s="163">
        <f t="shared" si="71"/>
        <v>1.253601325322059</v>
      </c>
      <c r="Q197" s="163">
        <f t="shared" si="71"/>
        <v>2.1012103067804078</v>
      </c>
      <c r="R197" s="137" t="s">
        <v>185</v>
      </c>
      <c r="U197" s="124">
        <f t="shared" ref="U197:U207" si="72">+E197-SUM(F197:Q197)</f>
        <v>0</v>
      </c>
    </row>
    <row r="198" spans="1:21">
      <c r="A198" s="117">
        <f>IF(ISBLANK(C198),"",MAX($A$155:$A197)+1)</f>
        <v>39</v>
      </c>
      <c r="B198" s="117">
        <v>886</v>
      </c>
      <c r="C198" s="169" t="s">
        <v>136</v>
      </c>
      <c r="E198" s="163">
        <f>'COS Statement N'!K204</f>
        <v>301.74</v>
      </c>
      <c r="F198" s="163">
        <f t="shared" ref="F198:Q198" si="73">$E198*(F$59+F$50)/($E$59+$E$50)</f>
        <v>0</v>
      </c>
      <c r="G198" s="163">
        <f t="shared" si="73"/>
        <v>18.387873921700624</v>
      </c>
      <c r="H198" s="163">
        <f t="shared" si="73"/>
        <v>18.387873921700624</v>
      </c>
      <c r="I198" s="163">
        <f t="shared" si="73"/>
        <v>124.03777915203636</v>
      </c>
      <c r="J198" s="163">
        <f t="shared" si="73"/>
        <v>124.03777915203636</v>
      </c>
      <c r="K198" s="163">
        <f t="shared" si="73"/>
        <v>0</v>
      </c>
      <c r="L198" s="163">
        <f t="shared" si="73"/>
        <v>0</v>
      </c>
      <c r="M198" s="163">
        <f t="shared" si="73"/>
        <v>0</v>
      </c>
      <c r="N198" s="163">
        <f t="shared" si="73"/>
        <v>0</v>
      </c>
      <c r="O198" s="163">
        <f t="shared" si="73"/>
        <v>0</v>
      </c>
      <c r="P198" s="163">
        <f t="shared" si="73"/>
        <v>0.18668217563028847</v>
      </c>
      <c r="Q198" s="163">
        <f t="shared" si="73"/>
        <v>16.702011676895768</v>
      </c>
      <c r="R198" s="137" t="s">
        <v>208</v>
      </c>
      <c r="U198" s="124">
        <f t="shared" si="72"/>
        <v>0</v>
      </c>
    </row>
    <row r="199" spans="1:21">
      <c r="A199" s="117">
        <f>IF(ISBLANK(C199),"",MAX($A$155:$A198)+1)</f>
        <v>40</v>
      </c>
      <c r="B199" s="117">
        <v>887</v>
      </c>
      <c r="C199" s="169" t="s">
        <v>137</v>
      </c>
      <c r="E199" s="163">
        <f>'COS Statement N'!K205</f>
        <v>520525.31977455213</v>
      </c>
      <c r="F199" s="163">
        <f>$E199*(F$61)/($E$61)</f>
        <v>0</v>
      </c>
      <c r="G199" s="163">
        <f t="shared" ref="G199:Q199" si="74">$E199*(G$61)/($E$61)</f>
        <v>33000.12038942131</v>
      </c>
      <c r="H199" s="163">
        <f t="shared" si="74"/>
        <v>33000.12038942131</v>
      </c>
      <c r="I199" s="163">
        <f t="shared" si="74"/>
        <v>188789.15931959054</v>
      </c>
      <c r="J199" s="163">
        <f t="shared" si="74"/>
        <v>28453.868509890443</v>
      </c>
      <c r="K199" s="163">
        <f t="shared" si="74"/>
        <v>234405.67867671652</v>
      </c>
      <c r="L199" s="163">
        <f t="shared" si="74"/>
        <v>0</v>
      </c>
      <c r="M199" s="163">
        <f t="shared" si="74"/>
        <v>0</v>
      </c>
      <c r="N199" s="163">
        <f t="shared" si="74"/>
        <v>0</v>
      </c>
      <c r="O199" s="163">
        <f t="shared" si="74"/>
        <v>0</v>
      </c>
      <c r="P199" s="163">
        <f t="shared" si="74"/>
        <v>735.6060892682541</v>
      </c>
      <c r="Q199" s="163">
        <f t="shared" si="74"/>
        <v>2140.7664002437364</v>
      </c>
      <c r="R199" s="137" t="s">
        <v>212</v>
      </c>
      <c r="U199" s="124">
        <f t="shared" si="72"/>
        <v>0</v>
      </c>
    </row>
    <row r="200" spans="1:21">
      <c r="A200" s="117">
        <f>IF(ISBLANK(C200),"",MAX($A$155:$A199)+1)</f>
        <v>41</v>
      </c>
      <c r="B200" s="117">
        <v>888</v>
      </c>
      <c r="C200" s="169" t="s">
        <v>157</v>
      </c>
      <c r="E200" s="163">
        <f>'COS Statement N'!K206</f>
        <v>7681.0148431820871</v>
      </c>
      <c r="F200" s="163">
        <v>0</v>
      </c>
      <c r="G200" s="163">
        <v>0</v>
      </c>
      <c r="H200" s="163">
        <v>0</v>
      </c>
      <c r="I200" s="176">
        <f>$E200*0.5</f>
        <v>3840.5074215910436</v>
      </c>
      <c r="J200" s="176">
        <f>$E200*0.5</f>
        <v>3840.5074215910436</v>
      </c>
      <c r="K200" s="176">
        <v>0</v>
      </c>
      <c r="L200" s="163">
        <v>0</v>
      </c>
      <c r="M200" s="163">
        <v>0</v>
      </c>
      <c r="N200" s="163">
        <v>0</v>
      </c>
      <c r="O200" s="163">
        <v>0</v>
      </c>
      <c r="P200" s="163">
        <v>0</v>
      </c>
      <c r="Q200" s="163">
        <v>0</v>
      </c>
      <c r="R200" s="152" t="s">
        <v>202</v>
      </c>
      <c r="U200" s="124">
        <f t="shared" si="72"/>
        <v>0</v>
      </c>
    </row>
    <row r="201" spans="1:21">
      <c r="A201" s="117">
        <f>IF(ISBLANK(C201),"",MAX($A$155:$A200)+1)</f>
        <v>42</v>
      </c>
      <c r="B201" s="117">
        <v>889</v>
      </c>
      <c r="C201" s="169" t="s">
        <v>158</v>
      </c>
      <c r="E201" s="163">
        <f>'COS Statement N'!K207</f>
        <v>304842.34098551114</v>
      </c>
      <c r="F201" s="163">
        <f t="shared" ref="F201:Q201" si="75">$E201*(F$52+F$62)/($E$52+$E$62)</f>
        <v>0</v>
      </c>
      <c r="G201" s="163">
        <f t="shared" si="75"/>
        <v>21319.964655644675</v>
      </c>
      <c r="H201" s="163">
        <f t="shared" si="75"/>
        <v>21319.964655644675</v>
      </c>
      <c r="I201" s="163">
        <f t="shared" si="75"/>
        <v>122187.94838526481</v>
      </c>
      <c r="J201" s="163">
        <f t="shared" si="75"/>
        <v>122187.94838526481</v>
      </c>
      <c r="K201" s="163">
        <f t="shared" si="75"/>
        <v>0</v>
      </c>
      <c r="L201" s="163">
        <f t="shared" si="75"/>
        <v>0</v>
      </c>
      <c r="M201" s="163">
        <f t="shared" si="75"/>
        <v>0</v>
      </c>
      <c r="N201" s="163">
        <f t="shared" si="75"/>
        <v>0</v>
      </c>
      <c r="O201" s="163">
        <f t="shared" si="75"/>
        <v>0</v>
      </c>
      <c r="P201" s="163">
        <f t="shared" si="75"/>
        <v>6816.7115147863042</v>
      </c>
      <c r="Q201" s="163">
        <f t="shared" si="75"/>
        <v>11009.803388905875</v>
      </c>
      <c r="R201" s="137" t="s">
        <v>204</v>
      </c>
      <c r="U201" s="124">
        <f t="shared" si="72"/>
        <v>0</v>
      </c>
    </row>
    <row r="202" spans="1:21">
      <c r="A202" s="117">
        <f>IF(ISBLANK(C202),"",MAX($A$155:$A201)+1)</f>
        <v>43</v>
      </c>
      <c r="B202" s="117">
        <v>890</v>
      </c>
      <c r="C202" s="169" t="s">
        <v>159</v>
      </c>
      <c r="E202" s="163">
        <f>'COS Statement N'!K208</f>
        <v>83490.124143431603</v>
      </c>
      <c r="F202" s="163">
        <f>$E202*F$69/$E$69</f>
        <v>0</v>
      </c>
      <c r="G202" s="163">
        <f t="shared" ref="G202:Q202" si="76">$E202*G$69/$E$69</f>
        <v>0</v>
      </c>
      <c r="H202" s="163">
        <f t="shared" si="76"/>
        <v>0</v>
      </c>
      <c r="I202" s="163">
        <f t="shared" si="76"/>
        <v>0</v>
      </c>
      <c r="J202" s="163">
        <f t="shared" si="76"/>
        <v>0</v>
      </c>
      <c r="K202" s="163">
        <f t="shared" si="76"/>
        <v>0</v>
      </c>
      <c r="L202" s="163">
        <f t="shared" si="76"/>
        <v>0</v>
      </c>
      <c r="M202" s="163">
        <f t="shared" si="76"/>
        <v>83490.124143431603</v>
      </c>
      <c r="N202" s="163">
        <f t="shared" si="76"/>
        <v>0</v>
      </c>
      <c r="O202" s="163">
        <f t="shared" si="76"/>
        <v>0</v>
      </c>
      <c r="P202" s="163">
        <f t="shared" si="76"/>
        <v>0</v>
      </c>
      <c r="Q202" s="163">
        <f t="shared" si="76"/>
        <v>0</v>
      </c>
      <c r="R202" s="137" t="s">
        <v>205</v>
      </c>
      <c r="U202" s="124">
        <f t="shared" si="72"/>
        <v>0</v>
      </c>
    </row>
    <row r="203" spans="1:21">
      <c r="A203" s="117">
        <f>IF(ISBLANK(C203),"",MAX($A$155:$A202)+1)</f>
        <v>44</v>
      </c>
      <c r="B203" s="117">
        <v>891</v>
      </c>
      <c r="C203" s="169" t="s">
        <v>160</v>
      </c>
      <c r="E203" s="163">
        <f>'COS Statement N'!K209</f>
        <v>509769.67425050912</v>
      </c>
      <c r="F203" s="163">
        <f t="shared" ref="F203:Q203" si="77">$E203*(F$52+F$62)/($E$52+$E$62)</f>
        <v>0</v>
      </c>
      <c r="G203" s="163">
        <f t="shared" si="77"/>
        <v>35652.105945666226</v>
      </c>
      <c r="H203" s="163">
        <f t="shared" si="77"/>
        <v>35652.105945666226</v>
      </c>
      <c r="I203" s="163">
        <f t="shared" si="77"/>
        <v>204327.62208926529</v>
      </c>
      <c r="J203" s="163">
        <f t="shared" si="77"/>
        <v>204327.62208926529</v>
      </c>
      <c r="K203" s="163">
        <f t="shared" si="77"/>
        <v>0</v>
      </c>
      <c r="L203" s="163">
        <f t="shared" si="77"/>
        <v>0</v>
      </c>
      <c r="M203" s="163">
        <f t="shared" si="77"/>
        <v>0</v>
      </c>
      <c r="N203" s="163">
        <f t="shared" si="77"/>
        <v>0</v>
      </c>
      <c r="O203" s="163">
        <f t="shared" si="77"/>
        <v>0</v>
      </c>
      <c r="P203" s="163">
        <f t="shared" si="77"/>
        <v>11399.180301260938</v>
      </c>
      <c r="Q203" s="163">
        <f t="shared" si="77"/>
        <v>18411.037879385181</v>
      </c>
      <c r="R203" s="137" t="s">
        <v>204</v>
      </c>
      <c r="U203" s="124">
        <f t="shared" si="72"/>
        <v>0</v>
      </c>
    </row>
    <row r="204" spans="1:21">
      <c r="A204" s="117">
        <f>IF(ISBLANK(C204),"",MAX($A$155:$A203)+1)</f>
        <v>45</v>
      </c>
      <c r="B204" s="117">
        <v>892</v>
      </c>
      <c r="C204" s="169" t="s">
        <v>34</v>
      </c>
      <c r="E204" s="163">
        <f>'COS Statement N'!K210</f>
        <v>455433.99012575269</v>
      </c>
      <c r="F204" s="163">
        <v>0</v>
      </c>
      <c r="G204" s="163">
        <v>0</v>
      </c>
      <c r="H204" s="163">
        <v>0</v>
      </c>
      <c r="I204" s="163">
        <v>0</v>
      </c>
      <c r="J204" s="163">
        <v>0</v>
      </c>
      <c r="K204" s="163">
        <v>0</v>
      </c>
      <c r="L204" s="163">
        <f>$E204</f>
        <v>455433.99012575269</v>
      </c>
      <c r="M204" s="163">
        <v>0</v>
      </c>
      <c r="N204" s="163">
        <v>0</v>
      </c>
      <c r="O204" s="163">
        <v>0</v>
      </c>
      <c r="P204" s="163">
        <v>0</v>
      </c>
      <c r="Q204" s="163">
        <v>0</v>
      </c>
      <c r="R204" s="137" t="s">
        <v>206</v>
      </c>
      <c r="U204" s="124">
        <f t="shared" si="72"/>
        <v>0</v>
      </c>
    </row>
    <row r="205" spans="1:21">
      <c r="A205" s="117">
        <f>IF(ISBLANK(C205),"",MAX($A$155:$A204)+1)</f>
        <v>46</v>
      </c>
      <c r="B205" s="117">
        <v>893</v>
      </c>
      <c r="C205" s="169" t="s">
        <v>154</v>
      </c>
      <c r="E205" s="163">
        <f>'COS Statement N'!K211</f>
        <v>1070351.1555256925</v>
      </c>
      <c r="F205" s="163">
        <v>0</v>
      </c>
      <c r="G205" s="163">
        <v>0</v>
      </c>
      <c r="H205" s="163">
        <v>0</v>
      </c>
      <c r="I205" s="163">
        <v>0</v>
      </c>
      <c r="J205" s="163">
        <v>0</v>
      </c>
      <c r="K205" s="163">
        <v>0</v>
      </c>
      <c r="L205" s="163">
        <v>0</v>
      </c>
      <c r="M205" s="163">
        <f>$E205</f>
        <v>1070351.1555256925</v>
      </c>
      <c r="N205" s="163">
        <v>0</v>
      </c>
      <c r="O205" s="163">
        <v>0</v>
      </c>
      <c r="P205" s="163">
        <v>0</v>
      </c>
      <c r="Q205" s="163">
        <v>0</v>
      </c>
      <c r="R205" s="137" t="s">
        <v>207</v>
      </c>
      <c r="U205" s="124">
        <f t="shared" si="72"/>
        <v>0</v>
      </c>
    </row>
    <row r="206" spans="1:21">
      <c r="A206" s="117">
        <f>IF(ISBLANK(C206),"",MAX($A$155:$A205)+1)</f>
        <v>47</v>
      </c>
      <c r="B206" s="117">
        <v>894</v>
      </c>
      <c r="C206" s="169" t="s">
        <v>138</v>
      </c>
      <c r="D206" s="177"/>
      <c r="E206" s="163">
        <f>'COS Statement N'!K212</f>
        <v>146627.87107701585</v>
      </c>
      <c r="F206" s="164">
        <f>$E206*F$72/$E$72</f>
        <v>0</v>
      </c>
      <c r="G206" s="164">
        <f t="shared" ref="G206:Q206" si="78">$E206*G$72/$E$72</f>
        <v>5673.4987736390804</v>
      </c>
      <c r="H206" s="164">
        <f t="shared" si="78"/>
        <v>5673.4987736390804</v>
      </c>
      <c r="I206" s="164">
        <f t="shared" si="78"/>
        <v>33032.870235090704</v>
      </c>
      <c r="J206" s="164">
        <f t="shared" si="78"/>
        <v>7796.7405675253649</v>
      </c>
      <c r="K206" s="164">
        <f t="shared" si="78"/>
        <v>36894.510697088481</v>
      </c>
      <c r="L206" s="164">
        <f t="shared" si="78"/>
        <v>29413.341989561446</v>
      </c>
      <c r="M206" s="164">
        <f t="shared" si="78"/>
        <v>27375.041538183079</v>
      </c>
      <c r="N206" s="164">
        <f>$E206*N$72/$E$72</f>
        <v>0</v>
      </c>
      <c r="O206" s="164">
        <f t="shared" si="78"/>
        <v>0</v>
      </c>
      <c r="P206" s="164">
        <f t="shared" si="78"/>
        <v>217.11014898452413</v>
      </c>
      <c r="Q206" s="164">
        <f t="shared" si="78"/>
        <v>551.25835330411348</v>
      </c>
      <c r="R206" s="137" t="s">
        <v>100</v>
      </c>
      <c r="U206" s="124">
        <f t="shared" si="72"/>
        <v>0</v>
      </c>
    </row>
    <row r="207" spans="1:21">
      <c r="A207" s="117">
        <f>IF(ISBLANK(C207),"",MAX($A$155:$A206)+1)</f>
        <v>48</v>
      </c>
      <c r="C207" s="174" t="s">
        <v>149</v>
      </c>
      <c r="D207" s="177"/>
      <c r="E207" s="175">
        <f>SUM(E197:E206)</f>
        <v>3099225.9007256473</v>
      </c>
      <c r="F207" s="175">
        <f t="shared" ref="F207:P207" si="79">SUM(F197:F206)</f>
        <v>0</v>
      </c>
      <c r="G207" s="175">
        <f t="shared" si="79"/>
        <v>95670.333880073536</v>
      </c>
      <c r="H207" s="175">
        <f t="shared" si="79"/>
        <v>95670.333880073536</v>
      </c>
      <c r="I207" s="175">
        <f t="shared" si="79"/>
        <v>552338.26469968411</v>
      </c>
      <c r="J207" s="175">
        <f t="shared" si="79"/>
        <v>366754.70821794629</v>
      </c>
      <c r="K207" s="175">
        <f t="shared" si="79"/>
        <v>271317.93187048438</v>
      </c>
      <c r="L207" s="175">
        <f t="shared" si="79"/>
        <v>484879.04017346149</v>
      </c>
      <c r="M207" s="175">
        <f t="shared" si="79"/>
        <v>1181293.5704223004</v>
      </c>
      <c r="N207" s="175">
        <f t="shared" si="79"/>
        <v>0</v>
      </c>
      <c r="O207" s="175">
        <f t="shared" si="79"/>
        <v>0</v>
      </c>
      <c r="P207" s="175">
        <f t="shared" si="79"/>
        <v>19170.048337800974</v>
      </c>
      <c r="Q207" s="175">
        <f t="shared" ref="Q207" si="80">SUM(Q197:Q206)</f>
        <v>32131.669243822584</v>
      </c>
      <c r="R207" s="137" t="str">
        <f>"Sum of Lines "&amp;A197&amp;" thru "&amp;A206</f>
        <v>Sum of Lines 38 thru 47</v>
      </c>
      <c r="U207" s="124">
        <f t="shared" si="72"/>
        <v>0</v>
      </c>
    </row>
    <row r="208" spans="1:21">
      <c r="A208" s="117"/>
      <c r="C208" s="174"/>
      <c r="D208" s="177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37"/>
      <c r="U208" s="124"/>
    </row>
    <row r="209" spans="1:21">
      <c r="A209" s="117">
        <f>IF(ISBLANK(C209),"",MAX($A$155:$A207)+1)</f>
        <v>49</v>
      </c>
      <c r="C209" s="34" t="s">
        <v>161</v>
      </c>
      <c r="E209" s="163">
        <f>E194+E207</f>
        <v>28527152.454658844</v>
      </c>
      <c r="F209" s="163">
        <f t="shared" ref="F209:O209" si="81">F194+F207</f>
        <v>0</v>
      </c>
      <c r="G209" s="163">
        <f t="shared" si="81"/>
        <v>1062379.3531216143</v>
      </c>
      <c r="H209" s="163">
        <f t="shared" si="81"/>
        <v>1062379.3531216143</v>
      </c>
      <c r="I209" s="163">
        <f t="shared" si="81"/>
        <v>6129501.1246348238</v>
      </c>
      <c r="J209" s="163">
        <f>J194+J207</f>
        <v>2005523.0837731322</v>
      </c>
      <c r="K209" s="163">
        <f t="shared" si="81"/>
        <v>6030584.1977717383</v>
      </c>
      <c r="L209" s="163">
        <f t="shared" si="81"/>
        <v>6554793.2047304716</v>
      </c>
      <c r="M209" s="163">
        <f t="shared" si="81"/>
        <v>5436387.6213310845</v>
      </c>
      <c r="N209" s="163">
        <f t="shared" si="81"/>
        <v>0</v>
      </c>
      <c r="O209" s="163">
        <f t="shared" si="81"/>
        <v>0</v>
      </c>
      <c r="P209" s="163">
        <f>P194+P207</f>
        <v>82989.698651176237</v>
      </c>
      <c r="Q209" s="163">
        <f>Q194+Q207</f>
        <v>162614.81752319451</v>
      </c>
      <c r="R209" s="137" t="str">
        <f>"Line "&amp;A194&amp;" + Line "&amp;A207</f>
        <v>Line 36 + Line 48</v>
      </c>
      <c r="U209" s="124">
        <f>+E209-SUM(F209:Q209)</f>
        <v>0</v>
      </c>
    </row>
    <row r="210" spans="1:21">
      <c r="A210" s="117"/>
      <c r="E210" s="168"/>
      <c r="F210" s="635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37"/>
      <c r="U210" s="124"/>
    </row>
    <row r="211" spans="1:21">
      <c r="A211" s="117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37"/>
      <c r="U211" s="124"/>
    </row>
    <row r="212" spans="1:21">
      <c r="A212" s="113" t="str">
        <f>$A$1</f>
        <v>Black Hills Nebraska Gas, LLC</v>
      </c>
      <c r="B212" s="114"/>
      <c r="C212" s="115"/>
      <c r="D212" s="115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634" t="str">
        <f>$R$1</f>
        <v>Section 4, Exhibit A</v>
      </c>
      <c r="U212" s="124"/>
    </row>
    <row r="213" spans="1:21">
      <c r="A213" s="113" t="str">
        <f>$A$146</f>
        <v>FUNCTIONAL CLASSIFICATION OF OPERATION AND MAINTENANCE EXPENSES</v>
      </c>
      <c r="B213" s="114"/>
      <c r="C213" s="115"/>
      <c r="D213" s="115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634" t="s">
        <v>187</v>
      </c>
      <c r="U213" s="124"/>
    </row>
    <row r="214" spans="1:21">
      <c r="A214" s="113" t="str">
        <f>$A$3</f>
        <v>FOR THE PRO FORMA PERIOD ENDED DECEMBER 31, 2020</v>
      </c>
      <c r="B214" s="114"/>
      <c r="C214" s="115"/>
      <c r="D214" s="115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634" t="s">
        <v>60</v>
      </c>
      <c r="U214" s="124"/>
    </row>
    <row r="215" spans="1:21"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U215" s="124"/>
    </row>
    <row r="216" spans="1:21"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U216" s="124"/>
    </row>
    <row r="217" spans="1:21">
      <c r="A217" s="117"/>
      <c r="B217" s="117" t="s">
        <v>0</v>
      </c>
      <c r="C217" s="115" t="s">
        <v>1</v>
      </c>
      <c r="D217" s="115"/>
      <c r="E217" s="313" t="s">
        <v>2</v>
      </c>
      <c r="F217" s="313" t="s">
        <v>3</v>
      </c>
      <c r="G217" s="313" t="s">
        <v>4</v>
      </c>
      <c r="H217" s="313" t="s">
        <v>5</v>
      </c>
      <c r="I217" s="313" t="s">
        <v>26</v>
      </c>
      <c r="J217" s="313" t="s">
        <v>61</v>
      </c>
      <c r="K217" s="313" t="s">
        <v>62</v>
      </c>
      <c r="L217" s="313" t="s">
        <v>63</v>
      </c>
      <c r="M217" s="313" t="s">
        <v>64</v>
      </c>
      <c r="N217" s="313" t="s">
        <v>79</v>
      </c>
      <c r="O217" s="163" t="s">
        <v>80</v>
      </c>
      <c r="P217" s="163" t="s">
        <v>81</v>
      </c>
      <c r="Q217" s="163" t="s">
        <v>195</v>
      </c>
      <c r="R217" s="117" t="s">
        <v>196</v>
      </c>
      <c r="S217" s="117"/>
      <c r="T217" s="117"/>
      <c r="U217" s="124"/>
    </row>
    <row r="218" spans="1:21"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U218" s="124"/>
    </row>
    <row r="219" spans="1:21">
      <c r="A219" s="118"/>
      <c r="B219" s="119"/>
      <c r="C219" s="119"/>
      <c r="D219" s="120"/>
      <c r="E219" s="179"/>
      <c r="F219" s="180"/>
      <c r="G219" s="179"/>
      <c r="H219" s="181"/>
      <c r="I219" s="179"/>
      <c r="J219" s="182"/>
      <c r="K219" s="182"/>
      <c r="L219" s="180"/>
      <c r="M219" s="180" t="s">
        <v>82</v>
      </c>
      <c r="N219" s="180"/>
      <c r="O219" s="180"/>
      <c r="P219" s="183"/>
      <c r="Q219" s="183"/>
      <c r="R219" s="118"/>
      <c r="S219" s="117"/>
      <c r="T219" s="117"/>
      <c r="U219" s="124"/>
    </row>
    <row r="220" spans="1:21">
      <c r="A220" s="125" t="s">
        <v>6</v>
      </c>
      <c r="B220" s="126" t="s">
        <v>87</v>
      </c>
      <c r="C220" s="126"/>
      <c r="D220" s="117"/>
      <c r="E220" s="184" t="s">
        <v>20</v>
      </c>
      <c r="F220" s="185"/>
      <c r="G220" s="186" t="s">
        <v>42</v>
      </c>
      <c r="H220" s="187"/>
      <c r="I220" s="186" t="s">
        <v>45</v>
      </c>
      <c r="J220" s="188"/>
      <c r="K220" s="188"/>
      <c r="L220" s="185"/>
      <c r="M220" s="185" t="s">
        <v>83</v>
      </c>
      <c r="N220" s="185" t="s">
        <v>46</v>
      </c>
      <c r="O220" s="185" t="s">
        <v>21</v>
      </c>
      <c r="P220" s="189" t="s">
        <v>194</v>
      </c>
      <c r="Q220" s="189" t="s">
        <v>194</v>
      </c>
      <c r="R220" s="125"/>
      <c r="S220" s="117"/>
      <c r="T220" s="117"/>
      <c r="U220" s="124"/>
    </row>
    <row r="221" spans="1:21">
      <c r="A221" s="130" t="s">
        <v>88</v>
      </c>
      <c r="B221" s="131" t="s">
        <v>88</v>
      </c>
      <c r="C221" s="127" t="s">
        <v>8</v>
      </c>
      <c r="D221" s="129"/>
      <c r="E221" s="190" t="s">
        <v>219</v>
      </c>
      <c r="F221" s="191" t="s">
        <v>41</v>
      </c>
      <c r="G221" s="192" t="s">
        <v>43</v>
      </c>
      <c r="H221" s="192" t="s">
        <v>33</v>
      </c>
      <c r="I221" s="192" t="s">
        <v>43</v>
      </c>
      <c r="J221" s="193" t="s">
        <v>33</v>
      </c>
      <c r="K221" s="193" t="s">
        <v>46</v>
      </c>
      <c r="L221" s="191" t="s">
        <v>34</v>
      </c>
      <c r="M221" s="191" t="s">
        <v>84</v>
      </c>
      <c r="N221" s="191" t="s">
        <v>85</v>
      </c>
      <c r="O221" s="191" t="s">
        <v>47</v>
      </c>
      <c r="P221" s="194" t="s">
        <v>47</v>
      </c>
      <c r="Q221" s="194" t="str">
        <f>+Q10</f>
        <v>Supply</v>
      </c>
      <c r="R221" s="130" t="s">
        <v>86</v>
      </c>
      <c r="S221" s="117"/>
      <c r="T221" s="117"/>
      <c r="U221" s="124"/>
    </row>
    <row r="222" spans="1:21">
      <c r="A222" s="117"/>
      <c r="B222" s="117"/>
      <c r="C222" s="117"/>
      <c r="D222" s="117"/>
      <c r="E222" s="313" t="s">
        <v>27</v>
      </c>
      <c r="F222" s="313" t="s">
        <v>27</v>
      </c>
      <c r="G222" s="313" t="s">
        <v>27</v>
      </c>
      <c r="H222" s="313" t="s">
        <v>27</v>
      </c>
      <c r="I222" s="313" t="s">
        <v>27</v>
      </c>
      <c r="J222" s="313" t="s">
        <v>27</v>
      </c>
      <c r="K222" s="313" t="s">
        <v>27</v>
      </c>
      <c r="L222" s="313" t="s">
        <v>27</v>
      </c>
      <c r="M222" s="313" t="s">
        <v>27</v>
      </c>
      <c r="N222" s="313" t="s">
        <v>27</v>
      </c>
      <c r="O222" s="313" t="s">
        <v>27</v>
      </c>
      <c r="P222" s="313" t="s">
        <v>27</v>
      </c>
      <c r="Q222" s="313" t="s">
        <v>27</v>
      </c>
      <c r="R222" s="117"/>
      <c r="S222" s="117"/>
      <c r="T222" s="117"/>
      <c r="U222" s="124"/>
    </row>
    <row r="223" spans="1:21">
      <c r="A223" s="117" t="str">
        <f>IF(ISBLANK(C223),"",MAX($A$156:$A222)+1)</f>
        <v/>
      </c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U223" s="124"/>
    </row>
    <row r="224" spans="1:21">
      <c r="A224" s="117">
        <f>IF(ISBLANK(C224),"",MAX($A$155:$A223)+1)</f>
        <v>50</v>
      </c>
      <c r="C224" s="34" t="s">
        <v>116</v>
      </c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U224" s="124"/>
    </row>
    <row r="225" spans="1:21">
      <c r="A225" s="117">
        <f>IF(ISBLANK(C225),"",MAX($A$155:$A224)+1)</f>
        <v>51</v>
      </c>
      <c r="B225" s="117">
        <v>901</v>
      </c>
      <c r="C225" s="140" t="s">
        <v>162</v>
      </c>
      <c r="E225" s="163">
        <f>'COS Statement N'!K219</f>
        <v>258554.74256354259</v>
      </c>
      <c r="F225" s="163">
        <v>0</v>
      </c>
      <c r="G225" s="163">
        <v>0</v>
      </c>
      <c r="H225" s="163">
        <v>0</v>
      </c>
      <c r="I225" s="163">
        <v>0</v>
      </c>
      <c r="J225" s="163">
        <v>0</v>
      </c>
      <c r="K225" s="163">
        <v>0</v>
      </c>
      <c r="L225" s="163">
        <v>0</v>
      </c>
      <c r="M225" s="163">
        <v>0</v>
      </c>
      <c r="N225" s="163">
        <f>$E225</f>
        <v>258554.74256354259</v>
      </c>
      <c r="O225" s="163">
        <v>0</v>
      </c>
      <c r="P225" s="163">
        <v>0</v>
      </c>
      <c r="Q225" s="163">
        <v>0</v>
      </c>
      <c r="R225" s="137" t="s">
        <v>209</v>
      </c>
      <c r="U225" s="124">
        <f t="shared" ref="U225:U230" si="82">+E225-SUM(F225:Q225)</f>
        <v>0</v>
      </c>
    </row>
    <row r="226" spans="1:21">
      <c r="A226" s="117">
        <f>IF(ISBLANK(C226),"",MAX($A$155:$A225)+1)</f>
        <v>52</v>
      </c>
      <c r="B226" s="117">
        <v>902</v>
      </c>
      <c r="C226" s="140" t="s">
        <v>163</v>
      </c>
      <c r="E226" s="163">
        <f>'COS Statement N'!K220</f>
        <v>714264.13289960171</v>
      </c>
      <c r="F226" s="163">
        <v>0</v>
      </c>
      <c r="G226" s="163">
        <v>0</v>
      </c>
      <c r="H226" s="163">
        <v>0</v>
      </c>
      <c r="I226" s="163">
        <v>0</v>
      </c>
      <c r="J226" s="163">
        <v>0</v>
      </c>
      <c r="K226" s="163">
        <v>0</v>
      </c>
      <c r="L226" s="163">
        <v>0</v>
      </c>
      <c r="M226" s="163">
        <v>0</v>
      </c>
      <c r="N226" s="163">
        <f>$E226</f>
        <v>714264.13289960171</v>
      </c>
      <c r="O226" s="163">
        <v>0</v>
      </c>
      <c r="P226" s="163">
        <v>0</v>
      </c>
      <c r="Q226" s="163">
        <v>0</v>
      </c>
      <c r="R226" s="137" t="s">
        <v>209</v>
      </c>
      <c r="U226" s="124">
        <f t="shared" si="82"/>
        <v>0</v>
      </c>
    </row>
    <row r="227" spans="1:21">
      <c r="A227" s="117">
        <f>IF(ISBLANK(C227),"",MAX($A$155:$A226)+1)</f>
        <v>53</v>
      </c>
      <c r="B227" s="117">
        <v>903</v>
      </c>
      <c r="C227" s="140" t="s">
        <v>164</v>
      </c>
      <c r="E227" s="163">
        <f>'COS Statement N'!K221</f>
        <v>6055809.61893583</v>
      </c>
      <c r="F227" s="163">
        <v>0</v>
      </c>
      <c r="G227" s="163">
        <v>0</v>
      </c>
      <c r="H227" s="163">
        <v>0</v>
      </c>
      <c r="I227" s="163">
        <v>0</v>
      </c>
      <c r="J227" s="163">
        <v>0</v>
      </c>
      <c r="K227" s="163">
        <v>0</v>
      </c>
      <c r="L227" s="163">
        <v>0</v>
      </c>
      <c r="M227" s="163">
        <v>0</v>
      </c>
      <c r="N227" s="163">
        <f>$E227</f>
        <v>6055809.61893583</v>
      </c>
      <c r="O227" s="163">
        <v>0</v>
      </c>
      <c r="P227" s="163">
        <v>0</v>
      </c>
      <c r="Q227" s="163">
        <v>0</v>
      </c>
      <c r="R227" s="137" t="s">
        <v>209</v>
      </c>
      <c r="U227" s="124">
        <f t="shared" si="82"/>
        <v>0</v>
      </c>
    </row>
    <row r="228" spans="1:21">
      <c r="A228" s="117">
        <f>IF(ISBLANK(C228),"",MAX($A$155:$A227)+1)</f>
        <v>54</v>
      </c>
      <c r="B228" s="117">
        <v>904</v>
      </c>
      <c r="C228" s="140" t="s">
        <v>165</v>
      </c>
      <c r="E228" s="163">
        <f>'COS Statement N'!K222</f>
        <v>664748.74297257431</v>
      </c>
      <c r="F228" s="163">
        <v>0</v>
      </c>
      <c r="G228" s="163">
        <v>0</v>
      </c>
      <c r="H228" s="163">
        <v>0</v>
      </c>
      <c r="I228" s="163">
        <v>0</v>
      </c>
      <c r="J228" s="163">
        <v>0</v>
      </c>
      <c r="K228" s="163">
        <v>0</v>
      </c>
      <c r="L228" s="163">
        <v>0</v>
      </c>
      <c r="M228" s="163">
        <v>0</v>
      </c>
      <c r="N228" s="163">
        <f>$E228</f>
        <v>664748.74297257431</v>
      </c>
      <c r="O228" s="163">
        <v>0</v>
      </c>
      <c r="P228" s="163">
        <v>0</v>
      </c>
      <c r="Q228" s="163">
        <v>0</v>
      </c>
      <c r="R228" s="137" t="s">
        <v>209</v>
      </c>
      <c r="U228" s="124">
        <f t="shared" si="82"/>
        <v>0</v>
      </c>
    </row>
    <row r="229" spans="1:21">
      <c r="A229" s="117">
        <f>IF(ISBLANK(C229),"",MAX($A$155:$A228)+1)</f>
        <v>55</v>
      </c>
      <c r="B229" s="117">
        <v>905</v>
      </c>
      <c r="C229" s="140" t="s">
        <v>125</v>
      </c>
      <c r="E229" s="163">
        <f>'COS Statement N'!K223</f>
        <v>165908.54092312654</v>
      </c>
      <c r="F229" s="164">
        <v>0</v>
      </c>
      <c r="G229" s="164">
        <v>0</v>
      </c>
      <c r="H229" s="164">
        <v>0</v>
      </c>
      <c r="I229" s="164">
        <v>0</v>
      </c>
      <c r="J229" s="164">
        <v>0</v>
      </c>
      <c r="K229" s="164">
        <v>0</v>
      </c>
      <c r="L229" s="164">
        <v>0</v>
      </c>
      <c r="M229" s="164">
        <v>0</v>
      </c>
      <c r="N229" s="164">
        <f>$E229</f>
        <v>165908.54092312654</v>
      </c>
      <c r="O229" s="164">
        <v>0</v>
      </c>
      <c r="P229" s="164">
        <v>0</v>
      </c>
      <c r="Q229" s="164">
        <v>0</v>
      </c>
      <c r="R229" s="137" t="s">
        <v>209</v>
      </c>
      <c r="U229" s="124">
        <f t="shared" si="82"/>
        <v>0</v>
      </c>
    </row>
    <row r="230" spans="1:21">
      <c r="A230" s="117">
        <f>IF(ISBLANK(C230),"",MAX($A$155:$A229)+1)</f>
        <v>56</v>
      </c>
      <c r="B230" s="117"/>
      <c r="C230" s="34" t="s">
        <v>166</v>
      </c>
      <c r="E230" s="170">
        <f>SUM(E225:E229)</f>
        <v>7859285.7782946751</v>
      </c>
      <c r="F230" s="170">
        <f t="shared" ref="F230:P230" si="83">SUM(F225:F229)</f>
        <v>0</v>
      </c>
      <c r="G230" s="170">
        <f t="shared" si="83"/>
        <v>0</v>
      </c>
      <c r="H230" s="170">
        <f t="shared" si="83"/>
        <v>0</v>
      </c>
      <c r="I230" s="170">
        <f t="shared" si="83"/>
        <v>0</v>
      </c>
      <c r="J230" s="170">
        <f t="shared" si="83"/>
        <v>0</v>
      </c>
      <c r="K230" s="170">
        <f t="shared" si="83"/>
        <v>0</v>
      </c>
      <c r="L230" s="170">
        <f t="shared" si="83"/>
        <v>0</v>
      </c>
      <c r="M230" s="170">
        <f t="shared" si="83"/>
        <v>0</v>
      </c>
      <c r="N230" s="170">
        <f t="shared" si="83"/>
        <v>7859285.7782946751</v>
      </c>
      <c r="O230" s="170">
        <f t="shared" si="83"/>
        <v>0</v>
      </c>
      <c r="P230" s="170">
        <f t="shared" si="83"/>
        <v>0</v>
      </c>
      <c r="Q230" s="170">
        <f t="shared" ref="Q230" si="84">SUM(Q225:Q229)</f>
        <v>0</v>
      </c>
      <c r="R230" s="137" t="str">
        <f>"Sum of Lines "&amp;A225&amp;" thru "&amp;A229</f>
        <v>Sum of Lines 51 thru 55</v>
      </c>
      <c r="U230" s="124">
        <f t="shared" si="82"/>
        <v>0</v>
      </c>
    </row>
    <row r="231" spans="1:21">
      <c r="A231" s="117" t="str">
        <f>IF(ISBLANK(C231),"",MAX($A$155:$A230)+1)</f>
        <v/>
      </c>
      <c r="B231" s="117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U231" s="124"/>
    </row>
    <row r="232" spans="1:21">
      <c r="A232" s="117">
        <f>IF(ISBLANK(C232),"",MAX($A$155:$A231)+1)</f>
        <v>57</v>
      </c>
      <c r="B232" s="117"/>
      <c r="C232" s="34" t="s">
        <v>117</v>
      </c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U232" s="124"/>
    </row>
    <row r="233" spans="1:21">
      <c r="A233" s="117">
        <f>IF(ISBLANK(C233),"",MAX($A$155:$A232)+1)</f>
        <v>58</v>
      </c>
      <c r="B233" s="117">
        <v>907</v>
      </c>
      <c r="C233" s="140" t="s">
        <v>162</v>
      </c>
      <c r="E233" s="163">
        <f>'COS Statement N'!K228</f>
        <v>103310.22256000002</v>
      </c>
      <c r="F233" s="163">
        <v>0</v>
      </c>
      <c r="G233" s="163">
        <v>0</v>
      </c>
      <c r="H233" s="163">
        <v>0</v>
      </c>
      <c r="I233" s="163">
        <v>0</v>
      </c>
      <c r="J233" s="163">
        <f>$E233*1/3</f>
        <v>34436.740853333344</v>
      </c>
      <c r="K233" s="163">
        <v>0</v>
      </c>
      <c r="L233" s="163">
        <v>0</v>
      </c>
      <c r="M233" s="163">
        <v>0</v>
      </c>
      <c r="N233" s="163">
        <f>$E233*2/3</f>
        <v>68873.481706666687</v>
      </c>
      <c r="O233" s="163">
        <v>0</v>
      </c>
      <c r="P233" s="163">
        <v>0</v>
      </c>
      <c r="Q233" s="163">
        <v>0</v>
      </c>
      <c r="R233" s="137" t="s">
        <v>210</v>
      </c>
      <c r="U233" s="124">
        <f>+E233-SUM(F233:Q233)</f>
        <v>0</v>
      </c>
    </row>
    <row r="234" spans="1:21">
      <c r="A234" s="117">
        <f>IF(ISBLANK(C234),"",MAX($A$155:$A233)+1)</f>
        <v>59</v>
      </c>
      <c r="B234" s="117">
        <v>908</v>
      </c>
      <c r="C234" s="140" t="s">
        <v>167</v>
      </c>
      <c r="E234" s="163">
        <f>'COS Statement N'!K229</f>
        <v>131313.89288500001</v>
      </c>
      <c r="F234" s="163">
        <v>0</v>
      </c>
      <c r="G234" s="163">
        <v>0</v>
      </c>
      <c r="H234" s="163">
        <v>0</v>
      </c>
      <c r="I234" s="163">
        <v>0</v>
      </c>
      <c r="J234" s="163">
        <f>$E234*1/3</f>
        <v>43771.297628333334</v>
      </c>
      <c r="K234" s="163">
        <v>0</v>
      </c>
      <c r="L234" s="163">
        <v>0</v>
      </c>
      <c r="M234" s="163">
        <v>0</v>
      </c>
      <c r="N234" s="163">
        <f>$E234*2/3</f>
        <v>87542.595256666667</v>
      </c>
      <c r="O234" s="163">
        <v>0</v>
      </c>
      <c r="P234" s="163">
        <v>0</v>
      </c>
      <c r="Q234" s="163">
        <v>0</v>
      </c>
      <c r="R234" s="137" t="s">
        <v>210</v>
      </c>
      <c r="U234" s="124">
        <f>+E234-SUM(F234:Q234)</f>
        <v>0</v>
      </c>
    </row>
    <row r="235" spans="1:21">
      <c r="A235" s="117">
        <f>IF(ISBLANK(C235),"",MAX($A$155:$A234)+1)</f>
        <v>60</v>
      </c>
      <c r="B235" s="117">
        <v>909</v>
      </c>
      <c r="C235" s="140" t="s">
        <v>168</v>
      </c>
      <c r="E235" s="163">
        <f>'COS Statement N'!K230</f>
        <v>664.92460000000392</v>
      </c>
      <c r="F235" s="163">
        <v>0</v>
      </c>
      <c r="G235" s="163">
        <v>0</v>
      </c>
      <c r="H235" s="163">
        <v>0</v>
      </c>
      <c r="I235" s="163">
        <v>0</v>
      </c>
      <c r="J235" s="163">
        <f>$E235*1/3</f>
        <v>221.64153333333465</v>
      </c>
      <c r="K235" s="163">
        <v>0</v>
      </c>
      <c r="L235" s="163">
        <v>0</v>
      </c>
      <c r="M235" s="163">
        <v>0</v>
      </c>
      <c r="N235" s="163">
        <f>$E235*2/3</f>
        <v>443.2830666666693</v>
      </c>
      <c r="O235" s="163">
        <v>0</v>
      </c>
      <c r="P235" s="163">
        <v>0</v>
      </c>
      <c r="Q235" s="163">
        <v>0</v>
      </c>
      <c r="R235" s="137" t="s">
        <v>210</v>
      </c>
      <c r="U235" s="124">
        <f>+E235-SUM(F235:Q235)</f>
        <v>0</v>
      </c>
    </row>
    <row r="236" spans="1:21">
      <c r="A236" s="117">
        <f>IF(ISBLANK(C236),"",MAX($A$155:$A235)+1)</f>
        <v>61</v>
      </c>
      <c r="B236" s="117">
        <v>910</v>
      </c>
      <c r="C236" s="140" t="s">
        <v>125</v>
      </c>
      <c r="E236" s="163">
        <f>'COS Statement N'!K231</f>
        <v>3812.6019309999997</v>
      </c>
      <c r="F236" s="164">
        <v>0</v>
      </c>
      <c r="G236" s="164">
        <v>0</v>
      </c>
      <c r="H236" s="164">
        <v>0</v>
      </c>
      <c r="I236" s="164">
        <v>0</v>
      </c>
      <c r="J236" s="164">
        <f>$E236*1/3</f>
        <v>1270.8673103333333</v>
      </c>
      <c r="K236" s="164">
        <v>0</v>
      </c>
      <c r="L236" s="164">
        <v>0</v>
      </c>
      <c r="M236" s="164">
        <v>0</v>
      </c>
      <c r="N236" s="164">
        <f>$E236*2/3</f>
        <v>2541.7346206666666</v>
      </c>
      <c r="O236" s="164">
        <v>0</v>
      </c>
      <c r="P236" s="164">
        <v>0</v>
      </c>
      <c r="Q236" s="164">
        <v>0</v>
      </c>
      <c r="R236" s="137" t="s">
        <v>210</v>
      </c>
      <c r="U236" s="124">
        <f>+E236-SUM(F236:Q236)</f>
        <v>0</v>
      </c>
    </row>
    <row r="237" spans="1:21">
      <c r="A237" s="117">
        <f>IF(ISBLANK(C237),"",MAX($A$155:$A236)+1)</f>
        <v>62</v>
      </c>
      <c r="B237" s="117"/>
      <c r="C237" s="34" t="s">
        <v>169</v>
      </c>
      <c r="E237" s="170">
        <f>SUM(E233:E236)</f>
        <v>239101.64197600004</v>
      </c>
      <c r="F237" s="170">
        <f t="shared" ref="F237:P237" si="85">SUM(F233:F236)</f>
        <v>0</v>
      </c>
      <c r="G237" s="170">
        <f t="shared" si="85"/>
        <v>0</v>
      </c>
      <c r="H237" s="170">
        <f t="shared" si="85"/>
        <v>0</v>
      </c>
      <c r="I237" s="170">
        <f t="shared" si="85"/>
        <v>0</v>
      </c>
      <c r="J237" s="170">
        <f t="shared" si="85"/>
        <v>79700.547325333333</v>
      </c>
      <c r="K237" s="170">
        <f t="shared" si="85"/>
        <v>0</v>
      </c>
      <c r="L237" s="170">
        <f t="shared" si="85"/>
        <v>0</v>
      </c>
      <c r="M237" s="170">
        <f t="shared" si="85"/>
        <v>0</v>
      </c>
      <c r="N237" s="170">
        <f t="shared" si="85"/>
        <v>159401.09465066667</v>
      </c>
      <c r="O237" s="170">
        <f t="shared" si="85"/>
        <v>0</v>
      </c>
      <c r="P237" s="170">
        <f t="shared" si="85"/>
        <v>0</v>
      </c>
      <c r="Q237" s="170">
        <f t="shared" ref="Q237" si="86">SUM(Q233:Q236)</f>
        <v>0</v>
      </c>
      <c r="R237" s="137" t="str">
        <f>"Sum of Lines "&amp;A233&amp;" thru "&amp;A236</f>
        <v>Sum of Lines 58 thru 61</v>
      </c>
      <c r="U237" s="124">
        <f>+E237-SUM(F237:Q237)</f>
        <v>0</v>
      </c>
    </row>
    <row r="238" spans="1:21">
      <c r="A238" s="117" t="str">
        <f>IF(ISBLANK(C238),"",MAX($A$155:$A237)+1)</f>
        <v/>
      </c>
      <c r="B238" s="117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U238" s="124"/>
    </row>
    <row r="239" spans="1:21">
      <c r="A239" s="117">
        <f>IF(ISBLANK(C239),"",MAX($A$155:$A238)+1)</f>
        <v>63</v>
      </c>
      <c r="B239" s="117"/>
      <c r="C239" s="34" t="s">
        <v>118</v>
      </c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U239" s="124"/>
    </row>
    <row r="240" spans="1:21">
      <c r="A240" s="117">
        <f>IF(ISBLANK(C240),"",MAX($A$155:$A239)+1)</f>
        <v>64</v>
      </c>
      <c r="B240" s="117">
        <v>911</v>
      </c>
      <c r="C240" s="140" t="s">
        <v>162</v>
      </c>
      <c r="E240" s="163">
        <f>'COS Statement N'!K238</f>
        <v>0</v>
      </c>
      <c r="F240" s="163">
        <v>0</v>
      </c>
      <c r="G240" s="163">
        <v>0</v>
      </c>
      <c r="H240" s="163">
        <v>0</v>
      </c>
      <c r="I240" s="163">
        <v>0</v>
      </c>
      <c r="J240" s="163">
        <f>$E240*1/3</f>
        <v>0</v>
      </c>
      <c r="K240" s="163">
        <v>0</v>
      </c>
      <c r="L240" s="163">
        <v>0</v>
      </c>
      <c r="M240" s="163">
        <v>0</v>
      </c>
      <c r="N240" s="163">
        <f>$E240*2/3</f>
        <v>0</v>
      </c>
      <c r="O240" s="163">
        <v>0</v>
      </c>
      <c r="P240" s="163">
        <v>0</v>
      </c>
      <c r="Q240" s="163">
        <v>0</v>
      </c>
      <c r="R240" s="137" t="s">
        <v>210</v>
      </c>
      <c r="U240" s="124">
        <f>+E240-SUM(F240:Q240)</f>
        <v>0</v>
      </c>
    </row>
    <row r="241" spans="1:21">
      <c r="A241" s="117">
        <f>IF(ISBLANK(C241),"",MAX($A$155:$A240)+1)</f>
        <v>65</v>
      </c>
      <c r="B241" s="117">
        <v>912</v>
      </c>
      <c r="C241" s="140" t="s">
        <v>170</v>
      </c>
      <c r="E241" s="163">
        <f>'COS Statement N'!K239</f>
        <v>343832.69154115691</v>
      </c>
      <c r="F241" s="163">
        <v>0</v>
      </c>
      <c r="G241" s="163">
        <v>0</v>
      </c>
      <c r="H241" s="163">
        <v>0</v>
      </c>
      <c r="I241" s="163">
        <v>0</v>
      </c>
      <c r="J241" s="163">
        <f>$E241*1/3</f>
        <v>114610.89718038564</v>
      </c>
      <c r="K241" s="163">
        <v>0</v>
      </c>
      <c r="L241" s="163">
        <v>0</v>
      </c>
      <c r="M241" s="163">
        <v>0</v>
      </c>
      <c r="N241" s="163">
        <f>$E241*2/3</f>
        <v>229221.79436077128</v>
      </c>
      <c r="O241" s="163">
        <v>0</v>
      </c>
      <c r="P241" s="163">
        <v>0</v>
      </c>
      <c r="Q241" s="163">
        <v>0</v>
      </c>
      <c r="R241" s="137" t="s">
        <v>210</v>
      </c>
      <c r="U241" s="124">
        <f>+E241-SUM(F241:Q241)</f>
        <v>0</v>
      </c>
    </row>
    <row r="242" spans="1:21">
      <c r="A242" s="117">
        <f>IF(ISBLANK(C242),"",MAX($A$155:$A241)+1)</f>
        <v>66</v>
      </c>
      <c r="B242" s="117">
        <v>913</v>
      </c>
      <c r="C242" s="140" t="s">
        <v>171</v>
      </c>
      <c r="E242" s="163">
        <f>'COS Statement N'!K240</f>
        <v>1679.8951108373317</v>
      </c>
      <c r="F242" s="163">
        <v>0</v>
      </c>
      <c r="G242" s="163">
        <v>0</v>
      </c>
      <c r="H242" s="163">
        <v>0</v>
      </c>
      <c r="I242" s="163">
        <v>0</v>
      </c>
      <c r="J242" s="163">
        <f>$E242*1/3</f>
        <v>559.96503694577723</v>
      </c>
      <c r="K242" s="163">
        <v>0</v>
      </c>
      <c r="L242" s="163">
        <v>0</v>
      </c>
      <c r="M242" s="163">
        <v>0</v>
      </c>
      <c r="N242" s="163">
        <f>$E242*2/3</f>
        <v>1119.9300738915545</v>
      </c>
      <c r="O242" s="163">
        <v>0</v>
      </c>
      <c r="P242" s="163">
        <v>0</v>
      </c>
      <c r="Q242" s="163">
        <v>0</v>
      </c>
      <c r="R242" s="137" t="s">
        <v>210</v>
      </c>
      <c r="U242" s="124">
        <f>+E242-SUM(F242:Q242)</f>
        <v>0</v>
      </c>
    </row>
    <row r="243" spans="1:21">
      <c r="A243" s="117">
        <f>IF(ISBLANK(C243),"",MAX($A$155:$A242)+1)</f>
        <v>67</v>
      </c>
      <c r="B243" s="117">
        <v>916</v>
      </c>
      <c r="C243" s="140" t="s">
        <v>125</v>
      </c>
      <c r="E243" s="163">
        <f>'COS Statement N'!K241</f>
        <v>320.97294399999987</v>
      </c>
      <c r="F243" s="164">
        <v>0</v>
      </c>
      <c r="G243" s="164">
        <v>0</v>
      </c>
      <c r="H243" s="164">
        <v>0</v>
      </c>
      <c r="I243" s="164">
        <v>0</v>
      </c>
      <c r="J243" s="164">
        <f>$E243*1/3</f>
        <v>106.99098133333329</v>
      </c>
      <c r="K243" s="164">
        <v>0</v>
      </c>
      <c r="L243" s="164">
        <v>0</v>
      </c>
      <c r="M243" s="164">
        <v>0</v>
      </c>
      <c r="N243" s="164">
        <f>$E243*2/3</f>
        <v>213.98196266666659</v>
      </c>
      <c r="O243" s="164">
        <v>0</v>
      </c>
      <c r="P243" s="164">
        <v>0</v>
      </c>
      <c r="Q243" s="164">
        <v>0</v>
      </c>
      <c r="R243" s="137" t="s">
        <v>210</v>
      </c>
      <c r="U243" s="124">
        <f>+E243-SUM(F243:Q243)</f>
        <v>0</v>
      </c>
    </row>
    <row r="244" spans="1:21">
      <c r="A244" s="117">
        <f>IF(ISBLANK(C244),"",MAX($A$155:$A243)+1)</f>
        <v>68</v>
      </c>
      <c r="B244" s="117"/>
      <c r="C244" s="34" t="s">
        <v>172</v>
      </c>
      <c r="E244" s="170">
        <f>SUM(E240:E243)</f>
        <v>345833.55959599424</v>
      </c>
      <c r="F244" s="170">
        <f t="shared" ref="F244:P244" si="87">SUM(F240:F243)</f>
        <v>0</v>
      </c>
      <c r="G244" s="170">
        <f t="shared" si="87"/>
        <v>0</v>
      </c>
      <c r="H244" s="170">
        <f t="shared" si="87"/>
        <v>0</v>
      </c>
      <c r="I244" s="170">
        <f t="shared" si="87"/>
        <v>0</v>
      </c>
      <c r="J244" s="170">
        <f t="shared" si="87"/>
        <v>115277.85319866476</v>
      </c>
      <c r="K244" s="170">
        <f t="shared" si="87"/>
        <v>0</v>
      </c>
      <c r="L244" s="170">
        <f t="shared" si="87"/>
        <v>0</v>
      </c>
      <c r="M244" s="170">
        <f t="shared" si="87"/>
        <v>0</v>
      </c>
      <c r="N244" s="170">
        <f t="shared" si="87"/>
        <v>230555.70639732952</v>
      </c>
      <c r="O244" s="170">
        <f t="shared" si="87"/>
        <v>0</v>
      </c>
      <c r="P244" s="170">
        <f t="shared" si="87"/>
        <v>0</v>
      </c>
      <c r="Q244" s="170">
        <f t="shared" ref="Q244" si="88">SUM(Q240:Q243)</f>
        <v>0</v>
      </c>
      <c r="R244" s="137" t="str">
        <f>"Sum of Lines "&amp;A240&amp;" thru "&amp;A243</f>
        <v>Sum of Lines 64 thru 67</v>
      </c>
      <c r="U244" s="124">
        <f>+E244-SUM(F244:Q244)</f>
        <v>0</v>
      </c>
    </row>
    <row r="245" spans="1:21">
      <c r="A245" s="117" t="str">
        <f>IF(ISBLANK(C245),"",MAX($A$155:$A244)+1)</f>
        <v/>
      </c>
      <c r="B245" s="117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U245" s="124"/>
    </row>
    <row r="246" spans="1:21">
      <c r="A246" s="117">
        <f>IF(ISBLANK(C246),"",MAX($A$155:$A245)+1)</f>
        <v>69</v>
      </c>
      <c r="B246" s="117"/>
      <c r="C246" s="34" t="s">
        <v>119</v>
      </c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U246" s="124"/>
    </row>
    <row r="247" spans="1:21">
      <c r="A247" s="117">
        <f>IF(ISBLANK(C247),"",MAX($A$155:$A246)+1)</f>
        <v>70</v>
      </c>
      <c r="B247" s="117"/>
      <c r="C247" s="140" t="s">
        <v>144</v>
      </c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U247" s="124"/>
    </row>
    <row r="248" spans="1:21">
      <c r="A248" s="117">
        <f>IF(ISBLANK(C248),"",MAX($A$155:$A247)+1)</f>
        <v>71</v>
      </c>
      <c r="B248" s="117">
        <v>920</v>
      </c>
      <c r="C248" s="169" t="s">
        <v>173</v>
      </c>
      <c r="E248" s="163">
        <f>'COS Statement N'!K246</f>
        <v>12443583.055497548</v>
      </c>
      <c r="F248" s="163">
        <f t="shared" ref="F248:Q251" si="89">$E248*F$264/$E$264</f>
        <v>0</v>
      </c>
      <c r="G248" s="163">
        <f t="shared" si="89"/>
        <v>412276.14811453718</v>
      </c>
      <c r="H248" s="163">
        <f t="shared" si="89"/>
        <v>412673.74440023681</v>
      </c>
      <c r="I248" s="163">
        <f t="shared" si="89"/>
        <v>2079526.3680691586</v>
      </c>
      <c r="J248" s="163">
        <f t="shared" si="89"/>
        <v>746897.57841990539</v>
      </c>
      <c r="K248" s="163">
        <f t="shared" si="89"/>
        <v>2045595.1070417515</v>
      </c>
      <c r="L248" s="163">
        <f t="shared" si="89"/>
        <v>2224313.8142185006</v>
      </c>
      <c r="M248" s="163">
        <f t="shared" si="89"/>
        <v>1844539.9030387066</v>
      </c>
      <c r="N248" s="163">
        <f t="shared" si="89"/>
        <v>2576616.3921545576</v>
      </c>
      <c r="O248" s="163">
        <f t="shared" si="89"/>
        <v>0</v>
      </c>
      <c r="P248" s="163">
        <f t="shared" si="89"/>
        <v>45946.920154684936</v>
      </c>
      <c r="Q248" s="163">
        <f t="shared" si="89"/>
        <v>55197.079885509193</v>
      </c>
      <c r="R248" s="137" t="s">
        <v>67</v>
      </c>
      <c r="U248" s="124">
        <f t="shared" ref="U248:U260" si="90">+E248-SUM(F248:Q248)</f>
        <v>0</v>
      </c>
    </row>
    <row r="249" spans="1:21">
      <c r="A249" s="117">
        <f>IF(ISBLANK(C249),"",MAX($A$155:$A248)+1)</f>
        <v>72</v>
      </c>
      <c r="B249" s="117">
        <v>921</v>
      </c>
      <c r="C249" s="169" t="s">
        <v>174</v>
      </c>
      <c r="E249" s="163">
        <f>'COS Statement N'!K247</f>
        <v>4275928.9665266424</v>
      </c>
      <c r="F249" s="163">
        <f t="shared" si="89"/>
        <v>0</v>
      </c>
      <c r="G249" s="163">
        <f t="shared" si="89"/>
        <v>141668.4821460768</v>
      </c>
      <c r="H249" s="163">
        <f t="shared" si="89"/>
        <v>141805.10625726922</v>
      </c>
      <c r="I249" s="163">
        <f t="shared" si="89"/>
        <v>714577.70597307454</v>
      </c>
      <c r="J249" s="163">
        <f t="shared" si="89"/>
        <v>256652.84479162272</v>
      </c>
      <c r="K249" s="163">
        <f t="shared" si="89"/>
        <v>702918.06893358321</v>
      </c>
      <c r="L249" s="163">
        <f t="shared" si="89"/>
        <v>764330.3240267525</v>
      </c>
      <c r="M249" s="163">
        <f t="shared" si="89"/>
        <v>633830.43020176876</v>
      </c>
      <c r="N249" s="163">
        <f t="shared" si="89"/>
        <v>885390.37491886783</v>
      </c>
      <c r="O249" s="163">
        <f t="shared" si="89"/>
        <v>0</v>
      </c>
      <c r="P249" s="163">
        <f t="shared" si="89"/>
        <v>15788.520551988922</v>
      </c>
      <c r="Q249" s="163">
        <f t="shared" si="89"/>
        <v>18967.108725638413</v>
      </c>
      <c r="R249" s="137" t="s">
        <v>67</v>
      </c>
      <c r="U249" s="124">
        <f t="shared" si="90"/>
        <v>0</v>
      </c>
    </row>
    <row r="250" spans="1:21">
      <c r="A250" s="117">
        <f>IF(ISBLANK(C250),"",MAX($A$155:$A249)+1)</f>
        <v>73</v>
      </c>
      <c r="B250" s="117">
        <v>922</v>
      </c>
      <c r="C250" s="169" t="s">
        <v>175</v>
      </c>
      <c r="E250" s="163">
        <f>'COS Statement N'!K248</f>
        <v>-3248588.9635294112</v>
      </c>
      <c r="F250" s="163">
        <f t="shared" si="89"/>
        <v>0</v>
      </c>
      <c r="G250" s="163">
        <f t="shared" si="89"/>
        <v>-107631.03671330387</v>
      </c>
      <c r="H250" s="163">
        <f t="shared" si="89"/>
        <v>-107734.83534589253</v>
      </c>
      <c r="I250" s="163">
        <f t="shared" si="89"/>
        <v>-542892.37903172045</v>
      </c>
      <c r="J250" s="163">
        <f t="shared" si="89"/>
        <v>-194989.11361143572</v>
      </c>
      <c r="K250" s="163">
        <f t="shared" si="89"/>
        <v>-534034.10086532286</v>
      </c>
      <c r="L250" s="163">
        <f t="shared" si="89"/>
        <v>-580691.37129308202</v>
      </c>
      <c r="M250" s="163">
        <f t="shared" si="89"/>
        <v>-481545.54400260409</v>
      </c>
      <c r="N250" s="163">
        <f t="shared" si="89"/>
        <v>-672665.3840353688</v>
      </c>
      <c r="O250" s="163">
        <f t="shared" si="89"/>
        <v>0</v>
      </c>
      <c r="P250" s="163">
        <f t="shared" si="89"/>
        <v>-11995.150999272082</v>
      </c>
      <c r="Q250" s="163">
        <f t="shared" si="89"/>
        <v>-14410.047631409227</v>
      </c>
      <c r="R250" s="137" t="s">
        <v>67</v>
      </c>
      <c r="U250" s="124">
        <f t="shared" si="90"/>
        <v>0</v>
      </c>
    </row>
    <row r="251" spans="1:21">
      <c r="A251" s="117">
        <f>IF(ISBLANK(C251),"",MAX($A$155:$A250)+1)</f>
        <v>74</v>
      </c>
      <c r="B251" s="117">
        <v>923</v>
      </c>
      <c r="C251" s="169" t="s">
        <v>176</v>
      </c>
      <c r="E251" s="163">
        <f>'COS Statement N'!K249</f>
        <v>3019470.8495949991</v>
      </c>
      <c r="F251" s="163">
        <f t="shared" si="89"/>
        <v>0</v>
      </c>
      <c r="G251" s="163">
        <f t="shared" si="89"/>
        <v>100039.98090125502</v>
      </c>
      <c r="H251" s="163">
        <f t="shared" si="89"/>
        <v>100136.45877175446</v>
      </c>
      <c r="I251" s="163">
        <f t="shared" si="89"/>
        <v>504602.99267058016</v>
      </c>
      <c r="J251" s="163">
        <f t="shared" si="89"/>
        <v>181236.82347871992</v>
      </c>
      <c r="K251" s="163">
        <f t="shared" si="89"/>
        <v>496369.47559552925</v>
      </c>
      <c r="L251" s="163">
        <f t="shared" si="89"/>
        <v>539736.07862222649</v>
      </c>
      <c r="M251" s="163">
        <f t="shared" si="89"/>
        <v>447582.85803216085</v>
      </c>
      <c r="N251" s="163">
        <f t="shared" si="89"/>
        <v>625223.30200240272</v>
      </c>
      <c r="O251" s="163">
        <f t="shared" si="89"/>
        <v>0</v>
      </c>
      <c r="P251" s="163">
        <f t="shared" si="89"/>
        <v>11149.150965360184</v>
      </c>
      <c r="Q251" s="163">
        <f t="shared" si="89"/>
        <v>13393.728555010433</v>
      </c>
      <c r="R251" s="137" t="s">
        <v>67</v>
      </c>
      <c r="U251" s="124">
        <f t="shared" si="90"/>
        <v>0</v>
      </c>
    </row>
    <row r="252" spans="1:21">
      <c r="A252" s="117">
        <f>IF(ISBLANK(C252),"",MAX($A$155:$A251)+1)</f>
        <v>75</v>
      </c>
      <c r="B252" s="117">
        <v>924</v>
      </c>
      <c r="C252" s="169" t="s">
        <v>177</v>
      </c>
      <c r="E252" s="163">
        <f>'COS Statement N'!K250</f>
        <v>31815.740631999994</v>
      </c>
      <c r="F252" s="163">
        <f>$E252*F$129/$E$129</f>
        <v>0</v>
      </c>
      <c r="G252" s="163">
        <f t="shared" ref="G252:Q252" si="91">$E252*G$129/$E$129</f>
        <v>1215.6709522453771</v>
      </c>
      <c r="H252" s="163">
        <f t="shared" si="91"/>
        <v>1215.8341363824416</v>
      </c>
      <c r="I252" s="163">
        <f t="shared" si="91"/>
        <v>6718.6014809331855</v>
      </c>
      <c r="J252" s="163">
        <f t="shared" si="91"/>
        <v>1690.8868486612951</v>
      </c>
      <c r="K252" s="163">
        <f t="shared" si="91"/>
        <v>7390.3237341418435</v>
      </c>
      <c r="L252" s="163">
        <f t="shared" si="91"/>
        <v>6135.3654871840854</v>
      </c>
      <c r="M252" s="163">
        <f t="shared" si="91"/>
        <v>5617.588343418447</v>
      </c>
      <c r="N252" s="163">
        <f t="shared" si="91"/>
        <v>1640.8492924095713</v>
      </c>
      <c r="O252" s="163">
        <f t="shared" si="91"/>
        <v>0</v>
      </c>
      <c r="P252" s="163">
        <f t="shared" si="91"/>
        <v>70.088040632240705</v>
      </c>
      <c r="Q252" s="163">
        <f t="shared" si="91"/>
        <v>120.53231599151438</v>
      </c>
      <c r="R252" s="137" t="s">
        <v>107</v>
      </c>
      <c r="U252" s="124">
        <f t="shared" si="90"/>
        <v>0</v>
      </c>
    </row>
    <row r="253" spans="1:21">
      <c r="A253" s="117">
        <f>IF(ISBLANK(C253),"",MAX($A$155:$A252)+1)</f>
        <v>76</v>
      </c>
      <c r="B253" s="117">
        <v>925</v>
      </c>
      <c r="C253" s="169" t="s">
        <v>178</v>
      </c>
      <c r="E253" s="163">
        <f>'COS Statement N'!K251</f>
        <v>1449686.3842979998</v>
      </c>
      <c r="F253" s="163">
        <f t="shared" ref="F253:Q254" si="92">$E253*F$264/$E$264</f>
        <v>0</v>
      </c>
      <c r="G253" s="163">
        <f t="shared" si="92"/>
        <v>48030.468059472652</v>
      </c>
      <c r="H253" s="163">
        <f t="shared" si="92"/>
        <v>48076.788312992518</v>
      </c>
      <c r="I253" s="163">
        <f t="shared" si="92"/>
        <v>242266.31896402698</v>
      </c>
      <c r="J253" s="163">
        <f t="shared" si="92"/>
        <v>87014.10558931579</v>
      </c>
      <c r="K253" s="163">
        <f t="shared" si="92"/>
        <v>238313.30262668183</v>
      </c>
      <c r="L253" s="163">
        <f t="shared" si="92"/>
        <v>259134.16067520107</v>
      </c>
      <c r="M253" s="163">
        <f t="shared" si="92"/>
        <v>214890.22661750118</v>
      </c>
      <c r="N253" s="163">
        <f t="shared" si="92"/>
        <v>300177.66463295772</v>
      </c>
      <c r="O253" s="163">
        <f t="shared" si="92"/>
        <v>0</v>
      </c>
      <c r="P253" s="163">
        <f t="shared" si="92"/>
        <v>5352.8492759363671</v>
      </c>
      <c r="Q253" s="163">
        <f t="shared" si="92"/>
        <v>6430.4995439138966</v>
      </c>
      <c r="R253" s="137" t="s">
        <v>67</v>
      </c>
      <c r="U253" s="124">
        <f t="shared" si="90"/>
        <v>0</v>
      </c>
    </row>
    <row r="254" spans="1:21">
      <c r="A254" s="117">
        <f>IF(ISBLANK(C254),"",MAX($A$155:$A253)+1)</f>
        <v>77</v>
      </c>
      <c r="B254" s="117">
        <v>926</v>
      </c>
      <c r="C254" s="169" t="s">
        <v>179</v>
      </c>
      <c r="E254" s="163">
        <f>'COS Statement N'!K252</f>
        <v>11712168.159590755</v>
      </c>
      <c r="F254" s="163">
        <f t="shared" si="92"/>
        <v>0</v>
      </c>
      <c r="G254" s="163">
        <f t="shared" si="92"/>
        <v>388043.18284937384</v>
      </c>
      <c r="H254" s="163">
        <f t="shared" si="92"/>
        <v>388417.40902980539</v>
      </c>
      <c r="I254" s="163">
        <f t="shared" si="92"/>
        <v>1957294.9693431496</v>
      </c>
      <c r="J254" s="163">
        <f t="shared" si="92"/>
        <v>702996.07415569108</v>
      </c>
      <c r="K254" s="163">
        <f t="shared" si="92"/>
        <v>1925358.1362583744</v>
      </c>
      <c r="L254" s="163">
        <f t="shared" si="92"/>
        <v>2093572.0295062663</v>
      </c>
      <c r="M254" s="163">
        <f t="shared" si="92"/>
        <v>1736120.6515128417</v>
      </c>
      <c r="N254" s="163">
        <f t="shared" si="92"/>
        <v>2425166.7974635125</v>
      </c>
      <c r="O254" s="163">
        <f t="shared" si="92"/>
        <v>0</v>
      </c>
      <c r="P254" s="163">
        <f t="shared" si="92"/>
        <v>43246.230034138869</v>
      </c>
      <c r="Q254" s="163">
        <f t="shared" si="92"/>
        <v>51952.679437602637</v>
      </c>
      <c r="R254" s="137" t="s">
        <v>67</v>
      </c>
      <c r="U254" s="124">
        <f t="shared" si="90"/>
        <v>0</v>
      </c>
    </row>
    <row r="255" spans="1:21">
      <c r="A255" s="117">
        <f>IF(ISBLANK(C255),"",MAX($A$155:$A254)+1)</f>
        <v>78</v>
      </c>
      <c r="B255" s="117">
        <v>929</v>
      </c>
      <c r="C255" s="169" t="s">
        <v>546</v>
      </c>
      <c r="E255" s="163">
        <f>'COS Statement N'!K253</f>
        <v>-1267.5361799999996</v>
      </c>
      <c r="F255" s="176">
        <f t="shared" ref="F255:Q258" si="93">$E255*F$264/$E$264</f>
        <v>0</v>
      </c>
      <c r="G255" s="176">
        <f t="shared" si="93"/>
        <v>-41.995535494524788</v>
      </c>
      <c r="H255" s="176">
        <f t="shared" si="93"/>
        <v>-42.036035700527371</v>
      </c>
      <c r="I255" s="176">
        <f t="shared" si="93"/>
        <v>-211.82603893394923</v>
      </c>
      <c r="J255" s="176">
        <f t="shared" si="93"/>
        <v>-76.080956680990553</v>
      </c>
      <c r="K255" s="176">
        <f t="shared" si="93"/>
        <v>-208.36971121921911</v>
      </c>
      <c r="L255" s="176">
        <f t="shared" si="93"/>
        <v>-226.57446995944974</v>
      </c>
      <c r="M255" s="176">
        <f t="shared" si="93"/>
        <v>-187.8896980176718</v>
      </c>
      <c r="N255" s="176">
        <f t="shared" si="93"/>
        <v>-262.46093946341909</v>
      </c>
      <c r="O255" s="176">
        <f t="shared" si="93"/>
        <v>0</v>
      </c>
      <c r="P255" s="176">
        <f t="shared" si="93"/>
        <v>-4.6802744350956296</v>
      </c>
      <c r="Q255" s="176">
        <f t="shared" si="93"/>
        <v>-5.6225200951524217</v>
      </c>
      <c r="R255" s="152" t="s">
        <v>67</v>
      </c>
      <c r="U255" s="124">
        <f t="shared" si="90"/>
        <v>0</v>
      </c>
    </row>
    <row r="256" spans="1:21">
      <c r="A256" s="117">
        <f>IF(ISBLANK(C256),"",MAX($A$155:$A255)+1)</f>
        <v>79</v>
      </c>
      <c r="B256" s="117">
        <v>930.1</v>
      </c>
      <c r="C256" s="169" t="s">
        <v>582</v>
      </c>
      <c r="E256" s="163">
        <f>'COS Statement N'!K254</f>
        <v>-3895.8865290000103</v>
      </c>
      <c r="F256" s="176">
        <f t="shared" si="93"/>
        <v>0</v>
      </c>
      <c r="G256" s="176">
        <f t="shared" si="93"/>
        <v>-129.07705799077149</v>
      </c>
      <c r="H256" s="176">
        <f t="shared" si="93"/>
        <v>-129.20153901898735</v>
      </c>
      <c r="I256" s="176">
        <f t="shared" si="93"/>
        <v>-651.06639525997969</v>
      </c>
      <c r="J256" s="176">
        <f t="shared" si="93"/>
        <v>-233.84166773598884</v>
      </c>
      <c r="K256" s="176">
        <f t="shared" si="93"/>
        <v>-640.44306095513457</v>
      </c>
      <c r="L256" s="176">
        <f t="shared" si="93"/>
        <v>-696.39702539326186</v>
      </c>
      <c r="M256" s="176">
        <f t="shared" si="93"/>
        <v>-577.49589715453146</v>
      </c>
      <c r="N256" s="176">
        <f t="shared" si="93"/>
        <v>-806.69731923882591</v>
      </c>
      <c r="O256" s="176">
        <f t="shared" si="93"/>
        <v>0</v>
      </c>
      <c r="P256" s="176">
        <f t="shared" si="93"/>
        <v>-14.385244706555202</v>
      </c>
      <c r="Q256" s="176">
        <f t="shared" si="93"/>
        <v>-17.281321545974478</v>
      </c>
      <c r="R256" s="152" t="s">
        <v>67</v>
      </c>
      <c r="U256" s="124">
        <f t="shared" si="90"/>
        <v>0</v>
      </c>
    </row>
    <row r="257" spans="1:21">
      <c r="A257" s="117">
        <f>IF(ISBLANK(C257),"",MAX($A$155:$A256)+1)</f>
        <v>80</v>
      </c>
      <c r="B257" s="117">
        <v>930.2</v>
      </c>
      <c r="C257" s="169" t="s">
        <v>583</v>
      </c>
      <c r="E257" s="163">
        <f>'COS Statement N'!K255</f>
        <v>1449059.2693973777</v>
      </c>
      <c r="F257" s="176">
        <f t="shared" si="93"/>
        <v>0</v>
      </c>
      <c r="G257" s="176">
        <f t="shared" si="93"/>
        <v>48009.690722711959</v>
      </c>
      <c r="H257" s="176">
        <f t="shared" si="93"/>
        <v>48055.990938710958</v>
      </c>
      <c r="I257" s="176">
        <f t="shared" si="93"/>
        <v>242161.51780138465</v>
      </c>
      <c r="J257" s="176">
        <f t="shared" si="93"/>
        <v>86976.464453432607</v>
      </c>
      <c r="K257" s="176">
        <f t="shared" si="93"/>
        <v>238210.21148592726</v>
      </c>
      <c r="L257" s="176">
        <f t="shared" si="93"/>
        <v>259022.06271030343</v>
      </c>
      <c r="M257" s="176">
        <f t="shared" si="93"/>
        <v>214797.2679855036</v>
      </c>
      <c r="N257" s="176">
        <f t="shared" si="93"/>
        <v>300047.81179832795</v>
      </c>
      <c r="O257" s="176">
        <f t="shared" si="93"/>
        <v>0</v>
      </c>
      <c r="P257" s="176">
        <f t="shared" si="93"/>
        <v>5350.5337050804346</v>
      </c>
      <c r="Q257" s="176">
        <f t="shared" si="93"/>
        <v>6427.7177959950986</v>
      </c>
      <c r="R257" s="152" t="s">
        <v>67</v>
      </c>
      <c r="U257" s="124">
        <f t="shared" si="90"/>
        <v>0</v>
      </c>
    </row>
    <row r="258" spans="1:21">
      <c r="A258" s="117">
        <f>IF(ISBLANK(C258),"",MAX($A$155:$A257)+1)</f>
        <v>81</v>
      </c>
      <c r="B258" s="117">
        <v>931</v>
      </c>
      <c r="C258" s="169" t="s">
        <v>156</v>
      </c>
      <c r="E258" s="163">
        <f>'COS Statement N'!K256</f>
        <v>3097703.9937409996</v>
      </c>
      <c r="F258" s="176">
        <f t="shared" si="93"/>
        <v>0</v>
      </c>
      <c r="G258" s="176">
        <f t="shared" si="93"/>
        <v>102631.97222558285</v>
      </c>
      <c r="H258" s="176">
        <f t="shared" si="93"/>
        <v>102730.9497947135</v>
      </c>
      <c r="I258" s="176">
        <f t="shared" si="93"/>
        <v>517677.03134440799</v>
      </c>
      <c r="J258" s="176">
        <f t="shared" si="93"/>
        <v>185932.58881047522</v>
      </c>
      <c r="K258" s="176">
        <f t="shared" si="93"/>
        <v>509230.18751104531</v>
      </c>
      <c r="L258" s="176">
        <f t="shared" si="93"/>
        <v>553720.3998967018</v>
      </c>
      <c r="M258" s="176">
        <f t="shared" si="93"/>
        <v>459179.53042739374</v>
      </c>
      <c r="N258" s="176">
        <f t="shared" si="93"/>
        <v>641422.55913898116</v>
      </c>
      <c r="O258" s="176">
        <f t="shared" si="93"/>
        <v>0</v>
      </c>
      <c r="P258" s="176">
        <f t="shared" si="93"/>
        <v>11438.020498475742</v>
      </c>
      <c r="Q258" s="176">
        <f t="shared" si="93"/>
        <v>13740.75409322256</v>
      </c>
      <c r="R258" s="152" t="s">
        <v>67</v>
      </c>
      <c r="U258" s="124">
        <f t="shared" si="90"/>
        <v>0</v>
      </c>
    </row>
    <row r="259" spans="1:21">
      <c r="A259" s="117">
        <f>IF(ISBLANK(C259),"",MAX($A$155:$A258)+1)</f>
        <v>82</v>
      </c>
      <c r="B259" s="117">
        <v>932</v>
      </c>
      <c r="C259" s="169" t="s">
        <v>180</v>
      </c>
      <c r="E259" s="164">
        <f>'COS Statement N'!K260</f>
        <v>1706136.4170074337</v>
      </c>
      <c r="F259" s="164">
        <f>$E259*F$104/$E$104</f>
        <v>0</v>
      </c>
      <c r="G259" s="164">
        <f t="shared" ref="G259:Q259" si="94">$E259*G$104/$E$104</f>
        <v>51013.61195016226</v>
      </c>
      <c r="H259" s="164">
        <f t="shared" si="94"/>
        <v>51062.809127161854</v>
      </c>
      <c r="I259" s="164">
        <f t="shared" si="94"/>
        <v>257313.33637894187</v>
      </c>
      <c r="J259" s="164">
        <f t="shared" si="94"/>
        <v>92418.500090971982</v>
      </c>
      <c r="K259" s="164">
        <f t="shared" si="94"/>
        <v>253114.80054089247</v>
      </c>
      <c r="L259" s="164">
        <f t="shared" si="94"/>
        <v>275228.82973672281</v>
      </c>
      <c r="M259" s="164">
        <f t="shared" si="94"/>
        <v>228236.93116989356</v>
      </c>
      <c r="N259" s="164">
        <f t="shared" si="94"/>
        <v>485232.39238477335</v>
      </c>
      <c r="O259" s="164">
        <f t="shared" si="94"/>
        <v>0</v>
      </c>
      <c r="P259" s="164">
        <f t="shared" si="94"/>
        <v>5685.3115704016082</v>
      </c>
      <c r="Q259" s="164">
        <f t="shared" si="94"/>
        <v>6829.8940575121396</v>
      </c>
      <c r="R259" s="137" t="s">
        <v>101</v>
      </c>
      <c r="U259" s="124">
        <f t="shared" si="90"/>
        <v>0</v>
      </c>
    </row>
    <row r="260" spans="1:21">
      <c r="A260" s="117">
        <f>IF(ISBLANK(C260),"",MAX($A$155:$A259)+1)</f>
        <v>83</v>
      </c>
      <c r="C260" s="34" t="s">
        <v>181</v>
      </c>
      <c r="E260" s="164">
        <f t="shared" ref="E260:Q260" si="95">SUM(E248:E259)</f>
        <v>35931800.450047344</v>
      </c>
      <c r="F260" s="164">
        <f t="shared" si="95"/>
        <v>0</v>
      </c>
      <c r="G260" s="164">
        <f t="shared" si="95"/>
        <v>1185127.0986146289</v>
      </c>
      <c r="H260" s="164">
        <f t="shared" si="95"/>
        <v>1186269.0178484148</v>
      </c>
      <c r="I260" s="164">
        <f t="shared" si="95"/>
        <v>5978383.5705597429</v>
      </c>
      <c r="J260" s="164">
        <f t="shared" si="95"/>
        <v>2146516.8304029438</v>
      </c>
      <c r="K260" s="164">
        <f t="shared" si="95"/>
        <v>5881616.7000904297</v>
      </c>
      <c r="L260" s="164">
        <f t="shared" si="95"/>
        <v>6393578.7220914243</v>
      </c>
      <c r="M260" s="164">
        <f t="shared" si="95"/>
        <v>5302484.4577314118</v>
      </c>
      <c r="N260" s="164">
        <f t="shared" si="95"/>
        <v>7567183.6014927197</v>
      </c>
      <c r="O260" s="164">
        <f t="shared" si="95"/>
        <v>0</v>
      </c>
      <c r="P260" s="164">
        <f t="shared" si="95"/>
        <v>132013.40827828555</v>
      </c>
      <c r="Q260" s="164">
        <f t="shared" si="95"/>
        <v>158627.04293734554</v>
      </c>
      <c r="R260" s="137" t="str">
        <f>"Sum of Lines "&amp;A248&amp;" thru "&amp;A259</f>
        <v>Sum of Lines 71 thru 82</v>
      </c>
      <c r="U260" s="124">
        <f t="shared" si="90"/>
        <v>0</v>
      </c>
    </row>
    <row r="261" spans="1:21">
      <c r="A261" s="117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37"/>
      <c r="U261" s="124"/>
    </row>
    <row r="262" spans="1:21">
      <c r="A262" s="117">
        <f>IF(ISBLANK(C262),"",MAX($A$155:$A260)+1)</f>
        <v>84</v>
      </c>
      <c r="C262" s="195" t="s">
        <v>120</v>
      </c>
      <c r="E262" s="164">
        <f t="shared" ref="E262:Q262" si="96">SUM(E179,E209,E230,E237,E244,E260)</f>
        <v>73261868.646502465</v>
      </c>
      <c r="F262" s="164">
        <f t="shared" si="96"/>
        <v>0</v>
      </c>
      <c r="G262" s="164">
        <f t="shared" si="96"/>
        <v>2400112.0679730391</v>
      </c>
      <c r="H262" s="164">
        <f t="shared" si="96"/>
        <v>2402424.3463597959</v>
      </c>
      <c r="I262" s="164">
        <f t="shared" si="96"/>
        <v>12107884.695194567</v>
      </c>
      <c r="J262" s="164">
        <f t="shared" si="96"/>
        <v>4347018.3147000745</v>
      </c>
      <c r="K262" s="164">
        <f t="shared" si="96"/>
        <v>11912200.897862168</v>
      </c>
      <c r="L262" s="164">
        <f t="shared" si="96"/>
        <v>12948371.926821895</v>
      </c>
      <c r="M262" s="164">
        <f t="shared" si="96"/>
        <v>10738872.079062495</v>
      </c>
      <c r="N262" s="164">
        <f t="shared" si="96"/>
        <v>15816426.18083539</v>
      </c>
      <c r="O262" s="164">
        <f t="shared" si="96"/>
        <v>0</v>
      </c>
      <c r="P262" s="164">
        <f t="shared" si="96"/>
        <v>267316.27723250026</v>
      </c>
      <c r="Q262" s="164">
        <f t="shared" si="96"/>
        <v>321241.86046054005</v>
      </c>
      <c r="R262" s="137" t="str">
        <f>"Sum of Lines "&amp;A179&amp;", "&amp;A209&amp;", "&amp;A230&amp;", "&amp;A237&amp;", "&amp;A244&amp;" and "&amp;A260</f>
        <v>Sum of Lines 22, 49, 56, 62, 68 and 83</v>
      </c>
      <c r="U262" s="124">
        <f>+E262-SUM(F262:Q262)</f>
        <v>0</v>
      </c>
    </row>
    <row r="263" spans="1:21">
      <c r="A263" s="117" t="str">
        <f>IF(ISBLANK(C263),"",MAX($A$155:$A262)+1)</f>
        <v/>
      </c>
      <c r="E263" s="168"/>
      <c r="F263" s="635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U263" s="124"/>
    </row>
    <row r="264" spans="1:21">
      <c r="A264" s="117">
        <f>IF(ISBLANK(C264),"",MAX($A$155:$A263)+1)</f>
        <v>85</v>
      </c>
      <c r="C264" s="34" t="s">
        <v>121</v>
      </c>
      <c r="E264" s="163">
        <f t="shared" ref="E264:Q264" si="97">SUM(E179,E209,E230,E237,E244)-E193-E228-E166</f>
        <v>36628766.03368254</v>
      </c>
      <c r="F264" s="163">
        <f t="shared" si="97"/>
        <v>0</v>
      </c>
      <c r="G264" s="163">
        <f t="shared" si="97"/>
        <v>1213570.6012653301</v>
      </c>
      <c r="H264" s="163">
        <f t="shared" si="97"/>
        <v>1214740.9604183007</v>
      </c>
      <c r="I264" s="163">
        <f t="shared" si="97"/>
        <v>6121266.2347463388</v>
      </c>
      <c r="J264" s="163">
        <f t="shared" si="97"/>
        <v>2198557.8051797627</v>
      </c>
      <c r="K264" s="163">
        <f t="shared" si="97"/>
        <v>6021386.624841569</v>
      </c>
      <c r="L264" s="163">
        <f t="shared" si="97"/>
        <v>6547460.6408081548</v>
      </c>
      <c r="M264" s="163">
        <f t="shared" si="97"/>
        <v>5429563.1930826372</v>
      </c>
      <c r="N264" s="163">
        <f t="shared" si="97"/>
        <v>7584493.8363700965</v>
      </c>
      <c r="O264" s="163">
        <f t="shared" si="97"/>
        <v>0</v>
      </c>
      <c r="P264" s="163">
        <f t="shared" si="97"/>
        <v>135248.74473921809</v>
      </c>
      <c r="Q264" s="163">
        <f t="shared" si="97"/>
        <v>162477.39223113665</v>
      </c>
      <c r="R264" s="137" t="str">
        <f>"Sum of Lines "&amp;A179&amp;","&amp;A209&amp;","&amp;A230&amp;","&amp;A237&amp;","&amp;A244&amp;", Less "&amp;A166&amp;", "&amp;A193&amp;" and "&amp;A228</f>
        <v>Sum of Lines 22,49,56,62,68, Less 11, 35 and 54</v>
      </c>
      <c r="U264" s="124">
        <f>+E264-SUM(F264:Q264)</f>
        <v>0</v>
      </c>
    </row>
    <row r="265" spans="1:21">
      <c r="A265" s="117" t="str">
        <f>IF(ISBLANK(C265),"",MAX($A$156:$A264)+1)</f>
        <v/>
      </c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U265" s="124"/>
    </row>
    <row r="266" spans="1:21">
      <c r="A266" s="113" t="str">
        <f>$A$1</f>
        <v>Black Hills Nebraska Gas, LLC</v>
      </c>
      <c r="B266" s="114"/>
      <c r="C266" s="115"/>
      <c r="D266" s="115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634" t="str">
        <f>$R$1</f>
        <v>Section 4, Exhibit A</v>
      </c>
      <c r="U266" s="124"/>
    </row>
    <row r="267" spans="1:21">
      <c r="A267" s="113" t="s">
        <v>708</v>
      </c>
      <c r="B267" s="114"/>
      <c r="C267" s="115"/>
      <c r="D267" s="115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634" t="s">
        <v>186</v>
      </c>
      <c r="U267" s="124"/>
    </row>
    <row r="268" spans="1:21">
      <c r="A268" s="113" t="str">
        <f>$A$3</f>
        <v>FOR THE PRO FORMA PERIOD ENDED DECEMBER 31, 2020</v>
      </c>
      <c r="B268" s="114"/>
      <c r="C268" s="115"/>
      <c r="D268" s="115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634" t="s">
        <v>29</v>
      </c>
      <c r="U268" s="124"/>
    </row>
    <row r="269" spans="1:21"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U269" s="124"/>
    </row>
    <row r="270" spans="1:21"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U270" s="124"/>
    </row>
    <row r="271" spans="1:21">
      <c r="A271" s="117"/>
      <c r="B271" s="117" t="s">
        <v>0</v>
      </c>
      <c r="C271" s="115" t="s">
        <v>1</v>
      </c>
      <c r="D271" s="115"/>
      <c r="E271" s="144" t="s">
        <v>2</v>
      </c>
      <c r="F271" s="144" t="s">
        <v>3</v>
      </c>
      <c r="G271" s="144" t="s">
        <v>4</v>
      </c>
      <c r="H271" s="144" t="s">
        <v>5</v>
      </c>
      <c r="I271" s="144" t="s">
        <v>26</v>
      </c>
      <c r="J271" s="144" t="s">
        <v>61</v>
      </c>
      <c r="K271" s="144" t="s">
        <v>62</v>
      </c>
      <c r="L271" s="144" t="s">
        <v>63</v>
      </c>
      <c r="M271" s="144" t="s">
        <v>64</v>
      </c>
      <c r="N271" s="144" t="s">
        <v>79</v>
      </c>
      <c r="O271" s="144" t="s">
        <v>80</v>
      </c>
      <c r="P271" s="144" t="s">
        <v>81</v>
      </c>
      <c r="Q271" s="144" t="s">
        <v>195</v>
      </c>
      <c r="R271" s="117" t="s">
        <v>196</v>
      </c>
      <c r="S271" s="117"/>
      <c r="T271" s="117"/>
      <c r="U271" s="124"/>
    </row>
    <row r="272" spans="1:21"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U272" s="124"/>
    </row>
    <row r="273" spans="1:21">
      <c r="A273" s="118"/>
      <c r="B273" s="119"/>
      <c r="C273" s="119"/>
      <c r="D273" s="120"/>
      <c r="E273" s="119"/>
      <c r="F273" s="118"/>
      <c r="G273" s="121"/>
      <c r="H273" s="122"/>
      <c r="I273" s="121"/>
      <c r="J273" s="123"/>
      <c r="K273" s="123"/>
      <c r="L273" s="118"/>
      <c r="M273" s="118" t="s">
        <v>82</v>
      </c>
      <c r="N273" s="118"/>
      <c r="O273" s="118"/>
      <c r="P273" s="160"/>
      <c r="Q273" s="160"/>
      <c r="R273" s="118"/>
      <c r="S273" s="117"/>
      <c r="T273" s="117"/>
      <c r="U273" s="124"/>
    </row>
    <row r="274" spans="1:21">
      <c r="A274" s="125" t="s">
        <v>6</v>
      </c>
      <c r="B274" s="126" t="s">
        <v>87</v>
      </c>
      <c r="C274" s="126"/>
      <c r="D274" s="117"/>
      <c r="E274" s="126" t="s">
        <v>20</v>
      </c>
      <c r="F274" s="125"/>
      <c r="G274" s="127" t="s">
        <v>42</v>
      </c>
      <c r="H274" s="128"/>
      <c r="I274" s="127" t="s">
        <v>45</v>
      </c>
      <c r="J274" s="129"/>
      <c r="K274" s="129"/>
      <c r="L274" s="125"/>
      <c r="M274" s="125" t="s">
        <v>83</v>
      </c>
      <c r="N274" s="125" t="s">
        <v>46</v>
      </c>
      <c r="O274" s="125" t="s">
        <v>21</v>
      </c>
      <c r="P274" s="161" t="s">
        <v>194</v>
      </c>
      <c r="Q274" s="161" t="s">
        <v>194</v>
      </c>
      <c r="R274" s="125"/>
      <c r="S274" s="117"/>
      <c r="T274" s="117"/>
      <c r="U274" s="124"/>
    </row>
    <row r="275" spans="1:21">
      <c r="A275" s="130" t="s">
        <v>88</v>
      </c>
      <c r="B275" s="131" t="s">
        <v>88</v>
      </c>
      <c r="C275" s="127" t="s">
        <v>8</v>
      </c>
      <c r="D275" s="129"/>
      <c r="E275" s="131" t="s">
        <v>219</v>
      </c>
      <c r="F275" s="130" t="s">
        <v>41</v>
      </c>
      <c r="G275" s="132" t="s">
        <v>43</v>
      </c>
      <c r="H275" s="132" t="s">
        <v>33</v>
      </c>
      <c r="I275" s="132" t="s">
        <v>43</v>
      </c>
      <c r="J275" s="133" t="s">
        <v>33</v>
      </c>
      <c r="K275" s="133" t="s">
        <v>46</v>
      </c>
      <c r="L275" s="130" t="s">
        <v>34</v>
      </c>
      <c r="M275" s="130" t="s">
        <v>84</v>
      </c>
      <c r="N275" s="130" t="s">
        <v>85</v>
      </c>
      <c r="O275" s="130" t="s">
        <v>47</v>
      </c>
      <c r="P275" s="162" t="s">
        <v>47</v>
      </c>
      <c r="Q275" s="162" t="str">
        <f>+Q10</f>
        <v>Supply</v>
      </c>
      <c r="R275" s="130" t="s">
        <v>86</v>
      </c>
      <c r="S275" s="117"/>
      <c r="T275" s="117"/>
      <c r="U275" s="124"/>
    </row>
    <row r="276" spans="1:21">
      <c r="A276" s="117"/>
      <c r="B276" s="117"/>
      <c r="C276" s="117"/>
      <c r="D276" s="117"/>
      <c r="E276" s="144" t="s">
        <v>27</v>
      </c>
      <c r="F276" s="144" t="s">
        <v>27</v>
      </c>
      <c r="G276" s="144" t="s">
        <v>27</v>
      </c>
      <c r="H276" s="144" t="s">
        <v>27</v>
      </c>
      <c r="I276" s="144" t="s">
        <v>27</v>
      </c>
      <c r="J276" s="144" t="s">
        <v>27</v>
      </c>
      <c r="K276" s="144" t="s">
        <v>27</v>
      </c>
      <c r="L276" s="144" t="s">
        <v>27</v>
      </c>
      <c r="M276" s="144" t="s">
        <v>27</v>
      </c>
      <c r="N276" s="144" t="s">
        <v>27</v>
      </c>
      <c r="O276" s="144" t="s">
        <v>27</v>
      </c>
      <c r="P276" s="144" t="s">
        <v>27</v>
      </c>
      <c r="Q276" s="144" t="s">
        <v>27</v>
      </c>
      <c r="R276" s="117"/>
      <c r="S276" s="117"/>
      <c r="T276" s="117"/>
      <c r="U276" s="124"/>
    </row>
    <row r="277" spans="1:21">
      <c r="A277" s="117" t="str">
        <f>IF(ISBLANK(C277),"",MAX($A$276:$A276)+1)</f>
        <v/>
      </c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U277" s="124"/>
    </row>
    <row r="278" spans="1:21">
      <c r="A278" s="117">
        <f>IF(ISBLANK(#REF!),"",MAX($A$276:$A277)+1)</f>
        <v>1</v>
      </c>
      <c r="C278" s="134" t="s">
        <v>122</v>
      </c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U278" s="124"/>
    </row>
    <row r="279" spans="1:21">
      <c r="A279" s="117">
        <f>IF(ISBLANK(C279),"",MAX($A$276:$A278)+1)</f>
        <v>2</v>
      </c>
      <c r="C279" s="140" t="s">
        <v>104</v>
      </c>
      <c r="E279" s="136">
        <f>'COS Statement N'!K268</f>
        <v>75057</v>
      </c>
      <c r="F279" s="136">
        <f>$E279*F$46/$E$46</f>
        <v>0</v>
      </c>
      <c r="G279" s="136">
        <f t="shared" ref="G279:Q279" si="98">$E279*G$46/$E$46</f>
        <v>2486.7605022623879</v>
      </c>
      <c r="H279" s="136">
        <f t="shared" si="98"/>
        <v>2489.1587170115208</v>
      </c>
      <c r="I279" s="136">
        <f t="shared" si="98"/>
        <v>12543.253009366117</v>
      </c>
      <c r="J279" s="136">
        <f t="shared" si="98"/>
        <v>4505.1245524250917</v>
      </c>
      <c r="K279" s="136">
        <f t="shared" si="98"/>
        <v>12338.58698611738</v>
      </c>
      <c r="L279" s="136">
        <f t="shared" si="98"/>
        <v>13416.57955021562</v>
      </c>
      <c r="M279" s="136">
        <f t="shared" si="98"/>
        <v>11125.865507138737</v>
      </c>
      <c r="N279" s="136">
        <f t="shared" si="98"/>
        <v>15541.592456402985</v>
      </c>
      <c r="O279" s="136">
        <f t="shared" si="98"/>
        <v>0</v>
      </c>
      <c r="P279" s="136">
        <f t="shared" si="98"/>
        <v>277.14187872331411</v>
      </c>
      <c r="Q279" s="136">
        <f t="shared" si="98"/>
        <v>332.93684033686162</v>
      </c>
      <c r="R279" s="137" t="s">
        <v>98</v>
      </c>
      <c r="U279" s="124">
        <f t="shared" ref="U279:U285" si="99">+E279-SUM(F279:Q279)</f>
        <v>0</v>
      </c>
    </row>
    <row r="280" spans="1:21">
      <c r="A280" s="117">
        <f>IF(ISBLANK(C280),"",MAX($A$276:$A279)+1)</f>
        <v>3</v>
      </c>
      <c r="C280" s="140" t="s">
        <v>42</v>
      </c>
      <c r="E280" s="136">
        <f>'COS Statement N'!K271</f>
        <v>40586</v>
      </c>
      <c r="F280" s="136">
        <f>$E280*F$53/$E$53</f>
        <v>0</v>
      </c>
      <c r="G280" s="136">
        <f t="shared" ref="G280:Q280" si="100">$E280*G$53/$E$53</f>
        <v>17462.032914684678</v>
      </c>
      <c r="H280" s="136">
        <f t="shared" si="100"/>
        <v>17462.032914684678</v>
      </c>
      <c r="I280" s="136">
        <f t="shared" si="100"/>
        <v>0</v>
      </c>
      <c r="J280" s="136">
        <f t="shared" si="100"/>
        <v>0</v>
      </c>
      <c r="K280" s="136">
        <f t="shared" si="100"/>
        <v>0</v>
      </c>
      <c r="L280" s="136">
        <f t="shared" si="100"/>
        <v>0</v>
      </c>
      <c r="M280" s="136">
        <f t="shared" si="100"/>
        <v>0</v>
      </c>
      <c r="N280" s="136">
        <f t="shared" si="100"/>
        <v>0</v>
      </c>
      <c r="O280" s="136">
        <f t="shared" si="100"/>
        <v>0</v>
      </c>
      <c r="P280" s="136">
        <f t="shared" si="100"/>
        <v>5661.934170630645</v>
      </c>
      <c r="Q280" s="136">
        <f t="shared" si="100"/>
        <v>0</v>
      </c>
      <c r="R280" s="137" t="s">
        <v>99</v>
      </c>
      <c r="U280" s="124">
        <f t="shared" si="99"/>
        <v>0</v>
      </c>
    </row>
    <row r="281" spans="1:21">
      <c r="A281" s="117">
        <f>IF(ISBLANK(C281),"",MAX($A$276:$A280)+1)</f>
        <v>4</v>
      </c>
      <c r="C281" s="140" t="s">
        <v>45</v>
      </c>
      <c r="E281" s="136">
        <f>'COS Statement N'!K272</f>
        <v>16164555</v>
      </c>
      <c r="F281" s="136">
        <f>$E281*F$72/$E$72</f>
        <v>0</v>
      </c>
      <c r="G281" s="136">
        <f t="shared" ref="G281:Q281" si="101">$E281*G$72/$E$72</f>
        <v>625458.05442916974</v>
      </c>
      <c r="H281" s="136">
        <f t="shared" si="101"/>
        <v>625458.05442916974</v>
      </c>
      <c r="I281" s="136">
        <f t="shared" si="101"/>
        <v>3641610.8602062757</v>
      </c>
      <c r="J281" s="136">
        <f t="shared" si="101"/>
        <v>859528.55210110545</v>
      </c>
      <c r="K281" s="136">
        <f t="shared" si="101"/>
        <v>4067325.9659340382</v>
      </c>
      <c r="L281" s="136">
        <f t="shared" si="101"/>
        <v>3242586.6980933305</v>
      </c>
      <c r="M281" s="136">
        <f t="shared" si="101"/>
        <v>3017880.306935783</v>
      </c>
      <c r="N281" s="136">
        <f>$E281*N$72/$E$72</f>
        <v>0</v>
      </c>
      <c r="O281" s="136">
        <f t="shared" si="101"/>
        <v>0</v>
      </c>
      <c r="P281" s="136">
        <f t="shared" si="101"/>
        <v>23934.664798312358</v>
      </c>
      <c r="Q281" s="136">
        <f t="shared" si="101"/>
        <v>60771.84307281785</v>
      </c>
      <c r="R281" s="137" t="s">
        <v>100</v>
      </c>
      <c r="U281" s="124">
        <f t="shared" si="99"/>
        <v>0</v>
      </c>
    </row>
    <row r="282" spans="1:21">
      <c r="A282" s="117">
        <f>IF(ISBLANK(C282),"",MAX($A$276:$A281)+1)</f>
        <v>5</v>
      </c>
      <c r="C282" s="140" t="s">
        <v>105</v>
      </c>
      <c r="E282" s="136">
        <f>'COS Statement N'!K273</f>
        <v>2449921.4246473559</v>
      </c>
      <c r="F282" s="171">
        <f>$E282*F$104/$E$104</f>
        <v>0</v>
      </c>
      <c r="G282" s="171">
        <f t="shared" ref="G282:Q282" si="102">$E282*G$104/$E$104</f>
        <v>73252.841695134135</v>
      </c>
      <c r="H282" s="171">
        <f t="shared" si="102"/>
        <v>73323.486232559153</v>
      </c>
      <c r="I282" s="171">
        <f t="shared" si="102"/>
        <v>369488.30665485695</v>
      </c>
      <c r="J282" s="171">
        <f t="shared" si="102"/>
        <v>132708.06551552517</v>
      </c>
      <c r="K282" s="171">
        <f t="shared" si="102"/>
        <v>363459.43182442064</v>
      </c>
      <c r="L282" s="171">
        <f t="shared" si="102"/>
        <v>395214.0051235297</v>
      </c>
      <c r="M282" s="171">
        <f t="shared" si="102"/>
        <v>327736.13059010735</v>
      </c>
      <c r="N282" s="171">
        <f t="shared" si="102"/>
        <v>696767.98536512873</v>
      </c>
      <c r="O282" s="171">
        <f t="shared" si="102"/>
        <v>0</v>
      </c>
      <c r="P282" s="171">
        <f t="shared" si="102"/>
        <v>8163.8059438137625</v>
      </c>
      <c r="Q282" s="171">
        <f t="shared" si="102"/>
        <v>9807.3657022806201</v>
      </c>
      <c r="R282" s="137" t="s">
        <v>101</v>
      </c>
      <c r="U282" s="124">
        <f t="shared" si="99"/>
        <v>0</v>
      </c>
    </row>
    <row r="283" spans="1:21">
      <c r="A283" s="117">
        <f>IF(ISBLANK(C283),"",MAX($A$276:$A282)+1)</f>
        <v>6</v>
      </c>
      <c r="C283" s="140" t="s">
        <v>617</v>
      </c>
      <c r="E283" s="136">
        <f>'COS Statement N'!K274</f>
        <v>1053497.7467970264</v>
      </c>
      <c r="F283" s="171">
        <v>0</v>
      </c>
      <c r="G283" s="171">
        <v>0</v>
      </c>
      <c r="H283" s="171">
        <v>0</v>
      </c>
      <c r="I283" s="171">
        <v>0</v>
      </c>
      <c r="J283" s="171">
        <v>0</v>
      </c>
      <c r="K283" s="171">
        <v>0</v>
      </c>
      <c r="L283" s="171">
        <v>0</v>
      </c>
      <c r="M283" s="171">
        <v>0</v>
      </c>
      <c r="N283" s="171">
        <f>$E283</f>
        <v>1053497.7467970264</v>
      </c>
      <c r="O283" s="171">
        <v>0</v>
      </c>
      <c r="P283" s="171">
        <v>0</v>
      </c>
      <c r="Q283" s="171">
        <v>0</v>
      </c>
      <c r="R283" s="137" t="s">
        <v>50</v>
      </c>
      <c r="U283" s="124"/>
    </row>
    <row r="284" spans="1:21">
      <c r="A284" s="117">
        <f>IF(ISBLANK(C284),"",MAX($A$276:$A283)+1)</f>
        <v>7</v>
      </c>
      <c r="C284" s="167" t="s">
        <v>618</v>
      </c>
      <c r="D284" s="155"/>
      <c r="E284" s="136">
        <f>'COS Statement N'!K275</f>
        <v>1901496.2532029736</v>
      </c>
      <c r="F284" s="156">
        <f t="shared" ref="F284:Q284" si="103">$E284*F$264/$E$264</f>
        <v>0</v>
      </c>
      <c r="G284" s="156">
        <f t="shared" si="103"/>
        <v>62999.663957593235</v>
      </c>
      <c r="H284" s="156">
        <f t="shared" si="103"/>
        <v>63060.420400827737</v>
      </c>
      <c r="I284" s="156">
        <f t="shared" si="103"/>
        <v>317771.14193594997</v>
      </c>
      <c r="J284" s="156">
        <f t="shared" si="103"/>
        <v>114132.95837362319</v>
      </c>
      <c r="K284" s="156">
        <f t="shared" si="103"/>
        <v>312586.12686253333</v>
      </c>
      <c r="L284" s="156">
        <f t="shared" si="103"/>
        <v>339896.02229684958</v>
      </c>
      <c r="M284" s="156">
        <f t="shared" si="103"/>
        <v>281863.00512230047</v>
      </c>
      <c r="N284" s="156">
        <f t="shared" si="103"/>
        <v>393731.16197900084</v>
      </c>
      <c r="O284" s="156">
        <f t="shared" si="103"/>
        <v>0</v>
      </c>
      <c r="P284" s="156">
        <f t="shared" si="103"/>
        <v>7021.1205350335695</v>
      </c>
      <c r="Q284" s="156">
        <f t="shared" si="103"/>
        <v>8434.6317392618821</v>
      </c>
      <c r="R284" s="152" t="s">
        <v>67</v>
      </c>
      <c r="U284" s="124">
        <f t="shared" si="99"/>
        <v>0</v>
      </c>
    </row>
    <row r="285" spans="1:21">
      <c r="A285" s="117">
        <f>IF(ISBLANK(C285),"",MAX($A$276:$A284)+1)</f>
        <v>8</v>
      </c>
      <c r="C285" s="34" t="s">
        <v>123</v>
      </c>
      <c r="E285" s="150">
        <f t="shared" ref="E285:Q285" si="104">SUM(E279:E284)</f>
        <v>21685113.424647357</v>
      </c>
      <c r="F285" s="150">
        <f t="shared" si="104"/>
        <v>0</v>
      </c>
      <c r="G285" s="150">
        <f t="shared" si="104"/>
        <v>781659.3534988442</v>
      </c>
      <c r="H285" s="150">
        <f t="shared" si="104"/>
        <v>781793.1526942529</v>
      </c>
      <c r="I285" s="150">
        <f t="shared" si="104"/>
        <v>4341413.5618064487</v>
      </c>
      <c r="J285" s="150">
        <f t="shared" si="104"/>
        <v>1110874.7005426788</v>
      </c>
      <c r="K285" s="150">
        <f t="shared" si="104"/>
        <v>4755710.1116071101</v>
      </c>
      <c r="L285" s="150">
        <f t="shared" si="104"/>
        <v>3991113.3050639252</v>
      </c>
      <c r="M285" s="150">
        <f t="shared" si="104"/>
        <v>3638605.3081553299</v>
      </c>
      <c r="N285" s="150">
        <f t="shared" si="104"/>
        <v>2159538.4865975589</v>
      </c>
      <c r="O285" s="150">
        <f t="shared" si="104"/>
        <v>0</v>
      </c>
      <c r="P285" s="150">
        <f t="shared" si="104"/>
        <v>45058.667326513649</v>
      </c>
      <c r="Q285" s="150">
        <f t="shared" si="104"/>
        <v>79346.777354697217</v>
      </c>
      <c r="R285" s="137" t="str">
        <f>"Sum of Lines "&amp;A279&amp;" thru "&amp;A282</f>
        <v>Sum of Lines 2 thru 5</v>
      </c>
      <c r="U285" s="124">
        <f t="shared" si="99"/>
        <v>0</v>
      </c>
    </row>
    <row r="286" spans="1:21">
      <c r="A286" s="117" t="str">
        <f>IF(ISBLANK(C286),"",MAX($A$276:$A285)+1)</f>
        <v/>
      </c>
      <c r="E286" s="158"/>
      <c r="F286" s="635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U286" s="124"/>
    </row>
    <row r="287" spans="1:21">
      <c r="A287" s="117">
        <f>IF(ISBLANK(#REF!),"",MAX($A$276:$A286)+1)</f>
        <v>9</v>
      </c>
      <c r="C287" s="134" t="s">
        <v>92</v>
      </c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U287" s="124"/>
    </row>
    <row r="288" spans="1:21">
      <c r="A288" s="117">
        <f>IF(ISBLANK(C288),"",MAX($A$276:$A287)+1)</f>
        <v>10</v>
      </c>
      <c r="C288" s="140" t="s">
        <v>375</v>
      </c>
      <c r="E288" s="141">
        <f>'COS Statement N'!K279</f>
        <v>4699301.969868673</v>
      </c>
      <c r="F288" s="136">
        <f>$E288*F$129/$E$129</f>
        <v>0</v>
      </c>
      <c r="G288" s="136">
        <f t="shared" ref="G288:Q288" si="105">$E288*G$129/$E$129</f>
        <v>179559.0731857091</v>
      </c>
      <c r="H288" s="136">
        <f t="shared" si="105"/>
        <v>179583.17608325373</v>
      </c>
      <c r="I288" s="136">
        <f t="shared" si="105"/>
        <v>992362.16246860905</v>
      </c>
      <c r="J288" s="136">
        <f t="shared" si="105"/>
        <v>249750.20983000635</v>
      </c>
      <c r="K288" s="136">
        <f t="shared" si="105"/>
        <v>1091578.011133567</v>
      </c>
      <c r="L288" s="136">
        <f t="shared" si="105"/>
        <v>906216.0599457972</v>
      </c>
      <c r="M288" s="136">
        <f t="shared" si="105"/>
        <v>829738.47044710873</v>
      </c>
      <c r="N288" s="136">
        <f t="shared" si="105"/>
        <v>242359.4786387721</v>
      </c>
      <c r="O288" s="136">
        <f t="shared" si="105"/>
        <v>0</v>
      </c>
      <c r="P288" s="136">
        <f t="shared" si="105"/>
        <v>10352.261517874333</v>
      </c>
      <c r="Q288" s="136">
        <f t="shared" si="105"/>
        <v>17803.066617976478</v>
      </c>
      <c r="R288" s="137" t="s">
        <v>107</v>
      </c>
      <c r="U288" s="124">
        <f t="shared" ref="U288:U293" si="106">+E288-SUM(F288:Q288)</f>
        <v>0</v>
      </c>
    </row>
    <row r="289" spans="1:21">
      <c r="A289" s="117">
        <f>IF(ISBLANK(C289),"",MAX($A$276:$A288)+1)</f>
        <v>11</v>
      </c>
      <c r="C289" s="140" t="s">
        <v>124</v>
      </c>
      <c r="E289" s="141">
        <f>'COS Statement N'!K280</f>
        <v>2412941.167860203</v>
      </c>
      <c r="F289" s="136">
        <f>$E289*F$264/$E$264</f>
        <v>0</v>
      </c>
      <c r="G289" s="136">
        <f t="shared" ref="G289:Q291" si="107">$E289*G$264/$E$264</f>
        <v>79944.665927463531</v>
      </c>
      <c r="H289" s="136">
        <f t="shared" si="107"/>
        <v>80021.764014218294</v>
      </c>
      <c r="I289" s="136">
        <f t="shared" si="107"/>
        <v>403241.95698183897</v>
      </c>
      <c r="J289" s="136">
        <f t="shared" si="107"/>
        <v>144831.2682212755</v>
      </c>
      <c r="K289" s="136">
        <f t="shared" si="107"/>
        <v>396662.3298563328</v>
      </c>
      <c r="L289" s="136">
        <f t="shared" si="107"/>
        <v>431317.7602167232</v>
      </c>
      <c r="M289" s="136">
        <f t="shared" si="107"/>
        <v>357675.61866649205</v>
      </c>
      <c r="N289" s="136">
        <f t="shared" si="107"/>
        <v>499632.92234115844</v>
      </c>
      <c r="O289" s="136">
        <f t="shared" si="107"/>
        <v>0</v>
      </c>
      <c r="P289" s="136">
        <f t="shared" si="107"/>
        <v>8909.5893588819708</v>
      </c>
      <c r="Q289" s="136">
        <f t="shared" si="107"/>
        <v>10703.292275818547</v>
      </c>
      <c r="R289" s="137" t="s">
        <v>67</v>
      </c>
      <c r="U289" s="124">
        <f t="shared" si="106"/>
        <v>0</v>
      </c>
    </row>
    <row r="290" spans="1:21">
      <c r="A290" s="117">
        <f>IF(ISBLANK(C290),"",MAX($A$276:$A289)+1)</f>
        <v>12</v>
      </c>
      <c r="C290" s="140" t="s">
        <v>377</v>
      </c>
      <c r="E290" s="141">
        <f>'COS Statement N'!K281</f>
        <v>23120.46</v>
      </c>
      <c r="F290" s="136">
        <f t="shared" ref="F290:F291" si="108">$E290*F$264/$E$264</f>
        <v>0</v>
      </c>
      <c r="G290" s="136">
        <f t="shared" si="107"/>
        <v>766.01844894063777</v>
      </c>
      <c r="H290" s="136">
        <f t="shared" si="107"/>
        <v>766.75719187172649</v>
      </c>
      <c r="I290" s="136">
        <f t="shared" si="107"/>
        <v>3863.8072328087846</v>
      </c>
      <c r="J290" s="136">
        <f t="shared" si="107"/>
        <v>1387.7526680970759</v>
      </c>
      <c r="K290" s="136">
        <f t="shared" si="107"/>
        <v>3800.7621789979271</v>
      </c>
      <c r="L290" s="136">
        <f t="shared" si="107"/>
        <v>4132.8255969140546</v>
      </c>
      <c r="M290" s="136">
        <f t="shared" si="107"/>
        <v>3427.1970425567351</v>
      </c>
      <c r="N290" s="136">
        <f t="shared" si="107"/>
        <v>4787.4117900337988</v>
      </c>
      <c r="O290" s="136">
        <f t="shared" si="107"/>
        <v>0</v>
      </c>
      <c r="P290" s="136">
        <f t="shared" si="107"/>
        <v>85.370421431008879</v>
      </c>
      <c r="Q290" s="136">
        <f t="shared" si="107"/>
        <v>102.55742834825259</v>
      </c>
      <c r="R290" s="137" t="s">
        <v>67</v>
      </c>
      <c r="U290" s="124">
        <f t="shared" si="106"/>
        <v>0</v>
      </c>
    </row>
    <row r="291" spans="1:21">
      <c r="A291" s="117">
        <f>IF(ISBLANK(C291),"",MAX($A$276:$A290)+1)</f>
        <v>13</v>
      </c>
      <c r="C291" s="140" t="s">
        <v>378</v>
      </c>
      <c r="E291" s="141">
        <f>'COS Statement N'!K282</f>
        <v>28765.899999999998</v>
      </c>
      <c r="F291" s="136">
        <f t="shared" si="108"/>
        <v>0</v>
      </c>
      <c r="G291" s="136">
        <f t="shared" si="107"/>
        <v>953.06105935528478</v>
      </c>
      <c r="H291" s="136">
        <f t="shared" si="107"/>
        <v>953.98018489523554</v>
      </c>
      <c r="I291" s="136">
        <f t="shared" si="107"/>
        <v>4807.2526445518042</v>
      </c>
      <c r="J291" s="136">
        <f t="shared" si="107"/>
        <v>1726.6072766378211</v>
      </c>
      <c r="K291" s="136">
        <f t="shared" si="107"/>
        <v>4728.8135601470067</v>
      </c>
      <c r="L291" s="136">
        <f t="shared" si="107"/>
        <v>5141.9585872543194</v>
      </c>
      <c r="M291" s="136">
        <f t="shared" si="107"/>
        <v>4264.0331293790332</v>
      </c>
      <c r="N291" s="136">
        <f t="shared" si="107"/>
        <v>5956.3784116290617</v>
      </c>
      <c r="O291" s="136">
        <f t="shared" si="107"/>
        <v>0</v>
      </c>
      <c r="P291" s="136">
        <f t="shared" si="107"/>
        <v>106.21575028534286</v>
      </c>
      <c r="Q291" s="136">
        <f t="shared" si="107"/>
        <v>127.59939586509087</v>
      </c>
      <c r="R291" s="137" t="s">
        <v>67</v>
      </c>
      <c r="U291" s="124">
        <f t="shared" si="106"/>
        <v>0</v>
      </c>
    </row>
    <row r="292" spans="1:21">
      <c r="A292" s="117">
        <f>IF(ISBLANK(C292),"",MAX($A$276:$A291)+1)</f>
        <v>14</v>
      </c>
      <c r="C292" s="140" t="s">
        <v>125</v>
      </c>
      <c r="E292" s="141">
        <f>'COS Statement N'!K283</f>
        <v>-118693.07999999999</v>
      </c>
      <c r="F292" s="136">
        <f t="shared" ref="F292:Q292" si="109">$E292*F$264/$E$264</f>
        <v>0</v>
      </c>
      <c r="G292" s="136">
        <f t="shared" si="109"/>
        <v>-3932.4948137531442</v>
      </c>
      <c r="H292" s="136">
        <f t="shared" si="109"/>
        <v>-3936.2872847428716</v>
      </c>
      <c r="I292" s="136">
        <f t="shared" si="109"/>
        <v>-19835.556082722906</v>
      </c>
      <c r="J292" s="136">
        <f t="shared" si="109"/>
        <v>-7124.2803324267625</v>
      </c>
      <c r="K292" s="136">
        <f t="shared" si="109"/>
        <v>-19511.902850236336</v>
      </c>
      <c r="L292" s="136">
        <f t="shared" si="109"/>
        <v>-21216.610707596978</v>
      </c>
      <c r="M292" s="136">
        <f t="shared" si="109"/>
        <v>-17594.138384268732</v>
      </c>
      <c r="N292" s="136">
        <f t="shared" si="109"/>
        <v>-24577.047800408163</v>
      </c>
      <c r="O292" s="136">
        <f t="shared" si="109"/>
        <v>0</v>
      </c>
      <c r="P292" s="136">
        <f t="shared" si="109"/>
        <v>-438.26456136878119</v>
      </c>
      <c r="Q292" s="136">
        <f t="shared" si="109"/>
        <v>-526.49718247532326</v>
      </c>
      <c r="R292" s="137" t="s">
        <v>67</v>
      </c>
      <c r="U292" s="124">
        <f t="shared" si="106"/>
        <v>0</v>
      </c>
    </row>
    <row r="293" spans="1:21">
      <c r="A293" s="117">
        <f>IF(ISBLANK(C293),"",MAX($A$276:$A292)+1)</f>
        <v>15</v>
      </c>
      <c r="C293" s="34" t="s">
        <v>126</v>
      </c>
      <c r="E293" s="150">
        <f t="shared" ref="E293:P293" si="110">SUM(E288:E292)</f>
        <v>7045436.4177288758</v>
      </c>
      <c r="F293" s="150">
        <f t="shared" si="110"/>
        <v>0</v>
      </c>
      <c r="G293" s="150">
        <f t="shared" si="110"/>
        <v>257290.32380771541</v>
      </c>
      <c r="H293" s="150">
        <f t="shared" si="110"/>
        <v>257389.39018949613</v>
      </c>
      <c r="I293" s="150">
        <f t="shared" si="110"/>
        <v>1384439.6232450858</v>
      </c>
      <c r="J293" s="150">
        <f t="shared" si="110"/>
        <v>390571.55766359001</v>
      </c>
      <c r="K293" s="150">
        <f t="shared" si="110"/>
        <v>1477258.0138788086</v>
      </c>
      <c r="L293" s="150">
        <f t="shared" si="110"/>
        <v>1325591.993639092</v>
      </c>
      <c r="M293" s="150">
        <f t="shared" si="110"/>
        <v>1177511.1809012678</v>
      </c>
      <c r="N293" s="150">
        <f t="shared" si="110"/>
        <v>728159.14338118513</v>
      </c>
      <c r="O293" s="150">
        <f t="shared" si="110"/>
        <v>0</v>
      </c>
      <c r="P293" s="150">
        <f t="shared" si="110"/>
        <v>19015.172487103875</v>
      </c>
      <c r="Q293" s="150">
        <f t="shared" ref="Q293" si="111">SUM(Q288:Q292)</f>
        <v>28210.018535533047</v>
      </c>
      <c r="R293" s="137" t="str">
        <f>"Sum of Lines "&amp;A288&amp;" thru "&amp;A292</f>
        <v>Sum of Lines 10 thru 14</v>
      </c>
      <c r="U293" s="124">
        <f t="shared" si="106"/>
        <v>0</v>
      </c>
    </row>
    <row r="294" spans="1:21">
      <c r="A294" s="117" t="str">
        <f>IF(ISBLANK(C294),"",MAX($A$276:$A293)+1)</f>
        <v/>
      </c>
      <c r="E294" s="158"/>
      <c r="F294" s="635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U294" s="124"/>
    </row>
    <row r="295" spans="1:21">
      <c r="A295" s="117">
        <f>IF(ISBLANK(C295),"",MAX($A$276:$A294)+1)</f>
        <v>16</v>
      </c>
      <c r="C295" s="134" t="s">
        <v>95</v>
      </c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7"/>
      <c r="U295" s="124"/>
    </row>
    <row r="296" spans="1:21">
      <c r="A296" s="117">
        <f>IF(ISBLANK(C296),"",MAX($A$276:$A295)+1)</f>
        <v>17</v>
      </c>
      <c r="B296" s="117">
        <v>487</v>
      </c>
      <c r="C296" s="140" t="s">
        <v>48</v>
      </c>
      <c r="E296" s="136">
        <f>'COS Statement N'!K290</f>
        <v>508107.31999999972</v>
      </c>
      <c r="F296" s="136">
        <v>0</v>
      </c>
      <c r="G296" s="136">
        <v>0</v>
      </c>
      <c r="H296" s="136">
        <v>0</v>
      </c>
      <c r="I296" s="136">
        <v>0</v>
      </c>
      <c r="J296" s="136">
        <v>0</v>
      </c>
      <c r="K296" s="136">
        <v>0</v>
      </c>
      <c r="L296" s="136">
        <v>0</v>
      </c>
      <c r="M296" s="136">
        <v>0</v>
      </c>
      <c r="N296" s="136">
        <v>0</v>
      </c>
      <c r="O296" s="136">
        <f>$E296</f>
        <v>508107.31999999972</v>
      </c>
      <c r="P296" s="136">
        <v>0</v>
      </c>
      <c r="Q296" s="136">
        <v>0</v>
      </c>
      <c r="R296" s="137" t="s">
        <v>222</v>
      </c>
      <c r="U296" s="124">
        <f>+E296-SUM(F296:Q296)</f>
        <v>0</v>
      </c>
    </row>
    <row r="297" spans="1:21">
      <c r="A297" s="117">
        <f>IF(ISBLANK(C297),"",MAX($A$276:$A296)+1)</f>
        <v>18</v>
      </c>
      <c r="B297" s="117">
        <v>488</v>
      </c>
      <c r="C297" s="140" t="s">
        <v>127</v>
      </c>
      <c r="E297" s="141">
        <f>'COS Statement N'!K291</f>
        <v>3507226.26</v>
      </c>
      <c r="F297" s="136">
        <f t="shared" ref="F297:Q299" si="112">$E297*F$264/$E$264</f>
        <v>0</v>
      </c>
      <c r="G297" s="136">
        <f t="shared" si="112"/>
        <v>116200.11106046652</v>
      </c>
      <c r="H297" s="136">
        <f t="shared" si="112"/>
        <v>116312.17364950255</v>
      </c>
      <c r="I297" s="136">
        <f t="shared" si="112"/>
        <v>586114.90387669206</v>
      </c>
      <c r="J297" s="136">
        <f t="shared" si="112"/>
        <v>210513.22508008615</v>
      </c>
      <c r="K297" s="136">
        <f t="shared" si="112"/>
        <v>576551.37147774524</v>
      </c>
      <c r="L297" s="136">
        <f t="shared" si="112"/>
        <v>626923.27321762405</v>
      </c>
      <c r="M297" s="136">
        <f t="shared" si="112"/>
        <v>519883.92384274874</v>
      </c>
      <c r="N297" s="136">
        <f t="shared" si="112"/>
        <v>726219.82207275054</v>
      </c>
      <c r="O297" s="136">
        <f t="shared" si="112"/>
        <v>0</v>
      </c>
      <c r="P297" s="136">
        <f t="shared" si="112"/>
        <v>12950.14821807616</v>
      </c>
      <c r="Q297" s="136">
        <f t="shared" si="112"/>
        <v>15557.307504308303</v>
      </c>
      <c r="R297" s="137" t="s">
        <v>67</v>
      </c>
      <c r="U297" s="124">
        <f>+E297-SUM(F297:Q297)</f>
        <v>0</v>
      </c>
    </row>
    <row r="298" spans="1:21">
      <c r="A298" s="117">
        <f>IF(ISBLANK(C298),"",MAX($A$276:$A297)+1)</f>
        <v>19</v>
      </c>
      <c r="B298" s="117">
        <v>493</v>
      </c>
      <c r="C298" s="140" t="s">
        <v>220</v>
      </c>
      <c r="E298" s="136">
        <f>'COS Statement N'!K292</f>
        <v>998809.62342833867</v>
      </c>
      <c r="F298" s="171">
        <f t="shared" ref="F298:Q298" si="113">$E298*F$105/$E$105</f>
        <v>0</v>
      </c>
      <c r="G298" s="171">
        <f t="shared" si="113"/>
        <v>39965.774118584603</v>
      </c>
      <c r="H298" s="171">
        <f t="shared" si="113"/>
        <v>39969.906819726151</v>
      </c>
      <c r="I298" s="171">
        <f t="shared" si="113"/>
        <v>212897.98911708439</v>
      </c>
      <c r="J298" s="171">
        <f t="shared" si="113"/>
        <v>52911.882289386223</v>
      </c>
      <c r="K298" s="171">
        <f t="shared" si="113"/>
        <v>234906.84374407859</v>
      </c>
      <c r="L298" s="171">
        <f t="shared" si="113"/>
        <v>193443.39305102959</v>
      </c>
      <c r="M298" s="171">
        <f t="shared" si="113"/>
        <v>177692.78567884324</v>
      </c>
      <c r="N298" s="171">
        <f t="shared" si="113"/>
        <v>40603.708509032731</v>
      </c>
      <c r="O298" s="171">
        <f t="shared" si="113"/>
        <v>0</v>
      </c>
      <c r="P298" s="171">
        <f t="shared" si="113"/>
        <v>2651.4463347323922</v>
      </c>
      <c r="Q298" s="171">
        <f t="shared" si="113"/>
        <v>3765.893765840849</v>
      </c>
      <c r="R298" s="137" t="s">
        <v>182</v>
      </c>
      <c r="U298" s="124">
        <f>+E298-SUM(F298:Q298)</f>
        <v>0</v>
      </c>
    </row>
    <row r="299" spans="1:21">
      <c r="A299" s="117">
        <f>IF(ISBLANK(C299),"",MAX($A$276:$A298)+1)</f>
        <v>20</v>
      </c>
      <c r="B299" s="117">
        <v>495</v>
      </c>
      <c r="C299" s="140" t="s">
        <v>414</v>
      </c>
      <c r="E299" s="136">
        <f>'COS Statement N'!K293</f>
        <v>653819.56999999995</v>
      </c>
      <c r="F299" s="136">
        <f t="shared" si="112"/>
        <v>0</v>
      </c>
      <c r="G299" s="136">
        <f t="shared" si="112"/>
        <v>21662.105896614285</v>
      </c>
      <c r="H299" s="136">
        <f t="shared" si="112"/>
        <v>21682.996682764086</v>
      </c>
      <c r="I299" s="136">
        <f t="shared" si="112"/>
        <v>109263.9499178619</v>
      </c>
      <c r="J299" s="136">
        <f t="shared" si="112"/>
        <v>39244.022511731295</v>
      </c>
      <c r="K299" s="136">
        <f t="shared" si="112"/>
        <v>107481.10952570525</v>
      </c>
      <c r="L299" s="136">
        <f t="shared" si="112"/>
        <v>116871.47464450709</v>
      </c>
      <c r="M299" s="136">
        <f t="shared" si="112"/>
        <v>96917.124342236973</v>
      </c>
      <c r="N299" s="136">
        <f t="shared" si="112"/>
        <v>135382.4066637441</v>
      </c>
      <c r="O299" s="136">
        <f t="shared" si="112"/>
        <v>0</v>
      </c>
      <c r="P299" s="136">
        <f t="shared" si="112"/>
        <v>2414.1756794951752</v>
      </c>
      <c r="Q299" s="136">
        <f t="shared" si="112"/>
        <v>2900.2041353398818</v>
      </c>
      <c r="R299" s="137" t="s">
        <v>67</v>
      </c>
      <c r="U299" s="124">
        <f>+E299-SUM(F299:Q299)</f>
        <v>0</v>
      </c>
    </row>
    <row r="300" spans="1:21">
      <c r="A300" s="117">
        <f>IF(ISBLANK(C300),"",MAX($A$276:$A299)+1)</f>
        <v>21</v>
      </c>
      <c r="C300" s="34" t="s">
        <v>128</v>
      </c>
      <c r="E300" s="150">
        <f>SUM(E296:E299)</f>
        <v>5667962.7734283386</v>
      </c>
      <c r="F300" s="150">
        <f t="shared" ref="F300:P300" si="114">SUM(F296:F299)</f>
        <v>0</v>
      </c>
      <c r="G300" s="150">
        <f t="shared" si="114"/>
        <v>177827.9910756654</v>
      </c>
      <c r="H300" s="150">
        <f t="shared" si="114"/>
        <v>177965.07715199279</v>
      </c>
      <c r="I300" s="150">
        <f t="shared" si="114"/>
        <v>908276.84291163832</v>
      </c>
      <c r="J300" s="150">
        <f t="shared" si="114"/>
        <v>302669.1298812037</v>
      </c>
      <c r="K300" s="150">
        <f t="shared" si="114"/>
        <v>918939.32474752911</v>
      </c>
      <c r="L300" s="150">
        <f t="shared" si="114"/>
        <v>937238.14091316075</v>
      </c>
      <c r="M300" s="150">
        <f t="shared" si="114"/>
        <v>794493.83386382903</v>
      </c>
      <c r="N300" s="150">
        <f t="shared" si="114"/>
        <v>902205.9372455274</v>
      </c>
      <c r="O300" s="150">
        <f t="shared" si="114"/>
        <v>508107.31999999972</v>
      </c>
      <c r="P300" s="150">
        <f t="shared" si="114"/>
        <v>18015.770232303727</v>
      </c>
      <c r="Q300" s="150">
        <f t="shared" ref="Q300" si="115">SUM(Q296:Q299)</f>
        <v>22223.405405489033</v>
      </c>
      <c r="R300" s="137" t="str">
        <f>"Sum of Lines "&amp;A296&amp;" thru "&amp;A299</f>
        <v>Sum of Lines 17 thru 20</v>
      </c>
      <c r="U300" s="124">
        <f>+E300-SUM(F300:Q300)</f>
        <v>0</v>
      </c>
    </row>
    <row r="301" spans="1:21">
      <c r="A301" s="117" t="str">
        <f>IF(ISBLANK(C301),"",MAX($A$276:$A300)+1)</f>
        <v/>
      </c>
      <c r="E301" s="559"/>
      <c r="F301" s="6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</row>
    <row r="302" spans="1:21">
      <c r="A302" s="117" t="str">
        <f>IF(ISBLANK(C302),"",MAX($A$276:$A301)+1)</f>
        <v/>
      </c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</row>
    <row r="303" spans="1:21">
      <c r="A303" s="117" t="str">
        <f>IF(ISBLANK(C303),"",MAX($A$276:$A302)+1)</f>
        <v/>
      </c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</row>
    <row r="304" spans="1:21">
      <c r="A304" s="117" t="str">
        <f>IF(ISBLANK(C304),"",MAX($A$276:$A303)+1)</f>
        <v/>
      </c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</row>
    <row r="305" spans="1:17">
      <c r="A305" s="117" t="str">
        <f>IF(ISBLANK(C305),"",MAX($A$276:$A304)+1)</f>
        <v/>
      </c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</row>
    <row r="306" spans="1:17">
      <c r="A306" s="117" t="str">
        <f>IF(ISBLANK(C306),"",MAX($A$276:$A305)+1)</f>
        <v/>
      </c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</row>
    <row r="307" spans="1:17">
      <c r="A307" s="117" t="str">
        <f>IF(ISBLANK(C307),"",MAX($A$276:$A306)+1)</f>
        <v/>
      </c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</row>
  </sheetData>
  <pageMargins left="0.5" right="0" top="0.75" bottom="0.75" header="0" footer="0"/>
  <pageSetup scale="50" orientation="landscape" r:id="rId1"/>
  <headerFooter scaleWithDoc="0"/>
  <rowBreaks count="5" manualBreakCount="5">
    <brk id="27" max="16383" man="1"/>
    <brk id="107" max="16383" man="1"/>
    <brk id="144" max="16383" man="1"/>
    <brk id="211" max="16383" man="1"/>
    <brk id="265" max="16383" man="1"/>
  </rowBreaks>
  <ignoredErrors>
    <ignoredError sqref="N100 F164 F188 F202 F252 R61 F298 F140 N138 O140 G51:H51 G59:J59 A137:A139 G164:P164 G188:P188 G202:P202 G252:P252 G298:P298 G60:H6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241"/>
  <sheetViews>
    <sheetView zoomScaleNormal="100" zoomScaleSheetLayoutView="110" workbookViewId="0">
      <selection activeCell="H38" sqref="H38"/>
    </sheetView>
  </sheetViews>
  <sheetFormatPr defaultColWidth="9.140625" defaultRowHeight="12.75"/>
  <cols>
    <col min="1" max="1" width="7.5703125" style="34" bestFit="1" customWidth="1"/>
    <col min="2" max="2" width="36.28515625" style="34" customWidth="1"/>
    <col min="3" max="3" width="14" style="34" customWidth="1"/>
    <col min="4" max="4" width="14.28515625" style="34" customWidth="1"/>
    <col min="5" max="5" width="12.28515625" style="34" customWidth="1"/>
    <col min="6" max="6" width="12.7109375" style="34" customWidth="1"/>
    <col min="7" max="7" width="12.5703125" style="173" customWidth="1"/>
    <col min="8" max="8" width="14" style="173" customWidth="1"/>
    <col min="9" max="9" width="12.5703125" style="173" customWidth="1"/>
    <col min="10" max="11" width="12.42578125" style="173" customWidth="1"/>
    <col min="12" max="12" width="12.7109375" style="173" customWidth="1"/>
    <col min="13" max="13" width="13.5703125" style="173" customWidth="1"/>
    <col min="14" max="14" width="12.42578125" style="173" customWidth="1"/>
    <col min="15" max="15" width="12.28515625" style="173" customWidth="1"/>
    <col min="16" max="16" width="38.28515625" style="34" customWidth="1"/>
    <col min="17" max="17" width="14.42578125" style="34" bestFit="1" customWidth="1"/>
    <col min="18" max="18" width="10.140625" style="34" bestFit="1" customWidth="1"/>
    <col min="19" max="16384" width="9.140625" style="34"/>
  </cols>
  <sheetData>
    <row r="1" spans="1:18">
      <c r="A1" s="113" t="str">
        <f>'Section 3 Exhibit C'!A1</f>
        <v>Black Hills Nebraska Gas, LLC</v>
      </c>
      <c r="B1" s="115"/>
      <c r="C1" s="115"/>
      <c r="D1" s="115"/>
      <c r="E1" s="115"/>
      <c r="F1" s="116"/>
      <c r="G1" s="634" t="s">
        <v>676</v>
      </c>
      <c r="H1" s="196"/>
      <c r="I1" s="196"/>
      <c r="J1" s="196"/>
      <c r="K1" s="196"/>
      <c r="L1" s="196"/>
      <c r="M1" s="196"/>
      <c r="N1" s="196"/>
      <c r="O1" s="196"/>
      <c r="P1" s="634" t="s">
        <v>676</v>
      </c>
    </row>
    <row r="2" spans="1:18">
      <c r="A2" s="113" t="s">
        <v>481</v>
      </c>
      <c r="B2" s="115"/>
      <c r="C2" s="115"/>
      <c r="D2" s="115"/>
      <c r="E2" s="115"/>
      <c r="F2" s="116"/>
      <c r="G2" s="634" t="s">
        <v>36</v>
      </c>
      <c r="H2" s="196"/>
      <c r="I2" s="196"/>
      <c r="J2" s="196"/>
      <c r="K2" s="196"/>
      <c r="L2" s="196"/>
      <c r="M2" s="196"/>
      <c r="N2" s="196"/>
      <c r="O2" s="196"/>
      <c r="P2" s="634" t="s">
        <v>36</v>
      </c>
      <c r="R2" s="116"/>
    </row>
    <row r="3" spans="1:18">
      <c r="A3" s="113" t="str">
        <f>'Bill Impacts'!A3</f>
        <v>FOR THE PRO FORMA PERIOD ENDED DECEMBER 31, 2020</v>
      </c>
      <c r="B3" s="115"/>
      <c r="C3" s="115"/>
      <c r="D3" s="115"/>
      <c r="E3" s="115"/>
      <c r="F3" s="116"/>
      <c r="G3" s="634" t="s">
        <v>75</v>
      </c>
      <c r="H3" s="196"/>
      <c r="I3" s="196"/>
      <c r="J3" s="196"/>
      <c r="K3" s="196"/>
      <c r="L3" s="196"/>
      <c r="M3" s="196"/>
      <c r="N3" s="196"/>
      <c r="O3" s="196"/>
      <c r="P3" s="634" t="s">
        <v>60</v>
      </c>
      <c r="R3" s="116"/>
    </row>
    <row r="6" spans="1:18" s="117" customFormat="1">
      <c r="B6" s="115" t="s">
        <v>0</v>
      </c>
      <c r="C6" s="115"/>
      <c r="D6" s="117" t="s">
        <v>1</v>
      </c>
      <c r="E6" s="117" t="s">
        <v>2</v>
      </c>
      <c r="F6" s="117" t="s">
        <v>3</v>
      </c>
      <c r="G6" s="117" t="s">
        <v>4</v>
      </c>
      <c r="H6" s="117" t="s">
        <v>5</v>
      </c>
      <c r="I6" s="117" t="s">
        <v>26</v>
      </c>
      <c r="J6" s="117" t="s">
        <v>61</v>
      </c>
      <c r="K6" s="117" t="s">
        <v>62</v>
      </c>
      <c r="L6" s="117" t="s">
        <v>63</v>
      </c>
      <c r="M6" s="117" t="s">
        <v>64</v>
      </c>
      <c r="N6" s="117" t="s">
        <v>79</v>
      </c>
      <c r="O6" s="117" t="s">
        <v>80</v>
      </c>
      <c r="P6" s="117" t="s">
        <v>81</v>
      </c>
    </row>
    <row r="8" spans="1:18" s="117" customFormat="1">
      <c r="A8" s="118"/>
      <c r="B8" s="119"/>
      <c r="C8" s="120"/>
      <c r="D8" s="118"/>
      <c r="E8" s="197"/>
      <c r="F8" s="197"/>
      <c r="G8" s="198"/>
      <c r="H8" s="199" t="s">
        <v>197</v>
      </c>
      <c r="I8" s="200"/>
      <c r="J8" s="200"/>
      <c r="K8" s="200"/>
      <c r="L8" s="200"/>
      <c r="M8" s="200"/>
      <c r="N8" s="200"/>
      <c r="O8" s="201" t="s">
        <v>20</v>
      </c>
      <c r="P8" s="118"/>
    </row>
    <row r="9" spans="1:18" s="117" customFormat="1">
      <c r="A9" s="125" t="s">
        <v>6</v>
      </c>
      <c r="B9" s="126"/>
      <c r="D9" s="125" t="s">
        <v>20</v>
      </c>
      <c r="E9" s="202" t="s">
        <v>22</v>
      </c>
      <c r="F9" s="202" t="s">
        <v>24</v>
      </c>
      <c r="G9" s="203" t="s">
        <v>20</v>
      </c>
      <c r="H9" s="203"/>
      <c r="I9" s="203"/>
      <c r="J9" s="203" t="s">
        <v>76</v>
      </c>
      <c r="K9" s="203" t="s">
        <v>418</v>
      </c>
      <c r="L9" s="203" t="s">
        <v>418</v>
      </c>
      <c r="M9" s="204" t="s">
        <v>418</v>
      </c>
      <c r="N9" s="203" t="s">
        <v>418</v>
      </c>
      <c r="O9" s="205" t="s">
        <v>25</v>
      </c>
      <c r="P9" s="125"/>
    </row>
    <row r="10" spans="1:18" s="117" customFormat="1">
      <c r="A10" s="130" t="s">
        <v>7</v>
      </c>
      <c r="B10" s="127" t="s">
        <v>8</v>
      </c>
      <c r="C10" s="129"/>
      <c r="D10" s="130" t="s">
        <v>219</v>
      </c>
      <c r="E10" s="206" t="s">
        <v>23</v>
      </c>
      <c r="F10" s="206" t="s">
        <v>23</v>
      </c>
      <c r="G10" s="207" t="s">
        <v>21</v>
      </c>
      <c r="H10" s="305" t="s">
        <v>416</v>
      </c>
      <c r="I10" s="305" t="s">
        <v>436</v>
      </c>
      <c r="J10" s="305" t="s">
        <v>417</v>
      </c>
      <c r="K10" s="305" t="s">
        <v>45</v>
      </c>
      <c r="L10" s="305" t="s">
        <v>42</v>
      </c>
      <c r="M10" s="306" t="s">
        <v>47</v>
      </c>
      <c r="N10" s="305" t="s">
        <v>41</v>
      </c>
      <c r="O10" s="208" t="s">
        <v>21</v>
      </c>
      <c r="P10" s="130" t="s">
        <v>28</v>
      </c>
    </row>
    <row r="11" spans="1:18" s="117" customFormat="1">
      <c r="D11" s="117" t="s">
        <v>27</v>
      </c>
      <c r="E11" s="117" t="s">
        <v>27</v>
      </c>
      <c r="F11" s="117" t="s">
        <v>27</v>
      </c>
      <c r="G11" s="148" t="s">
        <v>27</v>
      </c>
      <c r="H11" s="148" t="s">
        <v>27</v>
      </c>
      <c r="I11" s="148" t="s">
        <v>27</v>
      </c>
      <c r="J11" s="148" t="s">
        <v>27</v>
      </c>
      <c r="K11" s="148" t="s">
        <v>27</v>
      </c>
      <c r="L11" s="148" t="s">
        <v>27</v>
      </c>
      <c r="M11" s="148" t="s">
        <v>27</v>
      </c>
      <c r="N11" s="148" t="s">
        <v>27</v>
      </c>
      <c r="O11" s="148"/>
    </row>
    <row r="12" spans="1:18">
      <c r="A12" s="117"/>
    </row>
    <row r="13" spans="1:18">
      <c r="A13" s="117">
        <f>IF(ISBLANK(B13),"",MAX($A$12:$A12)+1)</f>
        <v>1</v>
      </c>
      <c r="B13" s="134" t="s">
        <v>9</v>
      </c>
      <c r="G13" s="229"/>
    </row>
    <row r="14" spans="1:18">
      <c r="A14" s="117">
        <f>IF(ISBLANK(B14),"",MAX($A$12:$A13)+1)</f>
        <v>2</v>
      </c>
      <c r="B14" s="34" t="s">
        <v>10</v>
      </c>
      <c r="D14" s="135">
        <f>G14+O14</f>
        <v>586098201.82738638</v>
      </c>
      <c r="E14" s="135">
        <f>E127</f>
        <v>363183290.26452982</v>
      </c>
      <c r="F14" s="135">
        <f>F127</f>
        <v>141001636.65916148</v>
      </c>
      <c r="G14" s="4">
        <f>SUM(E14:F14)</f>
        <v>504184926.92369127</v>
      </c>
      <c r="H14" s="4">
        <f t="shared" ref="H14:L14" si="0">H127</f>
        <v>29499277.893836688</v>
      </c>
      <c r="I14" s="4">
        <f t="shared" si="0"/>
        <v>3493190.4278196963</v>
      </c>
      <c r="J14" s="4">
        <f t="shared" si="0"/>
        <v>3105709.8570382725</v>
      </c>
      <c r="K14" s="4">
        <f t="shared" si="0"/>
        <v>36544388.188195042</v>
      </c>
      <c r="L14" s="4">
        <f t="shared" si="0"/>
        <v>5161539.4361869888</v>
      </c>
      <c r="M14" s="4">
        <f>M127</f>
        <v>1810606.5433021036</v>
      </c>
      <c r="N14" s="4">
        <f>N127</f>
        <v>2298562.5573163512</v>
      </c>
      <c r="O14" s="112">
        <f>SUM(H14:N14)</f>
        <v>81913274.903695136</v>
      </c>
      <c r="P14" s="155" t="s">
        <v>51</v>
      </c>
      <c r="R14" s="124">
        <f>G14+O14-D14</f>
        <v>0</v>
      </c>
    </row>
    <row r="15" spans="1:18">
      <c r="A15" s="117" t="str">
        <f>IF(ISBLANK(B15),"",MAX($A$12:$A14)+1)</f>
        <v/>
      </c>
      <c r="D15" s="559"/>
      <c r="E15" s="491"/>
      <c r="F15" s="135"/>
      <c r="G15" s="4"/>
      <c r="H15" s="4"/>
      <c r="I15" s="4"/>
      <c r="J15" s="4"/>
      <c r="K15" s="4"/>
      <c r="L15" s="4"/>
      <c r="M15" s="4"/>
      <c r="N15" s="4"/>
      <c r="O15" s="112"/>
      <c r="P15" s="155"/>
      <c r="R15" s="124"/>
    </row>
    <row r="16" spans="1:18">
      <c r="A16" s="117">
        <f>IF(ISBLANK(B16),"",MAX($A$12:$A15)+1)</f>
        <v>3</v>
      </c>
      <c r="B16" s="34" t="s">
        <v>11</v>
      </c>
      <c r="C16" s="554"/>
      <c r="D16" s="112">
        <f>G16+O16</f>
        <v>271160973.03734279</v>
      </c>
      <c r="E16" s="112">
        <f>'Section 3 Exhibit C'!D108</f>
        <v>158847713.33256602</v>
      </c>
      <c r="F16" s="112">
        <f>'Section 3 Exhibit C'!E108</f>
        <v>85737076.917776749</v>
      </c>
      <c r="G16" s="212">
        <f>SUM(E16:F16)</f>
        <v>244584790.25034279</v>
      </c>
      <c r="H16" s="112">
        <f>'Section 3 Exhibit C'!G108</f>
        <v>12736866.407000002</v>
      </c>
      <c r="I16" s="112">
        <f>'Section 3 Exhibit C'!H108</f>
        <v>1738165.58</v>
      </c>
      <c r="J16" s="112">
        <f>'Section 3 Exhibit C'!I108</f>
        <v>2001591.28</v>
      </c>
      <c r="K16" s="112">
        <f>'Section 3 Exhibit C'!J108</f>
        <v>6544677.0600000005</v>
      </c>
      <c r="L16" s="112">
        <f>'Section 3 Exhibit C'!K108</f>
        <v>1217238.74</v>
      </c>
      <c r="M16" s="112">
        <f>'Section 3 Exhibit C'!L108</f>
        <v>1792232.3199999994</v>
      </c>
      <c r="N16" s="112">
        <f>'Section 3 Exhibit C'!M108</f>
        <v>545411.4</v>
      </c>
      <c r="O16" s="212">
        <f>SUM(H16:N16)</f>
        <v>26576182.786999997</v>
      </c>
      <c r="P16" s="155" t="str">
        <f>"Section 3, Exhibit C, Line "&amp;'Section 3 Exhibit C'!A108</f>
        <v>Section 3, Exhibit C, Line 76</v>
      </c>
      <c r="R16" s="124">
        <f>G16+O16-D16</f>
        <v>0</v>
      </c>
    </row>
    <row r="17" spans="1:18" ht="15">
      <c r="A17" s="117" t="str">
        <f>IF(ISBLANK(B17),"",MAX($A$12:$A16)+1)</f>
        <v/>
      </c>
      <c r="B17" s="155"/>
      <c r="D17" s="232"/>
      <c r="E17" s="232"/>
      <c r="F17" s="232"/>
      <c r="G17" s="231"/>
      <c r="H17" s="232"/>
      <c r="I17" s="232"/>
      <c r="J17" s="232"/>
      <c r="K17" s="232"/>
      <c r="L17" s="232"/>
      <c r="M17" s="232"/>
      <c r="N17" s="232"/>
      <c r="O17" s="231"/>
      <c r="P17" s="155"/>
      <c r="R17" s="124">
        <f>G17+O17-D17</f>
        <v>0</v>
      </c>
    </row>
    <row r="18" spans="1:18">
      <c r="A18" s="117">
        <f>IF(ISBLANK(B18),"",MAX($A$12:$A17)+1)</f>
        <v>4</v>
      </c>
      <c r="B18" s="34" t="s">
        <v>13</v>
      </c>
      <c r="C18" s="210"/>
      <c r="D18" s="112">
        <f>G18+O18</f>
        <v>141376628.50693819</v>
      </c>
      <c r="E18" s="112">
        <f>'Section 3 Exhibit C'!D103</f>
        <v>83073976.777240381</v>
      </c>
      <c r="F18" s="112">
        <f>'Section 3 Exhibit C'!E103</f>
        <v>32290784.732697818</v>
      </c>
      <c r="G18" s="112">
        <f>SUM(E18:F18)</f>
        <v>115364761.5099382</v>
      </c>
      <c r="H18" s="112">
        <f>'Section 3 Exhibit C'!G103</f>
        <v>12736866.407000002</v>
      </c>
      <c r="I18" s="112">
        <f>'Section 3 Exhibit C'!H103</f>
        <v>1738165.58</v>
      </c>
      <c r="J18" s="112">
        <f>'Section 3 Exhibit C'!I103</f>
        <v>1437275.49</v>
      </c>
      <c r="K18" s="112">
        <f>'Section 3 Exhibit C'!J103</f>
        <v>6544677.0600000005</v>
      </c>
      <c r="L18" s="112">
        <f>'Section 3 Exhibit C'!K103</f>
        <v>1217238.74</v>
      </c>
      <c r="M18" s="112">
        <f>'Section 3 Exhibit C'!L103</f>
        <v>1792232.3199999994</v>
      </c>
      <c r="N18" s="112">
        <f>'Section 3 Exhibit C'!M103</f>
        <v>545411.4</v>
      </c>
      <c r="O18" s="112">
        <f>SUM(H18:N18)</f>
        <v>26011866.996999998</v>
      </c>
      <c r="P18" s="155" t="str">
        <f>"Section 3, Exhibit C, Line "&amp;'Section 3 Exhibit C'!A103</f>
        <v>Section 3, Exhibit C, Line 72</v>
      </c>
      <c r="R18" s="124">
        <f>G18+O18-D18</f>
        <v>0</v>
      </c>
    </row>
    <row r="19" spans="1:18">
      <c r="A19" s="117" t="str">
        <f>IF(ISBLANK(B19),"",MAX($A$12:$A18)+1)</f>
        <v/>
      </c>
      <c r="G19" s="229"/>
      <c r="O19" s="172"/>
      <c r="P19" s="155"/>
      <c r="R19" s="124"/>
    </row>
    <row r="20" spans="1:18">
      <c r="A20" s="117">
        <f>IF(ISBLANK(B20),"",MAX($A$12:$A19)+1)</f>
        <v>5</v>
      </c>
      <c r="B20" s="34" t="s">
        <v>14</v>
      </c>
      <c r="D20" s="135">
        <f>G20+O20</f>
        <v>145348180.19348383</v>
      </c>
      <c r="E20" s="135">
        <f>E84</f>
        <v>92177008.889210492</v>
      </c>
      <c r="F20" s="135">
        <f>F84</f>
        <v>33876089.508130647</v>
      </c>
      <c r="G20" s="209">
        <f>SUM(E20:F20)</f>
        <v>126053098.39734113</v>
      </c>
      <c r="H20" s="4">
        <f t="shared" ref="H20:L20" si="1">H84</f>
        <v>7070711.4796636961</v>
      </c>
      <c r="I20" s="4">
        <f>I84</f>
        <v>801785.06907207693</v>
      </c>
      <c r="J20" s="4">
        <f t="shared" si="1"/>
        <v>757217.44791075389</v>
      </c>
      <c r="K20" s="4">
        <f t="shared" si="1"/>
        <v>8350518.7904686797</v>
      </c>
      <c r="L20" s="4">
        <f t="shared" si="1"/>
        <v>1168711.9238669826</v>
      </c>
      <c r="M20" s="4">
        <f>M84</f>
        <v>544037.32414341532</v>
      </c>
      <c r="N20" s="4">
        <f>N84</f>
        <v>602099.7610170783</v>
      </c>
      <c r="O20" s="112">
        <f>SUM(H20:N20)</f>
        <v>19295081.796142682</v>
      </c>
      <c r="P20" s="155" t="s">
        <v>30</v>
      </c>
      <c r="R20" s="124">
        <f>G20+O20-D20</f>
        <v>0</v>
      </c>
    </row>
    <row r="21" spans="1:18">
      <c r="A21" s="117" t="str">
        <f>IF(ISBLANK(B21),"",MAX($A$12:$A20)+1)</f>
        <v/>
      </c>
      <c r="O21" s="172"/>
      <c r="P21" s="155"/>
      <c r="R21" s="124">
        <f>G21+O21-D21</f>
        <v>0</v>
      </c>
    </row>
    <row r="22" spans="1:18">
      <c r="A22" s="117">
        <f>IF(ISBLANK(B22),"",MAX($A$12:$A21)+1)</f>
        <v>6</v>
      </c>
      <c r="B22" s="155" t="s">
        <v>604</v>
      </c>
      <c r="C22" s="210"/>
      <c r="D22" s="211"/>
      <c r="E22" s="210">
        <f>E20-E18</f>
        <v>9103032.1119701117</v>
      </c>
      <c r="F22" s="210">
        <f>F20-F18</f>
        <v>1585304.7754328288</v>
      </c>
      <c r="G22" s="212">
        <f>SUM(E22:F22)</f>
        <v>10688336.887402941</v>
      </c>
      <c r="H22" s="212"/>
      <c r="I22" s="212"/>
      <c r="J22" s="212"/>
      <c r="K22" s="212"/>
      <c r="L22" s="212"/>
      <c r="M22" s="212"/>
      <c r="N22" s="212"/>
      <c r="O22" s="112"/>
      <c r="P22" s="155" t="str">
        <f>"Line "&amp;A20&amp;" - Line "&amp;A18</f>
        <v>Line 5 - Line 4</v>
      </c>
      <c r="R22" s="124"/>
    </row>
    <row r="23" spans="1:18">
      <c r="A23" s="117">
        <f>IF(ISBLANK(B23),"",MAX($A$12:$A22)+1)</f>
        <v>7</v>
      </c>
      <c r="B23" s="155" t="s">
        <v>15</v>
      </c>
      <c r="C23" s="155"/>
      <c r="D23" s="155"/>
      <c r="E23" s="213">
        <f>E22/E16</f>
        <v>5.730666133614315E-2</v>
      </c>
      <c r="F23" s="213">
        <f>F22/F16</f>
        <v>1.8490305856276881E-2</v>
      </c>
      <c r="G23" s="214">
        <f>G22/G16</f>
        <v>4.3699924580195601E-2</v>
      </c>
      <c r="H23" s="214"/>
      <c r="I23" s="214"/>
      <c r="J23" s="214"/>
      <c r="K23" s="214"/>
      <c r="L23" s="214"/>
      <c r="M23" s="214"/>
      <c r="N23" s="214"/>
      <c r="O23" s="214"/>
      <c r="P23" s="155" t="str">
        <f>"Line "&amp;A22&amp;" / Line "&amp;A16</f>
        <v>Line 6 / Line 3</v>
      </c>
      <c r="R23" s="124">
        <f>G23+O23-D23</f>
        <v>4.3699924580195601E-2</v>
      </c>
    </row>
    <row r="24" spans="1:18">
      <c r="A24" s="117" t="str">
        <f>IF(ISBLANK(B24),"",MAX($A$12:$A23)+1)</f>
        <v/>
      </c>
      <c r="B24" s="155"/>
      <c r="C24" s="155"/>
      <c r="D24" s="155"/>
      <c r="E24" s="155"/>
      <c r="F24" s="155"/>
      <c r="G24" s="172"/>
      <c r="H24" s="172"/>
      <c r="I24" s="172"/>
      <c r="J24" s="172"/>
      <c r="K24" s="172"/>
      <c r="L24" s="172"/>
      <c r="M24" s="172"/>
      <c r="N24" s="172"/>
      <c r="O24" s="172"/>
      <c r="P24" s="155"/>
      <c r="R24" s="124">
        <f>G24+O24-D24</f>
        <v>0</v>
      </c>
    </row>
    <row r="25" spans="1:18">
      <c r="A25" s="117">
        <f>IF(ISBLANK(B25),"",MAX($A$12:$A24)+1)</f>
        <v>8</v>
      </c>
      <c r="B25" s="155" t="s">
        <v>605</v>
      </c>
      <c r="C25" s="155"/>
      <c r="D25" s="211"/>
      <c r="E25" s="211">
        <f>+'Revenue Proof'!D103</f>
        <v>9102699.2219387218</v>
      </c>
      <c r="F25" s="211">
        <f>+'Revenue Proof'!E103</f>
        <v>1586570.0340553652</v>
      </c>
      <c r="G25" s="112">
        <f>SUM(E25:F25)</f>
        <v>10689269.255994087</v>
      </c>
      <c r="H25" s="172"/>
      <c r="I25" s="172"/>
      <c r="J25" s="172"/>
      <c r="K25" s="172"/>
      <c r="L25" s="172"/>
      <c r="M25" s="172"/>
      <c r="N25" s="172"/>
      <c r="O25" s="112"/>
      <c r="P25" s="155" t="str">
        <f>"Exhibit DNH-10, Page 3, Line "&amp;'Revenue Proof'!A103</f>
        <v>Exhibit DNH-10, Page 3, Line 77</v>
      </c>
      <c r="R25" s="124"/>
    </row>
    <row r="26" spans="1:18">
      <c r="A26" s="117">
        <f>IF(ISBLANK(B26),"",MAX($A$12:$A25)+1)</f>
        <v>9</v>
      </c>
      <c r="B26" s="155" t="s">
        <v>15</v>
      </c>
      <c r="C26" s="155"/>
      <c r="D26" s="155"/>
      <c r="E26" s="213">
        <f>+E25/E16</f>
        <v>5.7304565680975028E-2</v>
      </c>
      <c r="F26" s="213">
        <f>+F25/F16</f>
        <v>1.8505063282912151E-2</v>
      </c>
      <c r="G26" s="213">
        <f>+G25/G16</f>
        <v>4.370373662668546E-2</v>
      </c>
      <c r="H26" s="214"/>
      <c r="I26" s="214"/>
      <c r="J26" s="214"/>
      <c r="K26" s="214"/>
      <c r="L26" s="214"/>
      <c r="M26" s="214"/>
      <c r="N26" s="214"/>
      <c r="O26" s="214"/>
      <c r="P26" s="155"/>
      <c r="R26" s="124"/>
    </row>
    <row r="27" spans="1:18">
      <c r="A27" s="117" t="str">
        <f>IF(ISBLANK(B27),"",MAX($A$12:$A26)+1)</f>
        <v/>
      </c>
      <c r="B27" s="155"/>
      <c r="C27" s="155"/>
      <c r="D27" s="155"/>
      <c r="E27" s="155"/>
      <c r="F27" s="155"/>
      <c r="G27" s="172"/>
      <c r="H27" s="172"/>
      <c r="I27" s="172"/>
      <c r="J27" s="172"/>
      <c r="K27" s="172"/>
      <c r="L27" s="172"/>
      <c r="M27" s="172"/>
      <c r="N27" s="172"/>
      <c r="O27" s="172"/>
      <c r="P27" s="155"/>
      <c r="R27" s="124"/>
    </row>
    <row r="28" spans="1:18">
      <c r="A28" s="117">
        <f>IF(ISBLANK(B28),"",MAX($A$12:$A27)+1)</f>
        <v>10</v>
      </c>
      <c r="B28" s="155" t="s">
        <v>16</v>
      </c>
      <c r="C28" s="213">
        <v>0.2717</v>
      </c>
      <c r="D28" s="211"/>
      <c r="E28" s="211">
        <f>E$25*$C$28</f>
        <v>2473203.3786007506</v>
      </c>
      <c r="F28" s="211">
        <f>F$25*$C$28</f>
        <v>431071.07825284271</v>
      </c>
      <c r="G28" s="112">
        <f>SUM(E28:F28)</f>
        <v>2904274.4568535932</v>
      </c>
      <c r="H28" s="112"/>
      <c r="I28" s="112"/>
      <c r="J28" s="112"/>
      <c r="K28" s="112"/>
      <c r="L28" s="112"/>
      <c r="M28" s="112"/>
      <c r="N28" s="112"/>
      <c r="O28" s="112"/>
      <c r="P28" s="155" t="str">
        <f>"Line "&amp;A25&amp;" x Incremental Taxes at 27.17%"</f>
        <v>Line 8 x Incremental Taxes at 27.17%</v>
      </c>
      <c r="R28" s="124"/>
    </row>
    <row r="29" spans="1:18">
      <c r="A29" s="117" t="str">
        <f>IF(ISBLANK(B29),"",MAX($A$12:$A28)+1)</f>
        <v/>
      </c>
      <c r="B29" s="155"/>
      <c r="C29" s="155"/>
      <c r="D29" s="211"/>
      <c r="E29" s="211"/>
      <c r="F29" s="211"/>
      <c r="G29" s="112"/>
      <c r="H29" s="112"/>
      <c r="I29" s="112"/>
      <c r="J29" s="112"/>
      <c r="K29" s="112"/>
      <c r="L29" s="112"/>
      <c r="M29" s="112"/>
      <c r="N29" s="112"/>
      <c r="O29" s="112"/>
      <c r="P29" s="155"/>
      <c r="R29" s="124"/>
    </row>
    <row r="30" spans="1:18">
      <c r="A30" s="117">
        <f>IF(ISBLANK(B30),"",MAX($A$12:$A29)+1)</f>
        <v>11</v>
      </c>
      <c r="B30" s="155" t="s">
        <v>17</v>
      </c>
      <c r="C30" s="155"/>
      <c r="D30" s="211"/>
      <c r="E30" s="211">
        <f>E25-E28</f>
        <v>6629495.8433379717</v>
      </c>
      <c r="F30" s="211">
        <f>F25-F28</f>
        <v>1155498.9558025226</v>
      </c>
      <c r="G30" s="112">
        <f>SUM(E30:F30)</f>
        <v>7784994.7991404943</v>
      </c>
      <c r="H30" s="112"/>
      <c r="I30" s="112"/>
      <c r="J30" s="112"/>
      <c r="K30" s="112"/>
      <c r="L30" s="112"/>
      <c r="M30" s="112"/>
      <c r="N30" s="112"/>
      <c r="O30" s="112"/>
      <c r="P30" s="155" t="str">
        <f>"Line "&amp;A25&amp;" - Line "&amp;A28</f>
        <v>Line 8 - Line 10</v>
      </c>
      <c r="R30" s="124"/>
    </row>
    <row r="31" spans="1:18">
      <c r="A31" s="117" t="str">
        <f>IF(ISBLANK(B31),"",MAX($A$12:$A30)+1)</f>
        <v/>
      </c>
      <c r="B31" s="155"/>
      <c r="C31" s="155"/>
      <c r="D31" s="155"/>
      <c r="E31" s="155"/>
      <c r="F31" s="155"/>
      <c r="G31" s="112"/>
      <c r="H31" s="112"/>
      <c r="I31" s="112"/>
      <c r="J31" s="112"/>
      <c r="K31" s="112"/>
      <c r="L31" s="112"/>
      <c r="M31" s="112"/>
      <c r="N31" s="112"/>
      <c r="O31" s="112"/>
      <c r="P31" s="155"/>
      <c r="R31" s="124"/>
    </row>
    <row r="32" spans="1:18">
      <c r="A32" s="117">
        <f>IF(ISBLANK(B32),"",MAX($A$12:$A31)+1)</f>
        <v>12</v>
      </c>
      <c r="B32" s="155" t="s">
        <v>606</v>
      </c>
      <c r="C32" s="155"/>
      <c r="D32" s="491"/>
      <c r="E32" s="211">
        <f>E30+E36</f>
        <v>24369356.334224615</v>
      </c>
      <c r="F32" s="211">
        <f>F30+F36</f>
        <v>9462131.3081832305</v>
      </c>
      <c r="G32" s="112">
        <f>SUM(E32:F32)</f>
        <v>33831487.642407849</v>
      </c>
      <c r="H32" s="211"/>
      <c r="I32" s="211"/>
      <c r="J32" s="211"/>
      <c r="K32" s="211"/>
      <c r="L32" s="211"/>
      <c r="M32" s="211"/>
      <c r="N32" s="211"/>
      <c r="O32" s="112"/>
      <c r="P32" s="155" t="str">
        <f>"Line "&amp;A30&amp;" + Line "&amp;A36</f>
        <v>Line 11 + Line 14</v>
      </c>
      <c r="R32" s="124"/>
    </row>
    <row r="33" spans="1:18">
      <c r="A33" s="117" t="str">
        <f>IF(ISBLANK(B33),"",MAX($A$12:$A32)+1)</f>
        <v/>
      </c>
      <c r="B33" s="155"/>
      <c r="C33" s="155"/>
      <c r="D33" s="366"/>
      <c r="E33" s="155"/>
      <c r="F33" s="155"/>
      <c r="G33" s="172"/>
      <c r="H33" s="155"/>
      <c r="I33" s="155"/>
      <c r="J33" s="155"/>
      <c r="K33" s="155"/>
      <c r="L33" s="155"/>
      <c r="M33" s="155"/>
      <c r="N33" s="155"/>
      <c r="O33" s="172"/>
      <c r="P33" s="155"/>
      <c r="R33" s="124"/>
    </row>
    <row r="34" spans="1:18">
      <c r="A34" s="117">
        <f>IF(ISBLANK(B34),"",MAX($A$12:$A33)+1)</f>
        <v>13</v>
      </c>
      <c r="B34" s="366" t="s">
        <v>607</v>
      </c>
      <c r="C34" s="366"/>
      <c r="D34" s="624"/>
      <c r="E34" s="215">
        <f>E32/E14</f>
        <v>6.7099332451321866E-2</v>
      </c>
      <c r="F34" s="215">
        <f>F32/F14</f>
        <v>6.7106535302534978E-2</v>
      </c>
      <c r="G34" s="216">
        <f>G32/G14</f>
        <v>6.7101346818978322E-2</v>
      </c>
      <c r="H34" s="624"/>
      <c r="I34" s="624"/>
      <c r="J34" s="624"/>
      <c r="K34" s="624"/>
      <c r="L34" s="624"/>
      <c r="M34" s="624"/>
      <c r="N34" s="624"/>
      <c r="O34" s="624"/>
      <c r="P34" s="155" t="str">
        <f>"Line "&amp;A32&amp;" / Line "&amp;A14</f>
        <v>Line 12 / Line 2</v>
      </c>
      <c r="R34" s="124"/>
    </row>
    <row r="35" spans="1:18">
      <c r="A35" s="117" t="str">
        <f>IF(ISBLANK(B35),"",MAX($A$12:$A34)+1)</f>
        <v/>
      </c>
      <c r="B35" s="155"/>
      <c r="C35" s="155"/>
      <c r="D35" s="366"/>
      <c r="E35" s="155"/>
      <c r="F35" s="155"/>
      <c r="G35" s="172"/>
      <c r="H35" s="155"/>
      <c r="I35" s="155"/>
      <c r="J35" s="155"/>
      <c r="K35" s="155"/>
      <c r="L35" s="155"/>
      <c r="M35" s="155"/>
      <c r="N35" s="155"/>
      <c r="O35" s="172"/>
      <c r="P35" s="155"/>
      <c r="R35" s="124"/>
    </row>
    <row r="36" spans="1:18">
      <c r="A36" s="117">
        <f>IF(ISBLANK(B36),"",MAX($A$12:$A35)+1)</f>
        <v>14</v>
      </c>
      <c r="B36" s="155" t="s">
        <v>18</v>
      </c>
      <c r="C36" s="155"/>
      <c r="D36" s="491"/>
      <c r="E36" s="211">
        <f>Functional!$E$16*E14-E22*(1-$C28)</f>
        <v>17739860.490886644</v>
      </c>
      <c r="F36" s="211">
        <f>Functional!$E$16*F14-F22*(1-$C28)</f>
        <v>8306632.3523807079</v>
      </c>
      <c r="G36" s="112">
        <f>SUM(E36:F36)</f>
        <v>26046492.843267351</v>
      </c>
      <c r="H36" s="211"/>
      <c r="I36" s="211"/>
      <c r="J36" s="211"/>
      <c r="K36" s="211"/>
      <c r="L36" s="211"/>
      <c r="M36" s="211"/>
      <c r="N36" s="211"/>
      <c r="O36" s="112"/>
      <c r="P36" s="155" t="str">
        <f>"Sec 4, Exh A, Table 1, Line "&amp;Functional!A16 &amp;" x Line "&amp;A14&amp;" - Line "&amp;A22&amp;" x (1-Line "&amp;A28&amp;")"</f>
        <v>Sec 4, Exh A, Table 1, Line 3 x Line 2 - Line 6 x (1-Line 10)</v>
      </c>
      <c r="R36" s="124"/>
    </row>
    <row r="37" spans="1:18">
      <c r="A37" s="117" t="str">
        <f>IF(ISBLANK(B37),"",MAX($A$12:$A36)+1)</f>
        <v/>
      </c>
      <c r="B37" s="155"/>
      <c r="C37" s="155"/>
      <c r="D37" s="637"/>
      <c r="E37" s="155"/>
      <c r="F37" s="155"/>
      <c r="G37" s="172"/>
      <c r="H37" s="155"/>
      <c r="I37" s="155"/>
      <c r="J37" s="155"/>
      <c r="K37" s="155"/>
      <c r="L37" s="155"/>
      <c r="M37" s="155"/>
      <c r="N37" s="155"/>
      <c r="O37" s="172"/>
      <c r="P37" s="155"/>
      <c r="R37" s="124"/>
    </row>
    <row r="38" spans="1:18">
      <c r="A38" s="117">
        <f>IF(ISBLANK(B38),"",MAX($A$12:$A37)+1)</f>
        <v>15</v>
      </c>
      <c r="B38" s="155" t="s">
        <v>19</v>
      </c>
      <c r="C38" s="155"/>
      <c r="D38" s="624"/>
      <c r="E38" s="213">
        <f>E36/E14</f>
        <v>4.8845475456664206E-2</v>
      </c>
      <c r="F38" s="213">
        <f>F36/F14</f>
        <v>5.891160236997852E-2</v>
      </c>
      <c r="G38" s="214">
        <f>G36/G14</f>
        <v>5.1660594064545498E-2</v>
      </c>
      <c r="H38" s="213"/>
      <c r="I38" s="213"/>
      <c r="J38" s="213"/>
      <c r="K38" s="213"/>
      <c r="L38" s="213"/>
      <c r="M38" s="213"/>
      <c r="N38" s="213"/>
      <c r="O38" s="213"/>
      <c r="P38" s="155" t="str">
        <f>"Line "&amp;A36&amp;" / Line "&amp;A14</f>
        <v>Line 14 / Line 2</v>
      </c>
      <c r="R38" s="124"/>
    </row>
    <row r="39" spans="1:18">
      <c r="A39" s="117" t="str">
        <f>IF(ISBLANK(B39),"",MAX($A$12:$A38)+1)</f>
        <v/>
      </c>
      <c r="B39" s="155"/>
      <c r="C39" s="155"/>
      <c r="D39" s="217"/>
      <c r="E39" s="155"/>
      <c r="F39" s="155"/>
      <c r="G39" s="172"/>
      <c r="H39" s="172"/>
      <c r="I39" s="172"/>
      <c r="J39" s="172"/>
      <c r="K39" s="172"/>
      <c r="L39" s="172"/>
      <c r="M39" s="172"/>
      <c r="N39" s="172"/>
      <c r="O39" s="172"/>
    </row>
    <row r="40" spans="1:18" s="155" customFormat="1">
      <c r="A40" s="225"/>
      <c r="D40" s="226"/>
      <c r="G40" s="226"/>
      <c r="H40" s="172"/>
      <c r="I40" s="172"/>
      <c r="J40" s="172"/>
      <c r="K40" s="172"/>
      <c r="L40" s="172"/>
      <c r="M40" s="172"/>
      <c r="N40" s="172"/>
      <c r="O40" s="226"/>
    </row>
    <row r="41" spans="1:18">
      <c r="A41" s="113" t="str">
        <f>A1</f>
        <v>Black Hills Nebraska Gas, LLC</v>
      </c>
      <c r="B41" s="115"/>
      <c r="C41" s="115"/>
      <c r="D41" s="115"/>
      <c r="E41" s="115"/>
      <c r="F41" s="115"/>
      <c r="G41" s="634" t="s">
        <v>676</v>
      </c>
      <c r="H41" s="196"/>
      <c r="I41" s="196"/>
      <c r="J41" s="196"/>
      <c r="K41" s="196"/>
      <c r="L41" s="196"/>
      <c r="M41" s="196"/>
      <c r="N41" s="196"/>
      <c r="O41" s="196"/>
      <c r="P41" s="634" t="s">
        <v>676</v>
      </c>
      <c r="Q41" s="116"/>
    </row>
    <row r="42" spans="1:18">
      <c r="A42" s="113" t="s">
        <v>482</v>
      </c>
      <c r="B42" s="115"/>
      <c r="C42" s="115"/>
      <c r="D42" s="115"/>
      <c r="E42" s="115"/>
      <c r="F42" s="115"/>
      <c r="G42" s="634" t="s">
        <v>37</v>
      </c>
      <c r="H42" s="196"/>
      <c r="I42" s="196"/>
      <c r="J42" s="196"/>
      <c r="K42" s="196"/>
      <c r="L42" s="196"/>
      <c r="M42" s="196"/>
      <c r="N42" s="196"/>
      <c r="O42" s="196"/>
      <c r="P42" s="634" t="s">
        <v>37</v>
      </c>
      <c r="Q42" s="116"/>
    </row>
    <row r="43" spans="1:18">
      <c r="A43" s="113" t="str">
        <f>A3</f>
        <v>FOR THE PRO FORMA PERIOD ENDED DECEMBER 31, 2020</v>
      </c>
      <c r="B43" s="115"/>
      <c r="C43" s="115"/>
      <c r="D43" s="115"/>
      <c r="E43" s="115"/>
      <c r="F43" s="115"/>
      <c r="G43" s="634" t="s">
        <v>75</v>
      </c>
      <c r="H43" s="196"/>
      <c r="I43" s="196"/>
      <c r="J43" s="196"/>
      <c r="K43" s="196"/>
      <c r="L43" s="196"/>
      <c r="M43" s="196"/>
      <c r="N43" s="196"/>
      <c r="O43" s="196"/>
      <c r="P43" s="634" t="s">
        <v>60</v>
      </c>
      <c r="Q43" s="116"/>
    </row>
    <row r="44" spans="1:18">
      <c r="A44" s="195"/>
    </row>
    <row r="46" spans="1:18">
      <c r="A46" s="117"/>
      <c r="B46" s="115" t="s">
        <v>0</v>
      </c>
      <c r="C46" s="115"/>
      <c r="D46" s="117" t="s">
        <v>1</v>
      </c>
      <c r="E46" s="117" t="s">
        <v>2</v>
      </c>
      <c r="F46" s="117" t="s">
        <v>3</v>
      </c>
      <c r="G46" s="117" t="s">
        <v>4</v>
      </c>
      <c r="H46" s="117" t="s">
        <v>5</v>
      </c>
      <c r="I46" s="117" t="s">
        <v>26</v>
      </c>
      <c r="J46" s="117" t="s">
        <v>61</v>
      </c>
      <c r="K46" s="117" t="s">
        <v>62</v>
      </c>
      <c r="L46" s="117" t="s">
        <v>63</v>
      </c>
      <c r="M46" s="117" t="s">
        <v>64</v>
      </c>
      <c r="N46" s="117" t="s">
        <v>79</v>
      </c>
      <c r="O46" s="117" t="s">
        <v>80</v>
      </c>
      <c r="P46" s="117" t="s">
        <v>81</v>
      </c>
    </row>
    <row r="48" spans="1:18">
      <c r="A48" s="118"/>
      <c r="B48" s="119"/>
      <c r="C48" s="120"/>
      <c r="D48" s="118"/>
      <c r="E48" s="118"/>
      <c r="F48" s="118"/>
      <c r="G48" s="201"/>
      <c r="H48" s="218" t="str">
        <f>H$8</f>
        <v>Non-Jurisdictional Customer Classes (View as Aggregate)</v>
      </c>
      <c r="I48" s="219"/>
      <c r="J48" s="219"/>
      <c r="K48" s="219"/>
      <c r="L48" s="219"/>
      <c r="M48" s="219"/>
      <c r="N48" s="219"/>
      <c r="O48" s="201" t="str">
        <f>$O$8</f>
        <v>Total</v>
      </c>
      <c r="P48" s="118"/>
    </row>
    <row r="49" spans="1:18">
      <c r="A49" s="125" t="s">
        <v>6</v>
      </c>
      <c r="B49" s="126"/>
      <c r="C49" s="117"/>
      <c r="D49" s="125" t="str">
        <f>$D$9</f>
        <v>Total</v>
      </c>
      <c r="E49" s="125" t="str">
        <f>$E$9</f>
        <v>Residential</v>
      </c>
      <c r="F49" s="125" t="str">
        <f>$F$9</f>
        <v>Commercial</v>
      </c>
      <c r="G49" s="205" t="str">
        <f>$G$9</f>
        <v>Total</v>
      </c>
      <c r="H49" s="205"/>
      <c r="I49" s="205"/>
      <c r="J49" s="205" t="str">
        <f>J$9</f>
        <v>Interruptible</v>
      </c>
      <c r="K49" s="205" t="str">
        <f>K$9</f>
        <v>Negotiated</v>
      </c>
      <c r="L49" s="205" t="str">
        <f>L$9</f>
        <v>Negotiated</v>
      </c>
      <c r="M49" s="220" t="str">
        <f>+$M$9</f>
        <v>Negotiated</v>
      </c>
      <c r="N49" s="203" t="s">
        <v>418</v>
      </c>
      <c r="O49" s="205" t="str">
        <f>$O$9</f>
        <v>Non-</v>
      </c>
      <c r="P49" s="125"/>
    </row>
    <row r="50" spans="1:18">
      <c r="A50" s="130" t="s">
        <v>7</v>
      </c>
      <c r="B50" s="127" t="s">
        <v>8</v>
      </c>
      <c r="C50" s="129"/>
      <c r="D50" s="130" t="str">
        <f>$D$10</f>
        <v>Nebraska</v>
      </c>
      <c r="E50" s="130" t="str">
        <f>$E$10</f>
        <v>Service</v>
      </c>
      <c r="F50" s="130" t="str">
        <f>$F$10</f>
        <v>Service</v>
      </c>
      <c r="G50" s="208" t="str">
        <f>$G$10</f>
        <v>Jurisdictional</v>
      </c>
      <c r="H50" s="208" t="str">
        <f>H$10</f>
        <v>Agricultural</v>
      </c>
      <c r="I50" s="208" t="str">
        <f t="shared" ref="I50:M50" si="2">I$10</f>
        <v>Maximum Rate</v>
      </c>
      <c r="J50" s="208" t="str">
        <f t="shared" si="2"/>
        <v>Sales</v>
      </c>
      <c r="K50" s="208" t="str">
        <f t="shared" si="2"/>
        <v>Distribution</v>
      </c>
      <c r="L50" s="208" t="str">
        <f t="shared" si="2"/>
        <v>Transmission</v>
      </c>
      <c r="M50" s="221" t="str">
        <f t="shared" si="2"/>
        <v>Direct</v>
      </c>
      <c r="N50" s="207" t="s">
        <v>41</v>
      </c>
      <c r="O50" s="208" t="str">
        <f>$O$10</f>
        <v>Jurisdictional</v>
      </c>
      <c r="P50" s="130" t="s">
        <v>28</v>
      </c>
    </row>
    <row r="51" spans="1:18">
      <c r="A51" s="117"/>
      <c r="B51" s="117"/>
      <c r="C51" s="117"/>
      <c r="D51" s="117" t="s">
        <v>27</v>
      </c>
      <c r="E51" s="117" t="s">
        <v>27</v>
      </c>
      <c r="F51" s="117" t="s">
        <v>27</v>
      </c>
      <c r="G51" s="148" t="s">
        <v>27</v>
      </c>
      <c r="H51" s="148" t="s">
        <v>27</v>
      </c>
      <c r="I51" s="148" t="s">
        <v>27</v>
      </c>
      <c r="J51" s="148" t="s">
        <v>27</v>
      </c>
      <c r="K51" s="148" t="s">
        <v>27</v>
      </c>
      <c r="L51" s="148" t="s">
        <v>27</v>
      </c>
      <c r="M51" s="148" t="s">
        <v>27</v>
      </c>
      <c r="N51" s="148" t="s">
        <v>27</v>
      </c>
      <c r="O51" s="148"/>
      <c r="P51" s="117"/>
    </row>
    <row r="52" spans="1:18">
      <c r="A52" s="117"/>
    </row>
    <row r="53" spans="1:18">
      <c r="A53" s="117">
        <f>IF(ISBLANK(B53),"",MAX($A$52:$A52)+1)</f>
        <v>1</v>
      </c>
      <c r="B53" s="134" t="s">
        <v>30</v>
      </c>
    </row>
    <row r="54" spans="1:18">
      <c r="A54" s="117" t="str">
        <f>IF(ISBLANK(B54),"",MAX($A$52:$A53)+1)</f>
        <v/>
      </c>
    </row>
    <row r="55" spans="1:18">
      <c r="A55" s="117">
        <f>IF(ISBLANK(B55),"",MAX($A$52:$A54)+1)</f>
        <v>2</v>
      </c>
      <c r="B55" s="140" t="s">
        <v>41</v>
      </c>
      <c r="D55" s="135">
        <f>Functional!F25</f>
        <v>107250.30642234893</v>
      </c>
      <c r="E55" s="135">
        <f>$D55*E$144</f>
        <v>62617.386509365642</v>
      </c>
      <c r="F55" s="135">
        <f>$D55*F$144</f>
        <v>44166.584457690442</v>
      </c>
      <c r="G55" s="4">
        <f>SUM(E55:F55)</f>
        <v>106783.97096705608</v>
      </c>
      <c r="H55" s="4">
        <f t="shared" ref="H55:N55" si="3">$D55*H$144</f>
        <v>0</v>
      </c>
      <c r="I55" s="4">
        <f t="shared" si="3"/>
        <v>0</v>
      </c>
      <c r="J55" s="4">
        <f t="shared" si="3"/>
        <v>466.3354552928468</v>
      </c>
      <c r="K55" s="4">
        <f t="shared" si="3"/>
        <v>0</v>
      </c>
      <c r="L55" s="4">
        <f t="shared" si="3"/>
        <v>0</v>
      </c>
      <c r="M55" s="4">
        <f t="shared" si="3"/>
        <v>0</v>
      </c>
      <c r="N55" s="4">
        <f t="shared" si="3"/>
        <v>0</v>
      </c>
      <c r="O55" s="112">
        <f>SUM(H55:M55)</f>
        <v>466.3354552928468</v>
      </c>
      <c r="P55" s="140" t="s">
        <v>12</v>
      </c>
      <c r="R55" s="124">
        <f t="shared" ref="R55:R74" si="4">G55+O55-D55</f>
        <v>0</v>
      </c>
    </row>
    <row r="56" spans="1:18">
      <c r="A56" s="225" t="str">
        <f>IF(ISBLANK(B56),"",MAX($A$52:$A55)+1)</f>
        <v/>
      </c>
      <c r="B56" s="167"/>
      <c r="C56" s="155"/>
      <c r="D56" s="211"/>
      <c r="E56" s="211"/>
      <c r="F56" s="211"/>
      <c r="G56" s="112"/>
      <c r="H56" s="112"/>
      <c r="I56" s="112"/>
      <c r="J56" s="112"/>
      <c r="K56" s="112"/>
      <c r="L56" s="112"/>
      <c r="M56" s="112"/>
      <c r="N56" s="112"/>
      <c r="O56" s="112"/>
      <c r="P56" s="167"/>
      <c r="R56" s="124">
        <f t="shared" si="4"/>
        <v>0</v>
      </c>
    </row>
    <row r="57" spans="1:18">
      <c r="A57" s="225">
        <f>IF(ISBLANK(B57),"",MAX($A$52:$A56)+1)</f>
        <v>3</v>
      </c>
      <c r="B57" s="167" t="s">
        <v>42</v>
      </c>
      <c r="C57" s="155"/>
      <c r="D57" s="211"/>
      <c r="E57" s="211"/>
      <c r="F57" s="211"/>
      <c r="G57" s="112"/>
      <c r="H57" s="112"/>
      <c r="I57" s="112"/>
      <c r="J57" s="112"/>
      <c r="K57" s="112"/>
      <c r="L57" s="112"/>
      <c r="M57" s="112"/>
      <c r="N57" s="112"/>
      <c r="O57" s="112"/>
      <c r="P57" s="167"/>
      <c r="R57" s="124">
        <f t="shared" si="4"/>
        <v>0</v>
      </c>
    </row>
    <row r="58" spans="1:18">
      <c r="A58" s="225">
        <f>IF(ISBLANK(B58),"",MAX($A$52:$A57)+1)</f>
        <v>4</v>
      </c>
      <c r="B58" s="228" t="s">
        <v>43</v>
      </c>
      <c r="C58" s="155"/>
      <c r="D58" s="211">
        <f>Functional!G25</f>
        <v>5191613.2211591294</v>
      </c>
      <c r="E58" s="211">
        <f>$D58*E$148</f>
        <v>2326626.0604011109</v>
      </c>
      <c r="F58" s="211">
        <f>$D58*F$148</f>
        <v>1578892.0525892531</v>
      </c>
      <c r="G58" s="112">
        <f>SUM(E58:F58)</f>
        <v>3905518.112990364</v>
      </c>
      <c r="H58" s="112">
        <f t="shared" ref="H58:N58" si="5">$D58*H$148</f>
        <v>125076.4122327159</v>
      </c>
      <c r="I58" s="112">
        <f t="shared" si="5"/>
        <v>61253.149558849749</v>
      </c>
      <c r="J58" s="112">
        <f t="shared" si="5"/>
        <v>27965.786007976119</v>
      </c>
      <c r="K58" s="112">
        <f t="shared" si="5"/>
        <v>692494.76702860708</v>
      </c>
      <c r="L58" s="112">
        <f t="shared" si="5"/>
        <v>379304.99334061606</v>
      </c>
      <c r="M58" s="112">
        <f t="shared" si="5"/>
        <v>0</v>
      </c>
      <c r="N58" s="112">
        <f t="shared" si="5"/>
        <v>0</v>
      </c>
      <c r="O58" s="112">
        <f>SUM(H58:N58)</f>
        <v>1286095.108168765</v>
      </c>
      <c r="P58" s="167" t="str">
        <f>B146</f>
        <v>Winter Period Peak Demand - Transmission</v>
      </c>
      <c r="R58" s="124">
        <f t="shared" si="4"/>
        <v>0</v>
      </c>
    </row>
    <row r="59" spans="1:18" ht="15">
      <c r="A59" s="225">
        <f>IF(ISBLANK(B59),"",MAX($A$52:$A58)+1)</f>
        <v>5</v>
      </c>
      <c r="B59" s="228" t="s">
        <v>33</v>
      </c>
      <c r="C59" s="155"/>
      <c r="D59" s="230">
        <f>Functional!H25</f>
        <v>5194280.6389834629</v>
      </c>
      <c r="E59" s="230">
        <f>$D59*E156</f>
        <v>1648900.242876427</v>
      </c>
      <c r="F59" s="230">
        <f>$D59*F156</f>
        <v>1166814.4823634084</v>
      </c>
      <c r="G59" s="232">
        <f>SUM(E59:F59)</f>
        <v>2815714.7252398357</v>
      </c>
      <c r="H59" s="230">
        <f t="shared" ref="H59:N59" si="6">$D59*H156</f>
        <v>378977.11649037647</v>
      </c>
      <c r="I59" s="230">
        <f t="shared" si="6"/>
        <v>103364.03839498355</v>
      </c>
      <c r="J59" s="230">
        <f t="shared" si="6"/>
        <v>84735.344998307468</v>
      </c>
      <c r="K59" s="230">
        <f t="shared" si="6"/>
        <v>1071005.4575698201</v>
      </c>
      <c r="L59" s="230">
        <f t="shared" si="6"/>
        <v>740483.95629013947</v>
      </c>
      <c r="M59" s="230">
        <f t="shared" si="6"/>
        <v>0</v>
      </c>
      <c r="N59" s="230">
        <f t="shared" si="6"/>
        <v>0</v>
      </c>
      <c r="O59" s="232">
        <f>SUM(H59:N59)</f>
        <v>2378565.9137436273</v>
      </c>
      <c r="P59" s="167" t="str">
        <f>+B154</f>
        <v>Commodity - Transmission</v>
      </c>
      <c r="R59" s="124">
        <f t="shared" si="4"/>
        <v>0</v>
      </c>
    </row>
    <row r="60" spans="1:18">
      <c r="A60" s="225">
        <f>IF(ISBLANK(B60),"",MAX($A$52:$A59)+1)</f>
        <v>6</v>
      </c>
      <c r="B60" s="228" t="s">
        <v>44</v>
      </c>
      <c r="C60" s="155"/>
      <c r="D60" s="211">
        <f>SUM(D58:D59)</f>
        <v>10385893.860142592</v>
      </c>
      <c r="E60" s="211">
        <f>SUM(E58:E59)</f>
        <v>3975526.3032775382</v>
      </c>
      <c r="F60" s="211">
        <f>SUM(F58:F59)</f>
        <v>2745706.5349526615</v>
      </c>
      <c r="G60" s="211">
        <f>SUM(G58:G59)</f>
        <v>6721232.8382302001</v>
      </c>
      <c r="H60" s="112">
        <f t="shared" ref="H60:M60" si="7">SUM(H58:H59)</f>
        <v>504053.5287230924</v>
      </c>
      <c r="I60" s="112">
        <f t="shared" si="7"/>
        <v>164617.18795383332</v>
      </c>
      <c r="J60" s="112">
        <f t="shared" si="7"/>
        <v>112701.13100628358</v>
      </c>
      <c r="K60" s="112">
        <f t="shared" si="7"/>
        <v>1763500.2245984273</v>
      </c>
      <c r="L60" s="112">
        <f t="shared" si="7"/>
        <v>1119788.9496307555</v>
      </c>
      <c r="M60" s="112">
        <f t="shared" si="7"/>
        <v>0</v>
      </c>
      <c r="N60" s="112">
        <f>SUM(N58:N59)</f>
        <v>0</v>
      </c>
      <c r="O60" s="112">
        <f>SUM(O58:O59)</f>
        <v>3664661.0219123922</v>
      </c>
      <c r="P60" s="167" t="str">
        <f>"Line "&amp;A58&amp;" + Line "&amp;A59</f>
        <v>Line 4 + Line 5</v>
      </c>
      <c r="R60" s="124">
        <f t="shared" si="4"/>
        <v>0</v>
      </c>
    </row>
    <row r="61" spans="1:18">
      <c r="A61" s="225" t="str">
        <f>IF(ISBLANK(B61),"",MAX($A$52:$A60)+1)</f>
        <v/>
      </c>
      <c r="B61" s="155"/>
      <c r="C61" s="155"/>
      <c r="D61" s="211"/>
      <c r="E61" s="211"/>
      <c r="F61" s="211"/>
      <c r="G61" s="112"/>
      <c r="H61" s="112"/>
      <c r="I61" s="112"/>
      <c r="J61" s="112"/>
      <c r="K61" s="112"/>
      <c r="L61" s="112"/>
      <c r="M61" s="112"/>
      <c r="N61" s="112"/>
      <c r="O61" s="112"/>
      <c r="P61" s="167"/>
      <c r="R61" s="124">
        <f t="shared" si="4"/>
        <v>0</v>
      </c>
    </row>
    <row r="62" spans="1:18">
      <c r="A62" s="225">
        <f>IF(ISBLANK(B62),"",MAX($A$52:$A61)+1)</f>
        <v>7</v>
      </c>
      <c r="B62" s="167" t="s">
        <v>45</v>
      </c>
      <c r="C62" s="155"/>
      <c r="D62" s="211"/>
      <c r="E62" s="211"/>
      <c r="F62" s="211"/>
      <c r="G62" s="112"/>
      <c r="H62" s="112"/>
      <c r="I62" s="112"/>
      <c r="J62" s="112"/>
      <c r="K62" s="112"/>
      <c r="L62" s="112"/>
      <c r="M62" s="112"/>
      <c r="N62" s="112"/>
      <c r="O62" s="112"/>
      <c r="P62" s="167"/>
      <c r="R62" s="124">
        <f t="shared" si="4"/>
        <v>0</v>
      </c>
    </row>
    <row r="63" spans="1:18">
      <c r="A63" s="225">
        <f>IF(ISBLANK(B63),"",MAX($A$52:$A62)+1)</f>
        <v>8</v>
      </c>
      <c r="B63" s="228" t="s">
        <v>43</v>
      </c>
      <c r="C63" s="155"/>
      <c r="D63" s="211">
        <f>Functional!I25</f>
        <v>27590200.111556727</v>
      </c>
      <c r="E63" s="211">
        <f>$D63*E$152</f>
        <v>13339145.28170792</v>
      </c>
      <c r="F63" s="211">
        <f>$D63*F$152</f>
        <v>9052194.0040468425</v>
      </c>
      <c r="G63" s="112">
        <f>SUM(E63:F63)</f>
        <v>22391339.285754763</v>
      </c>
      <c r="H63" s="211">
        <f t="shared" ref="H63:N63" si="8">$D63*H$152</f>
        <v>717095.22320030758</v>
      </c>
      <c r="I63" s="211">
        <f t="shared" si="8"/>
        <v>351180.05202211911</v>
      </c>
      <c r="J63" s="211">
        <f t="shared" si="8"/>
        <v>160335.0400077767</v>
      </c>
      <c r="K63" s="211">
        <f t="shared" si="8"/>
        <v>3970250.5105717583</v>
      </c>
      <c r="L63" s="211">
        <f t="shared" si="8"/>
        <v>0</v>
      </c>
      <c r="M63" s="211">
        <f t="shared" si="8"/>
        <v>0</v>
      </c>
      <c r="N63" s="211">
        <f t="shared" si="8"/>
        <v>0</v>
      </c>
      <c r="O63" s="112">
        <f>SUM(H63:N63)</f>
        <v>5198860.8258019611</v>
      </c>
      <c r="P63" s="167" t="str">
        <f>+B150</f>
        <v>Winter Period Peak Demand - Distribution</v>
      </c>
      <c r="R63" s="124">
        <f t="shared" si="4"/>
        <v>0</v>
      </c>
    </row>
    <row r="64" spans="1:18">
      <c r="A64" s="225">
        <f>IF(ISBLANK(B64),"",MAX($A$52:$A63)+1)</f>
        <v>9</v>
      </c>
      <c r="B64" s="228" t="s">
        <v>33</v>
      </c>
      <c r="C64" s="155"/>
      <c r="D64" s="211">
        <f>Functional!J25</f>
        <v>8230029.1695560524</v>
      </c>
      <c r="E64" s="211">
        <f>$D64*E160</f>
        <v>3046950.2905899673</v>
      </c>
      <c r="F64" s="211">
        <f>$D64*F160</f>
        <v>2156119.3537699096</v>
      </c>
      <c r="G64" s="112">
        <f>SUM(E64:F64)</f>
        <v>5203069.6443598773</v>
      </c>
      <c r="H64" s="211">
        <f t="shared" ref="H64:N64" si="9">$D64*H160</f>
        <v>700299.75446115492</v>
      </c>
      <c r="I64" s="211">
        <f t="shared" si="9"/>
        <v>191003.11749286973</v>
      </c>
      <c r="J64" s="211">
        <f t="shared" si="9"/>
        <v>156579.74773261228</v>
      </c>
      <c r="K64" s="211">
        <f t="shared" si="9"/>
        <v>1979076.9055095378</v>
      </c>
      <c r="L64" s="211">
        <f t="shared" si="9"/>
        <v>0</v>
      </c>
      <c r="M64" s="211">
        <f t="shared" si="9"/>
        <v>0</v>
      </c>
      <c r="N64" s="211">
        <f t="shared" si="9"/>
        <v>0</v>
      </c>
      <c r="O64" s="112">
        <f>SUM(H64:N64)</f>
        <v>3026959.5251961746</v>
      </c>
      <c r="P64" s="167" t="str">
        <f>+B158</f>
        <v>Commodity - Distribution</v>
      </c>
      <c r="R64" s="124">
        <f t="shared" si="4"/>
        <v>0</v>
      </c>
    </row>
    <row r="65" spans="1:18" ht="15">
      <c r="A65" s="225">
        <f>IF(ISBLANK(B65),"",MAX($A$52:$A64)+1)</f>
        <v>10</v>
      </c>
      <c r="B65" s="228" t="s">
        <v>46</v>
      </c>
      <c r="C65" s="155"/>
      <c r="D65" s="230">
        <f>Functional!K25</f>
        <v>28956993.581364531</v>
      </c>
      <c r="E65" s="230">
        <f>$D65*E166</f>
        <v>21454802.640810359</v>
      </c>
      <c r="F65" s="230">
        <f>$D65*F166</f>
        <v>5436411.5953955362</v>
      </c>
      <c r="G65" s="232">
        <f>SUM(E65:F65)</f>
        <v>26891214.236205895</v>
      </c>
      <c r="H65" s="232">
        <f t="shared" ref="H65:N65" si="10">$D65*H166</f>
        <v>1854065.9123925597</v>
      </c>
      <c r="I65" s="232">
        <f t="shared" si="10"/>
        <v>22908.350037708478</v>
      </c>
      <c r="J65" s="232">
        <f t="shared" si="10"/>
        <v>59914.14625246833</v>
      </c>
      <c r="K65" s="232">
        <f t="shared" si="10"/>
        <v>128890.93647589824</v>
      </c>
      <c r="L65" s="232">
        <f t="shared" si="10"/>
        <v>0</v>
      </c>
      <c r="M65" s="232">
        <f t="shared" si="10"/>
        <v>0</v>
      </c>
      <c r="N65" s="232">
        <f t="shared" si="10"/>
        <v>0</v>
      </c>
      <c r="O65" s="232">
        <f>SUM(H65:N65)</f>
        <v>2065779.3451586345</v>
      </c>
      <c r="P65" s="167" t="str">
        <f>+B162</f>
        <v>Customer - Distribution</v>
      </c>
      <c r="R65" s="124">
        <f t="shared" si="4"/>
        <v>0</v>
      </c>
    </row>
    <row r="66" spans="1:18">
      <c r="A66" s="225">
        <f>IF(ISBLANK(B66),"",MAX($A$52:$A65)+1)</f>
        <v>11</v>
      </c>
      <c r="B66" s="228" t="s">
        <v>44</v>
      </c>
      <c r="C66" s="155"/>
      <c r="D66" s="211">
        <f>SUM(D63:D65)</f>
        <v>64777222.862477317</v>
      </c>
      <c r="E66" s="211">
        <f>SUM(E63:E65)</f>
        <v>37840898.213108249</v>
      </c>
      <c r="F66" s="211">
        <f>SUM(F63:F65)</f>
        <v>16644724.953212287</v>
      </c>
      <c r="G66" s="211">
        <f>SUM(G63:G65)</f>
        <v>54485623.166320533</v>
      </c>
      <c r="H66" s="112">
        <f t="shared" ref="H66:M66" si="11">SUM(H63:H65)</f>
        <v>3271460.890054022</v>
      </c>
      <c r="I66" s="112">
        <f t="shared" si="11"/>
        <v>565091.51955269731</v>
      </c>
      <c r="J66" s="112">
        <f t="shared" si="11"/>
        <v>376828.93399285735</v>
      </c>
      <c r="K66" s="112">
        <f t="shared" si="11"/>
        <v>6078218.3525571944</v>
      </c>
      <c r="L66" s="112">
        <f t="shared" si="11"/>
        <v>0</v>
      </c>
      <c r="M66" s="112">
        <f t="shared" si="11"/>
        <v>0</v>
      </c>
      <c r="N66" s="112">
        <f>SUM(N63:N65)</f>
        <v>0</v>
      </c>
      <c r="O66" s="112">
        <f>SUM(O63:O65)</f>
        <v>10291599.69615677</v>
      </c>
      <c r="P66" s="167" t="str">
        <f>"Sum of Line "&amp;A63&amp;" through Line "&amp;A65</f>
        <v>Sum of Line 8 through Line 10</v>
      </c>
      <c r="R66" s="124">
        <f t="shared" si="4"/>
        <v>0</v>
      </c>
    </row>
    <row r="67" spans="1:18">
      <c r="A67" s="225" t="str">
        <f>IF(ISBLANK(B67),"",MAX($A$52:$A66)+1)</f>
        <v/>
      </c>
      <c r="B67" s="155"/>
      <c r="C67" s="155"/>
      <c r="D67" s="211"/>
      <c r="E67" s="211"/>
      <c r="F67" s="211"/>
      <c r="G67" s="112"/>
      <c r="H67" s="112"/>
      <c r="I67" s="112"/>
      <c r="J67" s="112"/>
      <c r="K67" s="112"/>
      <c r="L67" s="112"/>
      <c r="M67" s="112"/>
      <c r="N67" s="112"/>
      <c r="O67" s="112"/>
      <c r="P67" s="167"/>
      <c r="R67" s="124">
        <f t="shared" si="4"/>
        <v>0</v>
      </c>
    </row>
    <row r="68" spans="1:18">
      <c r="A68" s="225">
        <f>IF(ISBLANK(B68),"",MAX($A$52:$A67)+1)</f>
        <v>12</v>
      </c>
      <c r="B68" s="167" t="s">
        <v>34</v>
      </c>
      <c r="C68" s="155"/>
      <c r="D68" s="211">
        <f>Functional!L25</f>
        <v>27067091.034296345</v>
      </c>
      <c r="E68" s="211">
        <f>$D68*E172</f>
        <v>21448614.15039321</v>
      </c>
      <c r="F68" s="211">
        <f>$D68*F172</f>
        <v>5434843.4998215511</v>
      </c>
      <c r="G68" s="112">
        <f>SUM(E68:F68)</f>
        <v>26883457.650214761</v>
      </c>
      <c r="H68" s="112">
        <f t="shared" ref="H68:N68" si="12">$D68*H172</f>
        <v>0</v>
      </c>
      <c r="I68" s="112">
        <f t="shared" si="12"/>
        <v>16358.387343950893</v>
      </c>
      <c r="J68" s="112">
        <f t="shared" si="12"/>
        <v>59896.864428620189</v>
      </c>
      <c r="K68" s="112">
        <f t="shared" si="12"/>
        <v>107378.13230901099</v>
      </c>
      <c r="L68" s="112">
        <f t="shared" si="12"/>
        <v>0</v>
      </c>
      <c r="M68" s="112">
        <f t="shared" si="12"/>
        <v>0</v>
      </c>
      <c r="N68" s="112">
        <f t="shared" si="12"/>
        <v>0</v>
      </c>
      <c r="O68" s="112">
        <f>SUM(H68:N68)</f>
        <v>183633.38408158207</v>
      </c>
      <c r="P68" s="167" t="str">
        <f>B168</f>
        <v xml:space="preserve">Services </v>
      </c>
      <c r="R68" s="124">
        <f t="shared" si="4"/>
        <v>0</v>
      </c>
    </row>
    <row r="69" spans="1:18">
      <c r="A69" s="225" t="str">
        <f>IF(ISBLANK(B69),"",MAX($A$52:$A68)+1)</f>
        <v/>
      </c>
      <c r="B69" s="155"/>
      <c r="C69" s="155"/>
      <c r="D69" s="211"/>
      <c r="E69" s="211"/>
      <c r="F69" s="211"/>
      <c r="G69" s="112"/>
      <c r="H69" s="112"/>
      <c r="I69" s="112"/>
      <c r="J69" s="112"/>
      <c r="K69" s="112"/>
      <c r="L69" s="112"/>
      <c r="M69" s="112"/>
      <c r="N69" s="112"/>
      <c r="O69" s="112"/>
      <c r="P69" s="167"/>
      <c r="R69" s="124">
        <f t="shared" si="4"/>
        <v>0</v>
      </c>
    </row>
    <row r="70" spans="1:18">
      <c r="A70" s="225">
        <f>IF(ISBLANK(B70),"",MAX($A$52:$A69)+1)</f>
        <v>13</v>
      </c>
      <c r="B70" s="167" t="s">
        <v>49</v>
      </c>
      <c r="C70" s="155"/>
      <c r="D70" s="211">
        <f>Functional!M25</f>
        <v>23677646.719654739</v>
      </c>
      <c r="E70" s="211">
        <f>$D70*E178</f>
        <v>14255480.116815548</v>
      </c>
      <c r="F70" s="211">
        <f>$D70*F178</f>
        <v>6321318.947989352</v>
      </c>
      <c r="G70" s="112">
        <f>SUM(E70:F70)</f>
        <v>20576799.0648049</v>
      </c>
      <c r="H70" s="112">
        <f t="shared" ref="H70:N70" si="13">$D70*H178</f>
        <v>2463839.9328924632</v>
      </c>
      <c r="I70" s="112">
        <f t="shared" si="13"/>
        <v>43489.367450919235</v>
      </c>
      <c r="J70" s="112">
        <f t="shared" si="13"/>
        <v>132698.32632459971</v>
      </c>
      <c r="K70" s="112">
        <f t="shared" si="13"/>
        <v>321152.25194524974</v>
      </c>
      <c r="L70" s="112">
        <f t="shared" si="13"/>
        <v>37635.029524833953</v>
      </c>
      <c r="M70" s="112">
        <f t="shared" si="13"/>
        <v>100360.07873289054</v>
      </c>
      <c r="N70" s="112">
        <f t="shared" si="13"/>
        <v>1672.6679788815093</v>
      </c>
      <c r="O70" s="112">
        <f>SUM(H70:N70)</f>
        <v>3100847.6548498375</v>
      </c>
      <c r="P70" s="167" t="str">
        <f>B174</f>
        <v>Meters &amp; Regulators</v>
      </c>
      <c r="R70" s="124">
        <f t="shared" si="4"/>
        <v>0</v>
      </c>
    </row>
    <row r="71" spans="1:18">
      <c r="A71" s="225" t="str">
        <f>IF(ISBLANK(B71),"",MAX($A$52:$A70)+1)</f>
        <v/>
      </c>
      <c r="B71" s="167"/>
      <c r="C71" s="155"/>
      <c r="D71" s="211"/>
      <c r="E71" s="211"/>
      <c r="F71" s="211"/>
      <c r="G71" s="112"/>
      <c r="H71" s="112"/>
      <c r="I71" s="112"/>
      <c r="J71" s="112"/>
      <c r="K71" s="112"/>
      <c r="L71" s="112"/>
      <c r="M71" s="112"/>
      <c r="N71" s="112"/>
      <c r="O71" s="112"/>
      <c r="P71" s="167"/>
      <c r="R71" s="124">
        <f t="shared" si="4"/>
        <v>0</v>
      </c>
    </row>
    <row r="72" spans="1:18">
      <c r="A72" s="225">
        <f>IF(ISBLANK(B72),"",MAX($A$52:$A71)+1)</f>
        <v>14</v>
      </c>
      <c r="B72" s="167" t="s">
        <v>415</v>
      </c>
      <c r="C72" s="155"/>
      <c r="D72" s="211">
        <f>Functional!N25</f>
        <v>20111950.580103304</v>
      </c>
      <c r="E72" s="211">
        <f>$D72*E184</f>
        <v>16033772.932886779</v>
      </c>
      <c r="F72" s="211">
        <f>$D72*F184</f>
        <v>3047086.6086346973</v>
      </c>
      <c r="G72" s="112">
        <f>SUM(E72:F72)</f>
        <v>19080859.541521475</v>
      </c>
      <c r="H72" s="112">
        <f t="shared" ref="H72:N72" si="14">$D72*H184</f>
        <v>831357.12799411779</v>
      </c>
      <c r="I72" s="112">
        <f t="shared" si="14"/>
        <v>12228.606770676093</v>
      </c>
      <c r="J72" s="112">
        <f t="shared" si="14"/>
        <v>74625.85670310026</v>
      </c>
      <c r="K72" s="112">
        <f t="shared" si="14"/>
        <v>80269.82905879691</v>
      </c>
      <c r="L72" s="112">
        <f t="shared" si="14"/>
        <v>11287.944711393317</v>
      </c>
      <c r="M72" s="112">
        <f t="shared" si="14"/>
        <v>18813.241185655526</v>
      </c>
      <c r="N72" s="112">
        <f t="shared" si="14"/>
        <v>2508.4321580874034</v>
      </c>
      <c r="O72" s="112">
        <f>SUM(H72:N72)</f>
        <v>1031091.0385818272</v>
      </c>
      <c r="P72" s="167" t="str">
        <f>B180</f>
        <v>Customer Accounts</v>
      </c>
      <c r="R72" s="124">
        <f t="shared" si="4"/>
        <v>0</v>
      </c>
    </row>
    <row r="73" spans="1:18">
      <c r="A73" s="225" t="str">
        <f>IF(ISBLANK(B73),"",MAX($A$52:$A72)+1)</f>
        <v/>
      </c>
      <c r="B73" s="155"/>
      <c r="C73" s="155"/>
      <c r="D73" s="211"/>
      <c r="E73" s="211"/>
      <c r="F73" s="211"/>
      <c r="G73" s="112"/>
      <c r="H73" s="112"/>
      <c r="I73" s="112"/>
      <c r="J73" s="112"/>
      <c r="K73" s="112"/>
      <c r="L73" s="112"/>
      <c r="M73" s="112"/>
      <c r="N73" s="112"/>
      <c r="O73" s="112"/>
      <c r="P73" s="167"/>
      <c r="R73" s="124">
        <f t="shared" si="4"/>
        <v>0</v>
      </c>
    </row>
    <row r="74" spans="1:18">
      <c r="A74" s="225">
        <f>IF(ISBLANK(B74),"",MAX($A$52:$A73)+1)</f>
        <v>15</v>
      </c>
      <c r="B74" s="167" t="s">
        <v>226</v>
      </c>
      <c r="C74" s="155"/>
      <c r="D74" s="155"/>
      <c r="E74" s="155"/>
      <c r="F74" s="211"/>
      <c r="G74" s="112"/>
      <c r="H74" s="112"/>
      <c r="I74" s="112"/>
      <c r="J74" s="112"/>
      <c r="K74" s="112"/>
      <c r="L74" s="112"/>
      <c r="M74" s="112"/>
      <c r="N74" s="112"/>
      <c r="O74" s="112"/>
      <c r="P74" s="167"/>
      <c r="R74" s="124">
        <f t="shared" si="4"/>
        <v>0</v>
      </c>
    </row>
    <row r="75" spans="1:18">
      <c r="A75" s="225">
        <f>IF(ISBLANK(B75),"",MAX($A$52:$A74)+1)</f>
        <v>16</v>
      </c>
      <c r="B75" s="167" t="s">
        <v>642</v>
      </c>
      <c r="C75" s="155"/>
      <c r="D75" s="407">
        <f>Functional!$O$22+Functional!$O$23</f>
        <v>-1293550.5147177775</v>
      </c>
      <c r="E75" s="407">
        <f>(E$120/$D$120)*$D75</f>
        <v>-931792.89378018724</v>
      </c>
      <c r="F75" s="407">
        <f>(F$120/$D$120)*$D75</f>
        <v>-361757.62093759025</v>
      </c>
      <c r="G75" s="112">
        <f>SUM(E75:F75)</f>
        <v>-1293550.5147177775</v>
      </c>
      <c r="H75" s="112"/>
      <c r="I75" s="112"/>
      <c r="J75" s="112"/>
      <c r="K75" s="112"/>
      <c r="L75" s="112"/>
      <c r="M75" s="112"/>
      <c r="N75" s="112"/>
      <c r="O75" s="112"/>
      <c r="P75" s="167" t="s">
        <v>492</v>
      </c>
      <c r="R75" s="124"/>
    </row>
    <row r="76" spans="1:18" ht="15">
      <c r="A76" s="225">
        <f>IF(ISBLANK(B76),"",MAX($A$52:$A75)+1)</f>
        <v>17</v>
      </c>
      <c r="B76" s="228" t="s">
        <v>48</v>
      </c>
      <c r="C76" s="155"/>
      <c r="D76" s="230">
        <f>Functional!O24</f>
        <v>-508107.31999999972</v>
      </c>
      <c r="E76" s="230">
        <f>D76</f>
        <v>-508107.31999999972</v>
      </c>
      <c r="F76" s="230">
        <v>0</v>
      </c>
      <c r="G76" s="230">
        <f>SUM(E76:F76)</f>
        <v>-508107.31999999972</v>
      </c>
      <c r="H76" s="232">
        <v>0</v>
      </c>
      <c r="I76" s="232">
        <v>0</v>
      </c>
      <c r="J76" s="232">
        <v>0</v>
      </c>
      <c r="K76" s="232">
        <v>0</v>
      </c>
      <c r="L76" s="232">
        <v>0</v>
      </c>
      <c r="M76" s="232">
        <v>0</v>
      </c>
      <c r="N76" s="232">
        <v>0</v>
      </c>
      <c r="O76" s="232">
        <f>SUM(H76:N76)</f>
        <v>0</v>
      </c>
      <c r="P76" s="167" t="s">
        <v>223</v>
      </c>
      <c r="R76" s="124"/>
    </row>
    <row r="77" spans="1:18">
      <c r="A77" s="225">
        <f>IF(ISBLANK(B77),"",MAX($A$52:$A76)+1)</f>
        <v>18</v>
      </c>
      <c r="B77" s="228" t="s">
        <v>227</v>
      </c>
      <c r="C77" s="155"/>
      <c r="D77" s="211">
        <f t="shared" ref="D77:O77" si="15">SUM(D75:D76)</f>
        <v>-1801657.8347177771</v>
      </c>
      <c r="E77" s="211">
        <f t="shared" si="15"/>
        <v>-1439900.2137801871</v>
      </c>
      <c r="F77" s="211">
        <f t="shared" si="15"/>
        <v>-361757.62093759025</v>
      </c>
      <c r="G77" s="211">
        <f t="shared" si="15"/>
        <v>-1801657.8347177771</v>
      </c>
      <c r="H77" s="211">
        <f t="shared" si="15"/>
        <v>0</v>
      </c>
      <c r="I77" s="211">
        <f t="shared" si="15"/>
        <v>0</v>
      </c>
      <c r="J77" s="211">
        <f t="shared" si="15"/>
        <v>0</v>
      </c>
      <c r="K77" s="211">
        <f t="shared" si="15"/>
        <v>0</v>
      </c>
      <c r="L77" s="211">
        <f t="shared" si="15"/>
        <v>0</v>
      </c>
      <c r="M77" s="211">
        <f t="shared" si="15"/>
        <v>0</v>
      </c>
      <c r="N77" s="211">
        <f t="shared" si="15"/>
        <v>0</v>
      </c>
      <c r="O77" s="211">
        <f t="shared" si="15"/>
        <v>0</v>
      </c>
      <c r="P77" s="167" t="str">
        <f>"Sum of Line "&amp;A75&amp;" through Line "&amp;A76</f>
        <v>Sum of Line 16 through Line 17</v>
      </c>
      <c r="R77" s="124"/>
    </row>
    <row r="78" spans="1:18">
      <c r="A78" s="225" t="str">
        <f>IF(ISBLANK(B78),"",MAX($A$52:$A77)+1)</f>
        <v/>
      </c>
      <c r="B78" s="228"/>
      <c r="C78" s="155"/>
      <c r="D78" s="211"/>
      <c r="E78" s="211"/>
      <c r="F78" s="211"/>
      <c r="G78" s="112"/>
      <c r="H78" s="112"/>
      <c r="I78" s="112"/>
      <c r="J78" s="112"/>
      <c r="K78" s="112"/>
      <c r="L78" s="112"/>
      <c r="M78" s="112"/>
      <c r="N78" s="112"/>
      <c r="O78" s="112"/>
      <c r="P78" s="167"/>
      <c r="R78" s="124">
        <f>G78+O78-D78</f>
        <v>0</v>
      </c>
    </row>
    <row r="79" spans="1:18">
      <c r="A79" s="225">
        <f>IF(ISBLANK(B79),"",MAX($A$52:$A78)+1)</f>
        <v>19</v>
      </c>
      <c r="B79" s="167" t="s">
        <v>218</v>
      </c>
      <c r="C79" s="155"/>
      <c r="D79" s="211"/>
      <c r="E79" s="211"/>
      <c r="F79" s="211"/>
      <c r="G79" s="112"/>
      <c r="H79" s="112"/>
      <c r="I79" s="112"/>
      <c r="J79" s="112"/>
      <c r="K79" s="112"/>
      <c r="L79" s="112"/>
      <c r="M79" s="112"/>
      <c r="N79" s="112"/>
      <c r="O79" s="112"/>
      <c r="P79" s="167"/>
      <c r="R79" s="124"/>
    </row>
    <row r="80" spans="1:18">
      <c r="A80" s="225">
        <f>IF(ISBLANK(B80),"",MAX($A$52:$A79)+1)</f>
        <v>20</v>
      </c>
      <c r="B80" s="228" t="s">
        <v>612</v>
      </c>
      <c r="C80" s="155"/>
      <c r="D80" s="211">
        <f>+Functional!P25</f>
        <v>424864.00422486919</v>
      </c>
      <c r="E80" s="211">
        <v>0</v>
      </c>
      <c r="F80" s="211">
        <v>0</v>
      </c>
      <c r="G80" s="112">
        <v>0</v>
      </c>
      <c r="H80" s="112"/>
      <c r="I80" s="112"/>
      <c r="J80" s="112"/>
      <c r="K80" s="112"/>
      <c r="L80" s="112"/>
      <c r="M80" s="112">
        <f>+D80</f>
        <v>424864.00422486919</v>
      </c>
      <c r="N80" s="112"/>
      <c r="O80" s="112">
        <f>SUM(H80:N80)</f>
        <v>424864.00422486919</v>
      </c>
      <c r="P80" s="167" t="s">
        <v>47</v>
      </c>
      <c r="R80" s="124"/>
    </row>
    <row r="81" spans="1:18" ht="15">
      <c r="A81" s="225">
        <f>IF(ISBLANK(B81),"",MAX($A$52:$A80)+1)</f>
        <v>21</v>
      </c>
      <c r="B81" s="228" t="s">
        <v>613</v>
      </c>
      <c r="C81" s="155"/>
      <c r="D81" s="230">
        <f>+Functional!Q25</f>
        <v>597918.66088010941</v>
      </c>
      <c r="E81" s="230">
        <v>0</v>
      </c>
      <c r="F81" s="230">
        <v>0</v>
      </c>
      <c r="G81" s="232">
        <v>0</v>
      </c>
      <c r="H81" s="232">
        <v>0</v>
      </c>
      <c r="I81" s="232">
        <v>0</v>
      </c>
      <c r="J81" s="232">
        <v>0</v>
      </c>
      <c r="K81" s="232">
        <v>0</v>
      </c>
      <c r="L81" s="232">
        <v>0</v>
      </c>
      <c r="M81" s="232">
        <v>0</v>
      </c>
      <c r="N81" s="232">
        <f>+D81</f>
        <v>597918.66088010941</v>
      </c>
      <c r="O81" s="232">
        <f>SUM(H81:N81)</f>
        <v>597918.66088010941</v>
      </c>
      <c r="P81" s="167" t="s">
        <v>47</v>
      </c>
      <c r="R81" s="124"/>
    </row>
    <row r="82" spans="1:18">
      <c r="A82" s="225">
        <f>IF(ISBLANK(B82),"",MAX($A$52:$A81)+1)</f>
        <v>22</v>
      </c>
      <c r="B82" s="228" t="s">
        <v>228</v>
      </c>
      <c r="C82" s="155"/>
      <c r="D82" s="211">
        <f>SUM(D80:D81)</f>
        <v>1022782.6651049786</v>
      </c>
      <c r="E82" s="211">
        <f t="shared" ref="E82:L82" si="16">SUM(E80:E81)</f>
        <v>0</v>
      </c>
      <c r="F82" s="211">
        <f t="shared" si="16"/>
        <v>0</v>
      </c>
      <c r="G82" s="211">
        <f t="shared" si="16"/>
        <v>0</v>
      </c>
      <c r="H82" s="112">
        <f t="shared" si="16"/>
        <v>0</v>
      </c>
      <c r="I82" s="112">
        <f t="shared" si="16"/>
        <v>0</v>
      </c>
      <c r="J82" s="112">
        <f t="shared" si="16"/>
        <v>0</v>
      </c>
      <c r="K82" s="112">
        <f t="shared" si="16"/>
        <v>0</v>
      </c>
      <c r="L82" s="112">
        <f t="shared" si="16"/>
        <v>0</v>
      </c>
      <c r="M82" s="112">
        <f t="shared" ref="M82" si="17">SUM(M80:M81)</f>
        <v>424864.00422486919</v>
      </c>
      <c r="N82" s="112">
        <f>SUM(N80:N81)</f>
        <v>597918.66088010941</v>
      </c>
      <c r="O82" s="112">
        <f>SUM(O80:O81)</f>
        <v>1022782.6651049786</v>
      </c>
      <c r="P82" s="167" t="s">
        <v>47</v>
      </c>
      <c r="R82" s="124">
        <f>G82+O82-D82</f>
        <v>0</v>
      </c>
    </row>
    <row r="83" spans="1:18">
      <c r="A83" s="117" t="str">
        <f>IF(ISBLANK(B83),"",MAX($A$52:$A82)+1)</f>
        <v/>
      </c>
      <c r="D83" s="135"/>
      <c r="E83" s="135"/>
      <c r="F83" s="135"/>
      <c r="G83" s="4"/>
      <c r="H83" s="4"/>
      <c r="I83" s="4"/>
      <c r="J83" s="4"/>
      <c r="K83" s="4"/>
      <c r="L83" s="4"/>
      <c r="M83" s="4"/>
      <c r="N83" s="4"/>
      <c r="O83" s="4"/>
      <c r="R83" s="124">
        <f>G83+O83-D83</f>
        <v>0</v>
      </c>
    </row>
    <row r="84" spans="1:18">
      <c r="A84" s="117">
        <f>IF(ISBLANK(B84),"",MAX($A$52:$A83)+1)</f>
        <v>23</v>
      </c>
      <c r="B84" s="140" t="s">
        <v>30</v>
      </c>
      <c r="D84" s="135">
        <f t="shared" ref="D84:O84" si="18">SUM(D55,D60,D66,D68,D70,D72,D77,D82)</f>
        <v>145348180.19348386</v>
      </c>
      <c r="E84" s="135">
        <f t="shared" si="18"/>
        <v>92177008.889210492</v>
      </c>
      <c r="F84" s="135">
        <f t="shared" si="18"/>
        <v>33876089.508130647</v>
      </c>
      <c r="G84" s="135">
        <f t="shared" si="18"/>
        <v>126053098.39734113</v>
      </c>
      <c r="H84" s="135">
        <f t="shared" si="18"/>
        <v>7070711.4796636961</v>
      </c>
      <c r="I84" s="135">
        <f t="shared" si="18"/>
        <v>801785.06907207693</v>
      </c>
      <c r="J84" s="135">
        <f t="shared" si="18"/>
        <v>757217.44791075389</v>
      </c>
      <c r="K84" s="135">
        <f t="shared" si="18"/>
        <v>8350518.7904686797</v>
      </c>
      <c r="L84" s="135">
        <f t="shared" si="18"/>
        <v>1168711.9238669826</v>
      </c>
      <c r="M84" s="135">
        <f t="shared" si="18"/>
        <v>544037.32414341532</v>
      </c>
      <c r="N84" s="135">
        <f t="shared" si="18"/>
        <v>602099.7610170783</v>
      </c>
      <c r="O84" s="135">
        <f t="shared" si="18"/>
        <v>19295081.796142679</v>
      </c>
      <c r="P84" s="140" t="s">
        <v>68</v>
      </c>
      <c r="R84" s="124">
        <f>G84+O84-D84</f>
        <v>0</v>
      </c>
    </row>
    <row r="85" spans="1:18">
      <c r="A85" s="117"/>
      <c r="B85" s="140"/>
      <c r="D85" s="135"/>
      <c r="E85" s="135"/>
      <c r="F85" s="135"/>
      <c r="G85" s="4"/>
      <c r="H85" s="4"/>
      <c r="I85" s="4"/>
      <c r="J85" s="4"/>
      <c r="K85" s="4"/>
      <c r="L85" s="4"/>
      <c r="M85" s="4"/>
      <c r="N85" s="4"/>
      <c r="O85" s="4"/>
      <c r="P85" s="140"/>
      <c r="R85" s="124"/>
    </row>
    <row r="86" spans="1:18">
      <c r="A86" s="117"/>
      <c r="B86" s="140"/>
      <c r="D86" s="135"/>
      <c r="E86" s="135"/>
      <c r="F86" s="135"/>
      <c r="G86" s="4"/>
      <c r="H86" s="4"/>
      <c r="I86" s="4"/>
      <c r="J86" s="4"/>
      <c r="K86" s="4"/>
      <c r="L86" s="4"/>
      <c r="M86" s="4"/>
      <c r="N86" s="4"/>
      <c r="O86" s="4"/>
      <c r="P86" s="140"/>
      <c r="R86" s="124"/>
    </row>
    <row r="87" spans="1:18">
      <c r="A87" s="113" t="str">
        <f>A1</f>
        <v>Black Hills Nebraska Gas, LLC</v>
      </c>
      <c r="B87" s="115"/>
      <c r="C87" s="115"/>
      <c r="D87" s="115"/>
      <c r="E87" s="115"/>
      <c r="F87" s="115"/>
      <c r="G87" s="634" t="str">
        <f>$P$1</f>
        <v>Section 4, Exhibit B</v>
      </c>
      <c r="H87" s="196"/>
      <c r="I87" s="196"/>
      <c r="J87" s="196"/>
      <c r="K87" s="196"/>
      <c r="L87" s="196"/>
      <c r="M87" s="196"/>
      <c r="N87" s="196"/>
      <c r="O87" s="196"/>
      <c r="P87" s="634" t="str">
        <f>$P$1</f>
        <v>Section 4, Exhibit B</v>
      </c>
    </row>
    <row r="88" spans="1:18">
      <c r="A88" s="113" t="s">
        <v>483</v>
      </c>
      <c r="B88" s="115"/>
      <c r="C88" s="115"/>
      <c r="D88" s="115"/>
      <c r="E88" s="115"/>
      <c r="F88" s="115"/>
      <c r="G88" s="634" t="s">
        <v>38</v>
      </c>
      <c r="H88" s="196"/>
      <c r="I88" s="196"/>
      <c r="J88" s="196"/>
      <c r="K88" s="196"/>
      <c r="L88" s="196"/>
      <c r="M88" s="196"/>
      <c r="N88" s="196"/>
      <c r="O88" s="196"/>
      <c r="P88" s="634" t="s">
        <v>38</v>
      </c>
    </row>
    <row r="89" spans="1:18">
      <c r="A89" s="113" t="str">
        <f>A3</f>
        <v>FOR THE PRO FORMA PERIOD ENDED DECEMBER 31, 2020</v>
      </c>
      <c r="B89" s="115"/>
      <c r="C89" s="115"/>
      <c r="D89" s="115"/>
      <c r="E89" s="115"/>
      <c r="F89" s="115"/>
      <c r="G89" s="634" t="s">
        <v>75</v>
      </c>
      <c r="H89" s="196"/>
      <c r="I89" s="196"/>
      <c r="J89" s="196"/>
      <c r="K89" s="196"/>
      <c r="L89" s="196"/>
      <c r="M89" s="196"/>
      <c r="N89" s="196"/>
      <c r="O89" s="196"/>
      <c r="P89" s="634" t="s">
        <v>60</v>
      </c>
    </row>
    <row r="92" spans="1:18">
      <c r="A92" s="117"/>
      <c r="B92" s="115" t="s">
        <v>0</v>
      </c>
      <c r="C92" s="115"/>
      <c r="D92" s="117" t="s">
        <v>1</v>
      </c>
      <c r="E92" s="117" t="s">
        <v>2</v>
      </c>
      <c r="F92" s="117" t="s">
        <v>3</v>
      </c>
      <c r="G92" s="117" t="s">
        <v>4</v>
      </c>
      <c r="H92" s="117" t="s">
        <v>5</v>
      </c>
      <c r="I92" s="117" t="s">
        <v>26</v>
      </c>
      <c r="J92" s="117" t="s">
        <v>61</v>
      </c>
      <c r="K92" s="117" t="s">
        <v>62</v>
      </c>
      <c r="L92" s="117" t="s">
        <v>63</v>
      </c>
      <c r="M92" s="117" t="s">
        <v>64</v>
      </c>
      <c r="N92" s="117" t="s">
        <v>79</v>
      </c>
      <c r="O92" s="117" t="s">
        <v>80</v>
      </c>
      <c r="P92" s="117" t="s">
        <v>81</v>
      </c>
    </row>
    <row r="94" spans="1:18">
      <c r="A94" s="118"/>
      <c r="B94" s="119"/>
      <c r="C94" s="120"/>
      <c r="D94" s="118"/>
      <c r="E94" s="118"/>
      <c r="F94" s="118"/>
      <c r="G94" s="201"/>
      <c r="H94" s="218" t="str">
        <f>H$8</f>
        <v>Non-Jurisdictional Customer Classes (View as Aggregate)</v>
      </c>
      <c r="I94" s="219"/>
      <c r="J94" s="219"/>
      <c r="K94" s="219"/>
      <c r="L94" s="219"/>
      <c r="M94" s="219"/>
      <c r="N94" s="219"/>
      <c r="O94" s="201" t="str">
        <f>$O$8</f>
        <v>Total</v>
      </c>
      <c r="P94" s="118"/>
    </row>
    <row r="95" spans="1:18">
      <c r="A95" s="125" t="s">
        <v>6</v>
      </c>
      <c r="B95" s="126"/>
      <c r="C95" s="117"/>
      <c r="D95" s="125" t="str">
        <f>$D$9</f>
        <v>Total</v>
      </c>
      <c r="E95" s="125" t="str">
        <f>$E$9</f>
        <v>Residential</v>
      </c>
      <c r="F95" s="125" t="str">
        <f>$F$9</f>
        <v>Commercial</v>
      </c>
      <c r="G95" s="205" t="str">
        <f>$G$9</f>
        <v>Total</v>
      </c>
      <c r="H95" s="205"/>
      <c r="I95" s="205"/>
      <c r="J95" s="205" t="str">
        <f>J$9</f>
        <v>Interruptible</v>
      </c>
      <c r="K95" s="205" t="str">
        <f>K$9</f>
        <v>Negotiated</v>
      </c>
      <c r="L95" s="205" t="str">
        <f>L$9</f>
        <v>Negotiated</v>
      </c>
      <c r="M95" s="220" t="str">
        <f>+$M$9</f>
        <v>Negotiated</v>
      </c>
      <c r="N95" s="203" t="s">
        <v>418</v>
      </c>
      <c r="O95" s="205" t="str">
        <f>$O$9</f>
        <v>Non-</v>
      </c>
      <c r="P95" s="125"/>
    </row>
    <row r="96" spans="1:18">
      <c r="A96" s="130" t="s">
        <v>7</v>
      </c>
      <c r="B96" s="127" t="s">
        <v>8</v>
      </c>
      <c r="C96" s="129"/>
      <c r="D96" s="130" t="str">
        <f>$D$10</f>
        <v>Nebraska</v>
      </c>
      <c r="E96" s="130" t="str">
        <f>$E$10</f>
        <v>Service</v>
      </c>
      <c r="F96" s="130" t="str">
        <f>$F$10</f>
        <v>Service</v>
      </c>
      <c r="G96" s="208" t="str">
        <f>$G$10</f>
        <v>Jurisdictional</v>
      </c>
      <c r="H96" s="208" t="str">
        <f>H$10</f>
        <v>Agricultural</v>
      </c>
      <c r="I96" s="208" t="str">
        <f t="shared" ref="I96:M96" si="19">I$10</f>
        <v>Maximum Rate</v>
      </c>
      <c r="J96" s="208" t="str">
        <f t="shared" si="19"/>
        <v>Sales</v>
      </c>
      <c r="K96" s="208" t="str">
        <f t="shared" si="19"/>
        <v>Distribution</v>
      </c>
      <c r="L96" s="208" t="str">
        <f t="shared" si="19"/>
        <v>Transmission</v>
      </c>
      <c r="M96" s="221" t="str">
        <f t="shared" si="19"/>
        <v>Direct</v>
      </c>
      <c r="N96" s="207" t="s">
        <v>41</v>
      </c>
      <c r="O96" s="208" t="str">
        <f>$O$10</f>
        <v>Jurisdictional</v>
      </c>
      <c r="P96" s="130" t="s">
        <v>28</v>
      </c>
    </row>
    <row r="97" spans="1:18">
      <c r="A97" s="117"/>
      <c r="B97" s="117"/>
      <c r="C97" s="117"/>
      <c r="D97" s="117" t="s">
        <v>27</v>
      </c>
      <c r="E97" s="117" t="s">
        <v>27</v>
      </c>
      <c r="F97" s="117" t="s">
        <v>27</v>
      </c>
      <c r="G97" s="148" t="s">
        <v>27</v>
      </c>
      <c r="H97" s="148" t="s">
        <v>27</v>
      </c>
      <c r="I97" s="148" t="s">
        <v>27</v>
      </c>
      <c r="J97" s="148" t="s">
        <v>27</v>
      </c>
      <c r="K97" s="148" t="s">
        <v>27</v>
      </c>
      <c r="L97" s="148" t="s">
        <v>27</v>
      </c>
      <c r="M97" s="148" t="s">
        <v>27</v>
      </c>
      <c r="N97" s="148" t="s">
        <v>27</v>
      </c>
      <c r="O97" s="148"/>
      <c r="P97" s="117"/>
    </row>
    <row r="98" spans="1:18">
      <c r="A98" s="117"/>
    </row>
    <row r="99" spans="1:18">
      <c r="A99" s="117">
        <f>IF(ISBLANK(B99),"",MAX($A$98:$A98)+1)</f>
        <v>1</v>
      </c>
      <c r="B99" s="134" t="s">
        <v>10</v>
      </c>
    </row>
    <row r="100" spans="1:18">
      <c r="A100" s="117" t="str">
        <f>IF(ISBLANK(B100),"",MAX($A$98:$A99)+1)</f>
        <v/>
      </c>
      <c r="D100" s="135"/>
      <c r="E100" s="135"/>
      <c r="F100" s="135"/>
      <c r="G100" s="4"/>
      <c r="H100" s="4"/>
      <c r="I100" s="4"/>
      <c r="J100" s="4"/>
      <c r="K100" s="4"/>
      <c r="L100" s="4"/>
      <c r="M100" s="4"/>
      <c r="N100" s="4"/>
      <c r="O100" s="4"/>
    </row>
    <row r="101" spans="1:18">
      <c r="A101" s="225">
        <f>IF(ISBLANK(B101),"",MAX($A$98:$A100)+1)</f>
        <v>2</v>
      </c>
      <c r="B101" s="167" t="s">
        <v>41</v>
      </c>
      <c r="C101" s="155"/>
      <c r="D101" s="211">
        <f>Functional!F14</f>
        <v>1282220.2394626469</v>
      </c>
      <c r="E101" s="211">
        <f>$D101*E$144</f>
        <v>748615.85950521042</v>
      </c>
      <c r="F101" s="211">
        <f>$D101*F$144</f>
        <v>528029.15337672329</v>
      </c>
      <c r="G101" s="112">
        <f>SUM(E101:F101)</f>
        <v>1276645.0128819337</v>
      </c>
      <c r="H101" s="112">
        <f t="shared" ref="H101:N101" si="20">$D101*H$144</f>
        <v>0</v>
      </c>
      <c r="I101" s="112">
        <f t="shared" si="20"/>
        <v>0</v>
      </c>
      <c r="J101" s="112">
        <f t="shared" si="20"/>
        <v>5575.2265807132098</v>
      </c>
      <c r="K101" s="112">
        <f t="shared" si="20"/>
        <v>0</v>
      </c>
      <c r="L101" s="112">
        <f t="shared" si="20"/>
        <v>0</v>
      </c>
      <c r="M101" s="112">
        <f t="shared" si="20"/>
        <v>0</v>
      </c>
      <c r="N101" s="112">
        <f t="shared" si="20"/>
        <v>0</v>
      </c>
      <c r="O101" s="112">
        <f>SUM(H101:N101)</f>
        <v>5575.2265807132098</v>
      </c>
      <c r="P101" s="167" t="s">
        <v>12</v>
      </c>
      <c r="R101" s="124">
        <f t="shared" ref="R101:R127" si="21">G101+O101-D101</f>
        <v>0</v>
      </c>
    </row>
    <row r="102" spans="1:18">
      <c r="A102" s="225" t="str">
        <f>IF(ISBLANK(B102),"",MAX($A$98:$A101)+1)</f>
        <v/>
      </c>
      <c r="B102" s="167"/>
      <c r="C102" s="155"/>
      <c r="D102" s="211"/>
      <c r="E102" s="211"/>
      <c r="F102" s="211"/>
      <c r="G102" s="112"/>
      <c r="H102" s="112"/>
      <c r="I102" s="112"/>
      <c r="J102" s="112"/>
      <c r="K102" s="112"/>
      <c r="L102" s="112"/>
      <c r="M102" s="112"/>
      <c r="N102" s="112"/>
      <c r="O102" s="112"/>
      <c r="P102" s="167"/>
      <c r="R102" s="124">
        <f t="shared" si="21"/>
        <v>0</v>
      </c>
    </row>
    <row r="103" spans="1:18">
      <c r="A103" s="225">
        <f>IF(ISBLANK(B103),"",MAX($A$98:$A102)+1)</f>
        <v>3</v>
      </c>
      <c r="B103" s="167" t="s">
        <v>42</v>
      </c>
      <c r="C103" s="155"/>
      <c r="D103" s="211"/>
      <c r="E103" s="211"/>
      <c r="F103" s="211"/>
      <c r="G103" s="112"/>
      <c r="H103" s="112"/>
      <c r="I103" s="112"/>
      <c r="J103" s="112"/>
      <c r="K103" s="112"/>
      <c r="L103" s="112"/>
      <c r="M103" s="112"/>
      <c r="N103" s="112"/>
      <c r="O103" s="112"/>
      <c r="P103" s="167"/>
      <c r="R103" s="124">
        <f t="shared" si="21"/>
        <v>0</v>
      </c>
    </row>
    <row r="104" spans="1:18">
      <c r="A104" s="225">
        <f>IF(ISBLANK(B104),"",MAX($A$98:$A103)+1)</f>
        <v>4</v>
      </c>
      <c r="B104" s="228" t="s">
        <v>43</v>
      </c>
      <c r="C104" s="155"/>
      <c r="D104" s="211">
        <f>Functional!G14</f>
        <v>23078457.348419193</v>
      </c>
      <c r="E104" s="211">
        <f>$D104*E$148</f>
        <v>10342631.088511476</v>
      </c>
      <c r="F104" s="211">
        <f>$D104*F$148</f>
        <v>7018703.3088153517</v>
      </c>
      <c r="G104" s="112">
        <f>SUM(E104:F104)</f>
        <v>17361334.397326827</v>
      </c>
      <c r="H104" s="112">
        <f t="shared" ref="H104:N104" si="22">$D104*H$148</f>
        <v>556006.4900908675</v>
      </c>
      <c r="I104" s="112">
        <f t="shared" si="22"/>
        <v>272290.73879941995</v>
      </c>
      <c r="J104" s="112">
        <f t="shared" si="22"/>
        <v>124317.27328408246</v>
      </c>
      <c r="K104" s="112">
        <f t="shared" si="22"/>
        <v>3078370.877040213</v>
      </c>
      <c r="L104" s="112">
        <f t="shared" si="22"/>
        <v>1686137.5718777799</v>
      </c>
      <c r="M104" s="112">
        <f t="shared" si="22"/>
        <v>0</v>
      </c>
      <c r="N104" s="112">
        <f t="shared" si="22"/>
        <v>0</v>
      </c>
      <c r="O104" s="112">
        <f>SUM(H104:N104)</f>
        <v>5717122.9510923624</v>
      </c>
      <c r="P104" s="167" t="str">
        <f>B146</f>
        <v>Winter Period Peak Demand - Transmission</v>
      </c>
      <c r="R104" s="124">
        <f t="shared" si="21"/>
        <v>0</v>
      </c>
    </row>
    <row r="105" spans="1:18" ht="15">
      <c r="A105" s="225">
        <f>IF(ISBLANK(B105),"",MAX($A$98:$A104)+1)</f>
        <v>5</v>
      </c>
      <c r="B105" s="228" t="s">
        <v>33</v>
      </c>
      <c r="C105" s="155"/>
      <c r="D105" s="230">
        <f>Functional!H14</f>
        <v>23081558.100027777</v>
      </c>
      <c r="E105" s="230">
        <f>$D105*E156</f>
        <v>7327133.3226520596</v>
      </c>
      <c r="F105" s="230">
        <f>$D105*F156</f>
        <v>5184913.5883223098</v>
      </c>
      <c r="G105" s="232">
        <f>SUM(E105:F105)</f>
        <v>12512046.910974368</v>
      </c>
      <c r="H105" s="230">
        <f t="shared" ref="H105:N105" si="23">$D105*H156</f>
        <v>1684041.1484901037</v>
      </c>
      <c r="I105" s="230">
        <f t="shared" si="23"/>
        <v>459313.46869510383</v>
      </c>
      <c r="J105" s="230">
        <f t="shared" si="23"/>
        <v>376534.10060783563</v>
      </c>
      <c r="K105" s="230">
        <f t="shared" si="23"/>
        <v>4759171.9455463449</v>
      </c>
      <c r="L105" s="230">
        <f t="shared" si="23"/>
        <v>3290450.5257140184</v>
      </c>
      <c r="M105" s="230">
        <f t="shared" si="23"/>
        <v>0</v>
      </c>
      <c r="N105" s="230">
        <f t="shared" si="23"/>
        <v>0</v>
      </c>
      <c r="O105" s="232">
        <f>SUM(H105:N105)</f>
        <v>10569511.189053405</v>
      </c>
      <c r="P105" s="167" t="str">
        <f>+B154</f>
        <v>Commodity - Transmission</v>
      </c>
      <c r="R105" s="124">
        <f t="shared" si="21"/>
        <v>0</v>
      </c>
    </row>
    <row r="106" spans="1:18">
      <c r="A106" s="225">
        <f>IF(ISBLANK(B106),"",MAX($A$98:$A105)+1)</f>
        <v>6</v>
      </c>
      <c r="B106" s="228" t="s">
        <v>44</v>
      </c>
      <c r="C106" s="155"/>
      <c r="D106" s="211">
        <f>SUM(D104:D105)</f>
        <v>46160015.448446974</v>
      </c>
      <c r="E106" s="211">
        <f>SUM(E104:E105)</f>
        <v>17669764.411163535</v>
      </c>
      <c r="F106" s="211">
        <f>SUM(F104:F105)</f>
        <v>12203616.897137661</v>
      </c>
      <c r="G106" s="211">
        <f>SUM(G104:G105)</f>
        <v>29873381.308301196</v>
      </c>
      <c r="H106" s="112">
        <f t="shared" ref="H106:M106" si="24">SUM(H104:H105)</f>
        <v>2240047.6385809714</v>
      </c>
      <c r="I106" s="112">
        <f t="shared" si="24"/>
        <v>731604.20749452384</v>
      </c>
      <c r="J106" s="112">
        <f t="shared" si="24"/>
        <v>500851.37389191811</v>
      </c>
      <c r="K106" s="112">
        <f t="shared" si="24"/>
        <v>7837542.8225865578</v>
      </c>
      <c r="L106" s="112">
        <f t="shared" si="24"/>
        <v>4976588.0975917988</v>
      </c>
      <c r="M106" s="112">
        <f t="shared" si="24"/>
        <v>0</v>
      </c>
      <c r="N106" s="112">
        <f>SUM(N104:N105)</f>
        <v>0</v>
      </c>
      <c r="O106" s="112">
        <f>SUM(O104:O105)</f>
        <v>16286634.140145767</v>
      </c>
      <c r="P106" s="167" t="str">
        <f>"Line "&amp;A104&amp;" + Line "&amp;A105</f>
        <v>Line 4 + Line 5</v>
      </c>
      <c r="R106" s="124">
        <f t="shared" si="21"/>
        <v>0</v>
      </c>
    </row>
    <row r="107" spans="1:18">
      <c r="A107" s="225" t="str">
        <f>IF(ISBLANK(B107),"",MAX($A$98:$A106)+1)</f>
        <v/>
      </c>
      <c r="B107" s="155"/>
      <c r="C107" s="155"/>
      <c r="D107" s="211"/>
      <c r="E107" s="211"/>
      <c r="F107" s="211"/>
      <c r="G107" s="112"/>
      <c r="H107" s="112"/>
      <c r="I107" s="112"/>
      <c r="J107" s="112"/>
      <c r="K107" s="112"/>
      <c r="L107" s="112"/>
      <c r="M107" s="112"/>
      <c r="N107" s="112"/>
      <c r="O107" s="112"/>
      <c r="P107" s="167"/>
      <c r="R107" s="124">
        <f t="shared" si="21"/>
        <v>0</v>
      </c>
    </row>
    <row r="108" spans="1:18">
      <c r="A108" s="225">
        <f>IF(ISBLANK(B108),"",MAX($A$98:$A107)+1)</f>
        <v>7</v>
      </c>
      <c r="B108" s="167" t="s">
        <v>45</v>
      </c>
      <c r="C108" s="155"/>
      <c r="D108" s="211"/>
      <c r="E108" s="211"/>
      <c r="F108" s="211"/>
      <c r="G108" s="112"/>
      <c r="H108" s="112"/>
      <c r="I108" s="112"/>
      <c r="J108" s="112"/>
      <c r="K108" s="112"/>
      <c r="L108" s="112"/>
      <c r="M108" s="112"/>
      <c r="N108" s="112"/>
      <c r="O108" s="112"/>
      <c r="P108" s="167"/>
      <c r="R108" s="124">
        <f t="shared" si="21"/>
        <v>0</v>
      </c>
    </row>
    <row r="109" spans="1:18">
      <c r="A109" s="225">
        <f>IF(ISBLANK(B109),"",MAX($A$98:$A108)+1)</f>
        <v>8</v>
      </c>
      <c r="B109" s="228" t="s">
        <v>43</v>
      </c>
      <c r="C109" s="155"/>
      <c r="D109" s="211">
        <f>Functional!I14</f>
        <v>127501214.1756119</v>
      </c>
      <c r="E109" s="211">
        <f>$D109*E$152</f>
        <v>61643526.056566983</v>
      </c>
      <c r="F109" s="211">
        <f>$D109*F$152</f>
        <v>41832452.167888418</v>
      </c>
      <c r="G109" s="112">
        <f>SUM(E109:F109)</f>
        <v>103475978.2244554</v>
      </c>
      <c r="H109" s="211">
        <f t="shared" ref="H109:N109" si="25">$D109*H$152</f>
        <v>3313876.3498592051</v>
      </c>
      <c r="I109" s="211">
        <f t="shared" si="25"/>
        <v>1622890.8397195507</v>
      </c>
      <c r="J109" s="211">
        <f t="shared" si="25"/>
        <v>740948.31473599572</v>
      </c>
      <c r="K109" s="211">
        <f t="shared" si="25"/>
        <v>18347520.446841735</v>
      </c>
      <c r="L109" s="211">
        <f t="shared" si="25"/>
        <v>0</v>
      </c>
      <c r="M109" s="211">
        <f t="shared" si="25"/>
        <v>0</v>
      </c>
      <c r="N109" s="211">
        <f t="shared" si="25"/>
        <v>0</v>
      </c>
      <c r="O109" s="112">
        <f>SUM(H109:N109)</f>
        <v>24025235.951156486</v>
      </c>
      <c r="P109" s="167" t="str">
        <f>+B150</f>
        <v>Winter Period Peak Demand - Distribution</v>
      </c>
      <c r="R109" s="124">
        <f t="shared" si="21"/>
        <v>0</v>
      </c>
    </row>
    <row r="110" spans="1:18">
      <c r="A110" s="225">
        <f>IF(ISBLANK(B110),"",MAX($A$98:$A109)+1)</f>
        <v>9</v>
      </c>
      <c r="B110" s="228" t="s">
        <v>33</v>
      </c>
      <c r="C110" s="155"/>
      <c r="D110" s="211">
        <f>Functional!J14</f>
        <v>32091086.043638386</v>
      </c>
      <c r="E110" s="211">
        <f>$D110*E160</f>
        <v>11880874.530519569</v>
      </c>
      <c r="F110" s="211">
        <f>$D110*F160</f>
        <v>8407286.326290939</v>
      </c>
      <c r="G110" s="112">
        <f>SUM(E110:F110)</f>
        <v>20288160.85681051</v>
      </c>
      <c r="H110" s="211">
        <f t="shared" ref="H110:N110" si="26">$D110*H160</f>
        <v>2730656.1390916705</v>
      </c>
      <c r="I110" s="211">
        <f t="shared" si="26"/>
        <v>744772.26651160151</v>
      </c>
      <c r="J110" s="211">
        <f t="shared" si="26"/>
        <v>610546.33630776114</v>
      </c>
      <c r="K110" s="211">
        <f t="shared" si="26"/>
        <v>7716950.4449168425</v>
      </c>
      <c r="L110" s="211">
        <f t="shared" si="26"/>
        <v>0</v>
      </c>
      <c r="M110" s="211">
        <f t="shared" si="26"/>
        <v>0</v>
      </c>
      <c r="N110" s="211">
        <f t="shared" si="26"/>
        <v>0</v>
      </c>
      <c r="O110" s="112">
        <f>SUM(H110:N110)</f>
        <v>11802925.186827876</v>
      </c>
      <c r="P110" s="167" t="str">
        <f>+B158</f>
        <v>Commodity - Distribution</v>
      </c>
      <c r="R110" s="124">
        <f t="shared" si="21"/>
        <v>0</v>
      </c>
    </row>
    <row r="111" spans="1:18" ht="15">
      <c r="A111" s="225">
        <f>IF(ISBLANK(B111),"",MAX($A$98:$A110)+1)</f>
        <v>10</v>
      </c>
      <c r="B111" s="228" t="s">
        <v>46</v>
      </c>
      <c r="C111" s="155"/>
      <c r="D111" s="230">
        <f>Functional!K14</f>
        <v>140245966.43672663</v>
      </c>
      <c r="E111" s="230">
        <f>$D111*E166</f>
        <v>103910978.27939269</v>
      </c>
      <c r="F111" s="230">
        <f>$D111*F166</f>
        <v>26329901.824985862</v>
      </c>
      <c r="G111" s="232">
        <f>SUM(E111:F111)</f>
        <v>130240880.10437855</v>
      </c>
      <c r="H111" s="230">
        <f t="shared" ref="H111:N111" si="27">$D111*H166</f>
        <v>8979705.1959229242</v>
      </c>
      <c r="I111" s="230">
        <f t="shared" si="27"/>
        <v>110950.87207453989</v>
      </c>
      <c r="J111" s="230">
        <f t="shared" si="27"/>
        <v>290179.20388725813</v>
      </c>
      <c r="K111" s="230">
        <f t="shared" si="27"/>
        <v>624251.06046334514</v>
      </c>
      <c r="L111" s="230">
        <f t="shared" si="27"/>
        <v>0</v>
      </c>
      <c r="M111" s="230">
        <f t="shared" si="27"/>
        <v>0</v>
      </c>
      <c r="N111" s="230">
        <f t="shared" si="27"/>
        <v>0</v>
      </c>
      <c r="O111" s="232">
        <f>SUM(H111:N111)</f>
        <v>10005086.332348067</v>
      </c>
      <c r="P111" s="167" t="str">
        <f>+B162</f>
        <v>Customer - Distribution</v>
      </c>
      <c r="R111" s="124">
        <f t="shared" si="21"/>
        <v>0</v>
      </c>
    </row>
    <row r="112" spans="1:18">
      <c r="A112" s="225">
        <f>IF(ISBLANK(B112),"",MAX($A$98:$A111)+1)</f>
        <v>11</v>
      </c>
      <c r="B112" s="228" t="s">
        <v>44</v>
      </c>
      <c r="C112" s="155"/>
      <c r="D112" s="211">
        <f>SUM(D109:D111)</f>
        <v>299838266.65597689</v>
      </c>
      <c r="E112" s="211">
        <f>SUM(E109:E111)</f>
        <v>177435378.86647925</v>
      </c>
      <c r="F112" s="211">
        <f>SUM(F109:F111)</f>
        <v>76569640.319165215</v>
      </c>
      <c r="G112" s="211">
        <f>SUM(G109:G111)</f>
        <v>254005019.18564445</v>
      </c>
      <c r="H112" s="112">
        <f t="shared" ref="H112:M112" si="28">SUM(H109:H111)</f>
        <v>15024237.684873801</v>
      </c>
      <c r="I112" s="112">
        <f t="shared" si="28"/>
        <v>2478613.9783056919</v>
      </c>
      <c r="J112" s="112">
        <f t="shared" si="28"/>
        <v>1641673.8549310151</v>
      </c>
      <c r="K112" s="112">
        <f t="shared" si="28"/>
        <v>26688721.952221923</v>
      </c>
      <c r="L112" s="112">
        <f t="shared" si="28"/>
        <v>0</v>
      </c>
      <c r="M112" s="112">
        <f t="shared" si="28"/>
        <v>0</v>
      </c>
      <c r="N112" s="112">
        <f>SUM(N109:N111)</f>
        <v>0</v>
      </c>
      <c r="O112" s="112">
        <f>SUM(O109:O111)</f>
        <v>45833247.470332429</v>
      </c>
      <c r="P112" s="167" t="str">
        <f>"Sum of Line "&amp;A109&amp;" through Line "&amp;A111</f>
        <v>Sum of Line 8 through Line 10</v>
      </c>
      <c r="R112" s="124">
        <f t="shared" si="21"/>
        <v>0</v>
      </c>
    </row>
    <row r="113" spans="1:18">
      <c r="A113" s="225" t="str">
        <f>IF(ISBLANK(B113),"",MAX($A$98:$A112)+1)</f>
        <v/>
      </c>
      <c r="B113" s="155"/>
      <c r="C113" s="155"/>
      <c r="D113" s="211"/>
      <c r="E113" s="211"/>
      <c r="F113" s="211"/>
      <c r="G113" s="112"/>
      <c r="H113" s="112"/>
      <c r="I113" s="112"/>
      <c r="J113" s="112"/>
      <c r="K113" s="112"/>
      <c r="L113" s="112"/>
      <c r="M113" s="112"/>
      <c r="N113" s="112"/>
      <c r="O113" s="112"/>
      <c r="P113" s="167"/>
      <c r="R113" s="124">
        <f t="shared" si="21"/>
        <v>0</v>
      </c>
    </row>
    <row r="114" spans="1:18">
      <c r="A114" s="225">
        <f>IF(ISBLANK(B114),"",MAX($A$98:$A113)+1)</f>
        <v>12</v>
      </c>
      <c r="B114" s="167" t="s">
        <v>34</v>
      </c>
      <c r="C114" s="155"/>
      <c r="D114" s="211">
        <f>Functional!L14</f>
        <v>116436646.0449515</v>
      </c>
      <c r="E114" s="211">
        <f>$D114*E172</f>
        <v>92267199.708296865</v>
      </c>
      <c r="F114" s="211">
        <f>$D114*F172</f>
        <v>23379496.086099394</v>
      </c>
      <c r="G114" s="112">
        <f>SUM(E114:F114)</f>
        <v>115646695.79439625</v>
      </c>
      <c r="H114" s="112">
        <f t="shared" ref="H114:N114" si="29">$D114*H172</f>
        <v>0</v>
      </c>
      <c r="I114" s="112">
        <f t="shared" si="29"/>
        <v>70370.168505377427</v>
      </c>
      <c r="J114" s="112">
        <f t="shared" si="29"/>
        <v>257663.07852738193</v>
      </c>
      <c r="K114" s="112">
        <f t="shared" si="29"/>
        <v>461917.00352247752</v>
      </c>
      <c r="L114" s="112">
        <f t="shared" si="29"/>
        <v>0</v>
      </c>
      <c r="M114" s="112">
        <f t="shared" si="29"/>
        <v>0</v>
      </c>
      <c r="N114" s="112">
        <f t="shared" si="29"/>
        <v>0</v>
      </c>
      <c r="O114" s="112">
        <f>SUM(H114:N114)</f>
        <v>789950.25055523682</v>
      </c>
      <c r="P114" s="167" t="str">
        <f>B168</f>
        <v xml:space="preserve">Services </v>
      </c>
      <c r="R114" s="124">
        <f t="shared" si="21"/>
        <v>0</v>
      </c>
    </row>
    <row r="115" spans="1:18">
      <c r="A115" s="225" t="str">
        <f>IF(ISBLANK(B115),"",MAX($A$98:$A114)+1)</f>
        <v/>
      </c>
      <c r="B115" s="167"/>
      <c r="C115" s="155"/>
      <c r="D115" s="211"/>
      <c r="E115" s="211"/>
      <c r="F115" s="211"/>
      <c r="G115" s="112"/>
      <c r="H115" s="112"/>
      <c r="I115" s="112"/>
      <c r="J115" s="112"/>
      <c r="K115" s="112"/>
      <c r="L115" s="112"/>
      <c r="M115" s="112"/>
      <c r="N115" s="112"/>
      <c r="O115" s="112"/>
      <c r="P115" s="167"/>
      <c r="R115" s="124">
        <f t="shared" si="21"/>
        <v>0</v>
      </c>
    </row>
    <row r="116" spans="1:18">
      <c r="A116" s="225">
        <f>IF(ISBLANK(B116),"",MAX($A$98:$A115)+1)</f>
        <v>13</v>
      </c>
      <c r="B116" s="167" t="s">
        <v>49</v>
      </c>
      <c r="C116" s="155"/>
      <c r="D116" s="211">
        <f>Functional!M14</f>
        <v>106608112.69869857</v>
      </c>
      <c r="E116" s="211">
        <f>$D116*E178</f>
        <v>64185003.216809936</v>
      </c>
      <c r="F116" s="211">
        <f>$D116*F178</f>
        <v>28461607.303747039</v>
      </c>
      <c r="G116" s="112">
        <f>SUM(E116:F116)</f>
        <v>92646610.520556971</v>
      </c>
      <c r="H116" s="112">
        <f t="shared" ref="H116:N116" si="30">$D116*H178</f>
        <v>11093388.137230545</v>
      </c>
      <c r="I116" s="112">
        <f t="shared" si="30"/>
        <v>195809.97390902523</v>
      </c>
      <c r="J116" s="112">
        <f t="shared" si="30"/>
        <v>597471.45885061543</v>
      </c>
      <c r="K116" s="112">
        <f t="shared" si="30"/>
        <v>1445981.3457897247</v>
      </c>
      <c r="L116" s="112">
        <f t="shared" si="30"/>
        <v>169450.93895973338</v>
      </c>
      <c r="M116" s="112">
        <f t="shared" si="30"/>
        <v>451869.17055928899</v>
      </c>
      <c r="N116" s="112">
        <f t="shared" si="30"/>
        <v>7531.1528426548166</v>
      </c>
      <c r="O116" s="112">
        <f>SUM(H116:N116)</f>
        <v>13961502.178141586</v>
      </c>
      <c r="P116" s="167" t="str">
        <f>B174</f>
        <v>Meters &amp; Regulators</v>
      </c>
      <c r="R116" s="124">
        <f t="shared" si="21"/>
        <v>0</v>
      </c>
    </row>
    <row r="117" spans="1:18">
      <c r="A117" s="225" t="str">
        <f>IF(ISBLANK(B117),"",MAX($A$98:$A116)+1)</f>
        <v/>
      </c>
      <c r="B117" s="167"/>
      <c r="C117" s="155"/>
      <c r="D117" s="211"/>
      <c r="E117" s="211"/>
      <c r="F117" s="211"/>
      <c r="G117" s="112"/>
      <c r="H117" s="112"/>
      <c r="I117" s="112"/>
      <c r="J117" s="112"/>
      <c r="K117" s="112"/>
      <c r="L117" s="112"/>
      <c r="M117" s="112"/>
      <c r="N117" s="112"/>
      <c r="O117" s="112"/>
      <c r="P117" s="167"/>
      <c r="R117" s="124">
        <f t="shared" si="21"/>
        <v>0</v>
      </c>
    </row>
    <row r="118" spans="1:18">
      <c r="A118" s="225">
        <f>IF(ISBLANK(B118),"",MAX($A$98:$A117)+1)</f>
        <v>14</v>
      </c>
      <c r="B118" s="167" t="s">
        <v>50</v>
      </c>
      <c r="C118" s="155"/>
      <c r="D118" s="211">
        <f>Functional!N14</f>
        <v>27617363.427152395</v>
      </c>
      <c r="E118" s="211">
        <f>$D118*E184</f>
        <v>22017284.32219024</v>
      </c>
      <c r="F118" s="211">
        <f>$D118*F184</f>
        <v>4184203.7115945155</v>
      </c>
      <c r="G118" s="112">
        <f>SUM(E118:F118)</f>
        <v>26201488.033784755</v>
      </c>
      <c r="H118" s="112">
        <f t="shared" ref="H118:N118" si="31">$D118*H184</f>
        <v>1141604.4331513701</v>
      </c>
      <c r="I118" s="112">
        <f t="shared" si="31"/>
        <v>16792.099605077859</v>
      </c>
      <c r="J118" s="112">
        <f t="shared" si="31"/>
        <v>102474.86425662898</v>
      </c>
      <c r="K118" s="112">
        <f t="shared" si="31"/>
        <v>110225.06407435721</v>
      </c>
      <c r="L118" s="112">
        <f t="shared" si="31"/>
        <v>15500.399635456482</v>
      </c>
      <c r="M118" s="112">
        <f t="shared" si="31"/>
        <v>25833.999392427471</v>
      </c>
      <c r="N118" s="112">
        <f t="shared" si="31"/>
        <v>3444.533252323663</v>
      </c>
      <c r="O118" s="112">
        <f>SUM(H118:N118)</f>
        <v>1415875.3933676421</v>
      </c>
      <c r="P118" s="167" t="str">
        <f>B180</f>
        <v>Customer Accounts</v>
      </c>
      <c r="R118" s="124">
        <f t="shared" si="21"/>
        <v>0</v>
      </c>
    </row>
    <row r="119" spans="1:18">
      <c r="A119" s="225" t="str">
        <f>IF(ISBLANK(B119),"",MAX($A$98:$A118)+1)</f>
        <v/>
      </c>
      <c r="B119" s="155"/>
      <c r="C119" s="155"/>
      <c r="D119" s="211"/>
      <c r="E119" s="211"/>
      <c r="F119" s="211"/>
      <c r="G119" s="112"/>
      <c r="H119" s="112"/>
      <c r="I119" s="112"/>
      <c r="J119" s="112"/>
      <c r="K119" s="112"/>
      <c r="L119" s="112"/>
      <c r="M119" s="112"/>
      <c r="N119" s="112"/>
      <c r="O119" s="112"/>
      <c r="P119" s="167"/>
      <c r="R119" s="124">
        <f t="shared" si="21"/>
        <v>0</v>
      </c>
    </row>
    <row r="120" spans="1:18">
      <c r="A120" s="225">
        <f>A118+1</f>
        <v>15</v>
      </c>
      <c r="B120" s="155" t="s">
        <v>642</v>
      </c>
      <c r="C120" s="155"/>
      <c r="D120" s="211">
        <f>'COS Statement N'!K95</f>
        <v>-15464912.93187424</v>
      </c>
      <c r="E120" s="211">
        <f>(E$101+E$106+E$112+E$114+E$116+E$118)/($G$101+$G$106+$G$112+$G$114+$G$116+$G$118)*$D$120</f>
        <v>-11139956.11991518</v>
      </c>
      <c r="F120" s="211">
        <f>(F$101+F$106+F$112+F$114+F$116+F$118)/($G$101+$G$106+$G$112+$G$114+$G$116+$G$118)*$D$120</f>
        <v>-4324956.811959059</v>
      </c>
      <c r="G120" s="112">
        <f>SUM(E120:F120)</f>
        <v>-15464912.931874238</v>
      </c>
      <c r="H120" s="112"/>
      <c r="I120" s="112"/>
      <c r="J120" s="112"/>
      <c r="K120" s="112"/>
      <c r="L120" s="112"/>
      <c r="M120" s="112"/>
      <c r="N120" s="112"/>
      <c r="O120" s="112"/>
      <c r="P120" s="167" t="s">
        <v>10</v>
      </c>
      <c r="R120" s="124"/>
    </row>
    <row r="121" spans="1:18">
      <c r="A121" s="225"/>
      <c r="B121" s="155"/>
      <c r="C121" s="155"/>
      <c r="D121" s="211"/>
      <c r="E121" s="211"/>
      <c r="F121" s="211"/>
      <c r="G121" s="112"/>
      <c r="H121" s="112"/>
      <c r="I121" s="112"/>
      <c r="J121" s="112"/>
      <c r="K121" s="112"/>
      <c r="L121" s="112"/>
      <c r="M121" s="112"/>
      <c r="N121" s="112"/>
      <c r="O121" s="112"/>
      <c r="P121" s="167"/>
      <c r="R121" s="124"/>
    </row>
    <row r="122" spans="1:18" s="134" customFormat="1">
      <c r="A122" s="225">
        <f>A120+1</f>
        <v>16</v>
      </c>
      <c r="B122" s="167" t="s">
        <v>218</v>
      </c>
      <c r="C122" s="408"/>
      <c r="D122" s="409"/>
      <c r="E122" s="409"/>
      <c r="F122" s="409"/>
      <c r="G122" s="410"/>
      <c r="H122" s="410"/>
      <c r="I122" s="410"/>
      <c r="J122" s="410"/>
      <c r="K122" s="410"/>
      <c r="L122" s="410"/>
      <c r="M122" s="410"/>
      <c r="N122" s="410"/>
      <c r="O122" s="410"/>
      <c r="P122" s="411"/>
      <c r="R122" s="124">
        <f t="shared" si="21"/>
        <v>0</v>
      </c>
    </row>
    <row r="123" spans="1:18" s="134" customFormat="1">
      <c r="A123" s="225">
        <f>IF(ISBLANK(B123),"",MAX($A$98:$A122)+1)</f>
        <v>17</v>
      </c>
      <c r="B123" s="228" t="s">
        <v>612</v>
      </c>
      <c r="C123" s="408"/>
      <c r="D123" s="211">
        <f>+Functional!P14</f>
        <v>1332903.3733503872</v>
      </c>
      <c r="E123" s="211">
        <v>0</v>
      </c>
      <c r="F123" s="211">
        <v>0</v>
      </c>
      <c r="G123" s="112">
        <v>0</v>
      </c>
      <c r="H123" s="112"/>
      <c r="I123" s="112"/>
      <c r="J123" s="112"/>
      <c r="K123" s="112"/>
      <c r="L123" s="112"/>
      <c r="M123" s="112">
        <f>+D123</f>
        <v>1332903.3733503872</v>
      </c>
      <c r="N123" s="112"/>
      <c r="O123" s="112">
        <f>SUM(H123:N123)</f>
        <v>1332903.3733503872</v>
      </c>
      <c r="P123" s="167" t="s">
        <v>47</v>
      </c>
      <c r="R123" s="124">
        <f t="shared" si="21"/>
        <v>0</v>
      </c>
    </row>
    <row r="124" spans="1:18" s="134" customFormat="1" ht="15">
      <c r="A124" s="225">
        <f>IF(ISBLANK(B124),"",MAX($A$98:$A123)+1)</f>
        <v>18</v>
      </c>
      <c r="B124" s="228" t="s">
        <v>613</v>
      </c>
      <c r="C124" s="408"/>
      <c r="D124" s="230">
        <f>+Functional!Q14</f>
        <v>2287586.8712213729</v>
      </c>
      <c r="E124" s="230">
        <v>0</v>
      </c>
      <c r="F124" s="230">
        <v>0</v>
      </c>
      <c r="G124" s="232">
        <v>0</v>
      </c>
      <c r="H124" s="232">
        <v>0</v>
      </c>
      <c r="I124" s="232">
        <v>0</v>
      </c>
      <c r="J124" s="232">
        <v>0</v>
      </c>
      <c r="K124" s="232">
        <v>0</v>
      </c>
      <c r="L124" s="232">
        <v>0</v>
      </c>
      <c r="M124" s="232">
        <v>0</v>
      </c>
      <c r="N124" s="232">
        <f>+D124</f>
        <v>2287586.8712213729</v>
      </c>
      <c r="O124" s="232">
        <f>SUM(H124:N124)</f>
        <v>2287586.8712213729</v>
      </c>
      <c r="P124" s="167" t="s">
        <v>47</v>
      </c>
      <c r="R124" s="124">
        <f t="shared" si="21"/>
        <v>0</v>
      </c>
    </row>
    <row r="125" spans="1:18">
      <c r="A125" s="225">
        <f>IF(ISBLANK(B125),"",MAX($A$98:$A124)+1)</f>
        <v>19</v>
      </c>
      <c r="B125" s="228" t="s">
        <v>228</v>
      </c>
      <c r="C125" s="155"/>
      <c r="D125" s="211">
        <f>SUM(D123:D124)</f>
        <v>3620490.2445717603</v>
      </c>
      <c r="E125" s="211">
        <f t="shared" ref="E125:O125" si="32">SUM(E123:E124)</f>
        <v>0</v>
      </c>
      <c r="F125" s="211">
        <f t="shared" si="32"/>
        <v>0</v>
      </c>
      <c r="G125" s="211">
        <f t="shared" si="32"/>
        <v>0</v>
      </c>
      <c r="H125" s="112">
        <f t="shared" si="32"/>
        <v>0</v>
      </c>
      <c r="I125" s="112">
        <f t="shared" si="32"/>
        <v>0</v>
      </c>
      <c r="J125" s="112">
        <f t="shared" si="32"/>
        <v>0</v>
      </c>
      <c r="K125" s="112">
        <f t="shared" si="32"/>
        <v>0</v>
      </c>
      <c r="L125" s="112">
        <f t="shared" si="32"/>
        <v>0</v>
      </c>
      <c r="M125" s="112">
        <f t="shared" ref="M125" si="33">SUM(M123:M124)</f>
        <v>1332903.3733503872</v>
      </c>
      <c r="N125" s="112">
        <f>SUM(N123:N124)</f>
        <v>2287586.8712213729</v>
      </c>
      <c r="O125" s="112">
        <f t="shared" si="32"/>
        <v>3620490.2445717603</v>
      </c>
      <c r="P125" s="167" t="str">
        <f>"Line "&amp;A123&amp;" + Line "&amp;A124</f>
        <v>Line 17 + Line 18</v>
      </c>
      <c r="R125" s="124">
        <f t="shared" si="21"/>
        <v>0</v>
      </c>
    </row>
    <row r="126" spans="1:18">
      <c r="A126" s="117" t="str">
        <f>IF(ISBLANK(B126),"",MAX($A$98:$A125)+1)</f>
        <v/>
      </c>
      <c r="B126" s="169"/>
      <c r="D126" s="135"/>
      <c r="E126" s="135"/>
      <c r="F126" s="135"/>
      <c r="G126" s="4"/>
      <c r="H126" s="4"/>
      <c r="I126" s="4"/>
      <c r="J126" s="4"/>
      <c r="K126" s="4"/>
      <c r="L126" s="4"/>
      <c r="M126" s="4"/>
      <c r="N126" s="4"/>
      <c r="O126" s="112"/>
      <c r="P126" s="140"/>
      <c r="R126" s="124">
        <f t="shared" si="21"/>
        <v>0</v>
      </c>
    </row>
    <row r="127" spans="1:18">
      <c r="A127" s="117">
        <f>IF(ISBLANK(B127),"",MAX($A$98:$A126)+1)</f>
        <v>20</v>
      </c>
      <c r="B127" s="140" t="s">
        <v>51</v>
      </c>
      <c r="D127" s="135">
        <f>SUM(D101,D106,D112,D114,D116,D118,D120,D125)</f>
        <v>586098201.8273865</v>
      </c>
      <c r="E127" s="135">
        <f t="shared" ref="E127:O127" si="34">SUM(E101,E106,E112,E114,E116,E118,E120,E125)</f>
        <v>363183290.26452982</v>
      </c>
      <c r="F127" s="135">
        <f t="shared" si="34"/>
        <v>141001636.65916148</v>
      </c>
      <c r="G127" s="135">
        <f t="shared" si="34"/>
        <v>504184926.92369139</v>
      </c>
      <c r="H127" s="135">
        <f t="shared" si="34"/>
        <v>29499277.893836688</v>
      </c>
      <c r="I127" s="135">
        <f t="shared" si="34"/>
        <v>3493190.4278196963</v>
      </c>
      <c r="J127" s="135">
        <f t="shared" si="34"/>
        <v>3105709.8570382725</v>
      </c>
      <c r="K127" s="135">
        <f t="shared" si="34"/>
        <v>36544388.188195042</v>
      </c>
      <c r="L127" s="135">
        <f t="shared" si="34"/>
        <v>5161539.4361869888</v>
      </c>
      <c r="M127" s="135">
        <f t="shared" si="34"/>
        <v>1810606.5433021036</v>
      </c>
      <c r="N127" s="135">
        <f t="shared" si="34"/>
        <v>2298562.5573163512</v>
      </c>
      <c r="O127" s="135">
        <f t="shared" si="34"/>
        <v>81913274.903695151</v>
      </c>
      <c r="P127" s="140" t="s">
        <v>654</v>
      </c>
      <c r="R127" s="124">
        <f t="shared" si="21"/>
        <v>0</v>
      </c>
    </row>
    <row r="128" spans="1:18">
      <c r="A128" s="117" t="str">
        <f>IF(ISBLANK(B128),"",MAX($A$98:$A127)+1)</f>
        <v/>
      </c>
      <c r="D128" s="135"/>
      <c r="E128" s="135"/>
      <c r="F128" s="135"/>
      <c r="G128" s="4"/>
      <c r="H128" s="4"/>
      <c r="I128" s="4"/>
      <c r="J128" s="4"/>
      <c r="K128" s="4"/>
      <c r="L128" s="4"/>
      <c r="M128" s="4"/>
      <c r="N128" s="4"/>
      <c r="O128" s="4"/>
    </row>
    <row r="129" spans="1:18">
      <c r="A129" s="113" t="str">
        <f>A1</f>
        <v>Black Hills Nebraska Gas, LLC</v>
      </c>
      <c r="B129" s="115"/>
      <c r="C129" s="115"/>
      <c r="D129" s="115"/>
      <c r="E129" s="115"/>
      <c r="F129" s="115"/>
      <c r="G129" s="634" t="str">
        <f>$P$1</f>
        <v>Section 4, Exhibit B</v>
      </c>
      <c r="H129" s="196"/>
      <c r="I129" s="196"/>
      <c r="J129" s="196"/>
      <c r="K129" s="196"/>
      <c r="L129" s="196"/>
      <c r="M129" s="196"/>
      <c r="N129" s="196"/>
      <c r="O129" s="196"/>
      <c r="P129" s="634" t="str">
        <f>$P$1</f>
        <v>Section 4, Exhibit B</v>
      </c>
    </row>
    <row r="130" spans="1:18">
      <c r="A130" s="113" t="s">
        <v>484</v>
      </c>
      <c r="B130" s="115"/>
      <c r="C130" s="115"/>
      <c r="D130" s="115"/>
      <c r="E130" s="115"/>
      <c r="F130" s="115"/>
      <c r="G130" s="634" t="s">
        <v>39</v>
      </c>
      <c r="H130" s="196"/>
      <c r="I130" s="196"/>
      <c r="J130" s="196"/>
      <c r="K130" s="196"/>
      <c r="L130" s="196"/>
      <c r="M130" s="196"/>
      <c r="N130" s="196"/>
      <c r="O130" s="196"/>
      <c r="P130" s="634" t="s">
        <v>39</v>
      </c>
    </row>
    <row r="131" spans="1:18">
      <c r="A131" s="113" t="str">
        <f>A3</f>
        <v>FOR THE PRO FORMA PERIOD ENDED DECEMBER 31, 2020</v>
      </c>
      <c r="B131" s="115"/>
      <c r="C131" s="115"/>
      <c r="D131" s="115"/>
      <c r="E131" s="115"/>
      <c r="F131" s="115"/>
      <c r="G131" s="634" t="s">
        <v>75</v>
      </c>
      <c r="H131" s="196"/>
      <c r="I131" s="196"/>
      <c r="J131" s="196"/>
      <c r="K131" s="196"/>
      <c r="L131" s="196"/>
      <c r="M131" s="196"/>
      <c r="N131" s="196"/>
      <c r="O131" s="196"/>
      <c r="P131" s="634" t="s">
        <v>60</v>
      </c>
    </row>
    <row r="134" spans="1:18">
      <c r="A134" s="117"/>
      <c r="B134" s="115" t="s">
        <v>0</v>
      </c>
      <c r="C134" s="115"/>
      <c r="D134" s="117" t="s">
        <v>1</v>
      </c>
      <c r="E134" s="117" t="s">
        <v>2</v>
      </c>
      <c r="F134" s="117" t="s">
        <v>3</v>
      </c>
      <c r="G134" s="117" t="s">
        <v>4</v>
      </c>
      <c r="H134" s="117" t="s">
        <v>5</v>
      </c>
      <c r="I134" s="117" t="s">
        <v>26</v>
      </c>
      <c r="J134" s="117" t="s">
        <v>61</v>
      </c>
      <c r="K134" s="117" t="s">
        <v>62</v>
      </c>
      <c r="L134" s="117" t="s">
        <v>63</v>
      </c>
      <c r="M134" s="117" t="s">
        <v>64</v>
      </c>
      <c r="N134" s="117" t="s">
        <v>79</v>
      </c>
      <c r="O134" s="117" t="s">
        <v>80</v>
      </c>
      <c r="P134" s="117" t="s">
        <v>81</v>
      </c>
    </row>
    <row r="136" spans="1:18">
      <c r="A136" s="118"/>
      <c r="B136" s="119"/>
      <c r="C136" s="120"/>
      <c r="D136" s="118"/>
      <c r="E136" s="118"/>
      <c r="F136" s="118"/>
      <c r="G136" s="201"/>
      <c r="H136" s="218" t="str">
        <f>H$8</f>
        <v>Non-Jurisdictional Customer Classes (View as Aggregate)</v>
      </c>
      <c r="I136" s="219"/>
      <c r="J136" s="219"/>
      <c r="K136" s="219"/>
      <c r="L136" s="219"/>
      <c r="M136" s="219"/>
      <c r="N136" s="219"/>
      <c r="O136" s="201" t="str">
        <f>$O$8</f>
        <v>Total</v>
      </c>
      <c r="P136" s="118"/>
    </row>
    <row r="137" spans="1:18">
      <c r="A137" s="125" t="s">
        <v>6</v>
      </c>
      <c r="B137" s="126"/>
      <c r="C137" s="117"/>
      <c r="D137" s="125" t="str">
        <f>$D$9</f>
        <v>Total</v>
      </c>
      <c r="E137" s="125" t="str">
        <f>$E$9</f>
        <v>Residential</v>
      </c>
      <c r="F137" s="125" t="str">
        <f>$F$9</f>
        <v>Commercial</v>
      </c>
      <c r="G137" s="205" t="str">
        <f>$G$9</f>
        <v>Total</v>
      </c>
      <c r="H137" s="205"/>
      <c r="I137" s="205"/>
      <c r="J137" s="205" t="str">
        <f>J$9</f>
        <v>Interruptible</v>
      </c>
      <c r="K137" s="205" t="str">
        <f>K$9</f>
        <v>Negotiated</v>
      </c>
      <c r="L137" s="205" t="str">
        <f>L$9</f>
        <v>Negotiated</v>
      </c>
      <c r="M137" s="220" t="str">
        <f>+$M$9</f>
        <v>Negotiated</v>
      </c>
      <c r="N137" s="203" t="s">
        <v>418</v>
      </c>
      <c r="O137" s="205" t="str">
        <f>$O$9</f>
        <v>Non-</v>
      </c>
      <c r="P137" s="125"/>
    </row>
    <row r="138" spans="1:18">
      <c r="A138" s="130" t="s">
        <v>7</v>
      </c>
      <c r="B138" s="127" t="s">
        <v>8</v>
      </c>
      <c r="C138" s="129"/>
      <c r="D138" s="130" t="str">
        <f>$D$10</f>
        <v>Nebraska</v>
      </c>
      <c r="E138" s="130" t="str">
        <f>$E$10</f>
        <v>Service</v>
      </c>
      <c r="F138" s="130" t="str">
        <f>$F$10</f>
        <v>Service</v>
      </c>
      <c r="G138" s="208" t="str">
        <f>$G$10</f>
        <v>Jurisdictional</v>
      </c>
      <c r="H138" s="208" t="str">
        <f>H$10</f>
        <v>Agricultural</v>
      </c>
      <c r="I138" s="208" t="str">
        <f t="shared" ref="I138:M138" si="35">I$10</f>
        <v>Maximum Rate</v>
      </c>
      <c r="J138" s="208" t="str">
        <f t="shared" si="35"/>
        <v>Sales</v>
      </c>
      <c r="K138" s="208" t="str">
        <f t="shared" si="35"/>
        <v>Distribution</v>
      </c>
      <c r="L138" s="208" t="str">
        <f t="shared" si="35"/>
        <v>Transmission</v>
      </c>
      <c r="M138" s="221" t="str">
        <f t="shared" si="35"/>
        <v>Direct</v>
      </c>
      <c r="N138" s="207" t="s">
        <v>41</v>
      </c>
      <c r="O138" s="208" t="str">
        <f>$O$10</f>
        <v>Jurisdictional</v>
      </c>
      <c r="P138" s="130" t="s">
        <v>28</v>
      </c>
    </row>
    <row r="139" spans="1:18">
      <c r="A139" s="117"/>
      <c r="B139" s="117"/>
      <c r="C139" s="117"/>
      <c r="D139" s="117"/>
      <c r="E139" s="117"/>
      <c r="F139" s="117"/>
      <c r="G139" s="148"/>
      <c r="H139" s="148"/>
      <c r="I139" s="148"/>
      <c r="J139" s="148"/>
      <c r="K139" s="148"/>
      <c r="L139" s="148"/>
      <c r="M139" s="148"/>
      <c r="N139" s="148"/>
      <c r="O139" s="148"/>
      <c r="P139" s="117"/>
    </row>
    <row r="140" spans="1:18">
      <c r="A140" s="117"/>
    </row>
    <row r="141" spans="1:18">
      <c r="A141" s="117">
        <f>IF(ISBLANK(B141),"",MAX($A$140:$A140)+1)</f>
        <v>1</v>
      </c>
      <c r="B141" s="134" t="s">
        <v>32</v>
      </c>
    </row>
    <row r="142" spans="1:18">
      <c r="A142" s="117">
        <f>IF(ISBLANK(B142),"",MAX($A$140:$A141)+1)</f>
        <v>2</v>
      </c>
      <c r="B142" s="140" t="s">
        <v>12</v>
      </c>
      <c r="H142" s="4"/>
      <c r="I142" s="4"/>
      <c r="J142" s="4"/>
      <c r="K142" s="4"/>
      <c r="L142" s="4"/>
      <c r="M142" s="4"/>
      <c r="N142" s="4"/>
      <c r="O142" s="4"/>
    </row>
    <row r="143" spans="1:18">
      <c r="A143" s="117">
        <f>IF(ISBLANK(B143),"",MAX($A$140:$A142)+1)</f>
        <v>3</v>
      </c>
      <c r="B143" s="169" t="s">
        <v>217</v>
      </c>
      <c r="D143" s="211">
        <f>G143+O143</f>
        <v>129784344.5304046</v>
      </c>
      <c r="E143" s="211">
        <f>+'Section 3 Exhibit C'!D64</f>
        <v>75773736.555325657</v>
      </c>
      <c r="F143" s="211">
        <f>+'Section 3 Exhibit C'!E64</f>
        <v>53446292.185078934</v>
      </c>
      <c r="G143" s="112">
        <f>SUM(E143:F143)</f>
        <v>129220028.74040459</v>
      </c>
      <c r="H143" s="112">
        <f>+'Section 3 Exhibit C'!G64</f>
        <v>0</v>
      </c>
      <c r="I143" s="112">
        <f>+'Section 3 Exhibit C'!H64</f>
        <v>0</v>
      </c>
      <c r="J143" s="112">
        <f>+'Section 3 Exhibit C'!I64</f>
        <v>564315.79</v>
      </c>
      <c r="K143" s="112">
        <f>+'Section 3 Exhibit C'!J64</f>
        <v>0</v>
      </c>
      <c r="L143" s="112">
        <f>+'Section 3 Exhibit C'!K64</f>
        <v>0</v>
      </c>
      <c r="M143" s="112">
        <f>+'Section 3 Exhibit C'!L64</f>
        <v>0</v>
      </c>
      <c r="N143" s="112">
        <f>+'Section 3 Exhibit C'!M64</f>
        <v>0</v>
      </c>
      <c r="O143" s="112">
        <f>SUM(H143:N143)</f>
        <v>564315.79</v>
      </c>
      <c r="P143" s="155" t="str">
        <f>"Section 3, Exhibit C, Line "&amp;'Section 3 Exhibit C'!A64</f>
        <v>Section 3, Exhibit C, Line 38</v>
      </c>
      <c r="R143" s="124">
        <f t="shared" ref="R143:R149" si="36">G143+O143-D143</f>
        <v>0</v>
      </c>
    </row>
    <row r="144" spans="1:18">
      <c r="A144" s="225">
        <f>IF(ISBLANK(B144),"",MAX($A$140:$A143)+1)</f>
        <v>4</v>
      </c>
      <c r="B144" s="228" t="s">
        <v>52</v>
      </c>
      <c r="C144" s="155"/>
      <c r="D144" s="233">
        <f>D143/$D143</f>
        <v>1</v>
      </c>
      <c r="E144" s="233">
        <f>E143/$D143</f>
        <v>0.58384342756821594</v>
      </c>
      <c r="F144" s="233">
        <f>F143/$D143</f>
        <v>0.41180846872141857</v>
      </c>
      <c r="G144" s="234">
        <f>G143/$D143</f>
        <v>0.99565189628963446</v>
      </c>
      <c r="H144" s="234">
        <f t="shared" ref="H144:O144" si="37">H143/$D143</f>
        <v>0</v>
      </c>
      <c r="I144" s="234">
        <f t="shared" si="37"/>
        <v>0</v>
      </c>
      <c r="J144" s="234">
        <f t="shared" si="37"/>
        <v>4.3481037103654495E-3</v>
      </c>
      <c r="K144" s="234">
        <f t="shared" si="37"/>
        <v>0</v>
      </c>
      <c r="L144" s="234">
        <f t="shared" si="37"/>
        <v>0</v>
      </c>
      <c r="M144" s="234">
        <f t="shared" si="37"/>
        <v>0</v>
      </c>
      <c r="N144" s="234">
        <f>N143/$D143</f>
        <v>0</v>
      </c>
      <c r="O144" s="234">
        <f t="shared" si="37"/>
        <v>4.3481037103654495E-3</v>
      </c>
      <c r="P144" s="34" t="str">
        <f>"Line "&amp;A143&amp;" / Column B, Line "&amp;A143</f>
        <v>Line 3 / Column B, Line 3</v>
      </c>
      <c r="R144" s="124">
        <f t="shared" si="36"/>
        <v>0</v>
      </c>
    </row>
    <row r="145" spans="1:18">
      <c r="A145" s="225" t="str">
        <f>IF(ISBLANK(B145),"",MAX($A$140:$A144)+1)</f>
        <v/>
      </c>
      <c r="B145" s="408"/>
      <c r="C145" s="155"/>
      <c r="D145" s="155"/>
      <c r="E145" s="155"/>
      <c r="F145" s="155"/>
      <c r="G145" s="172"/>
      <c r="H145" s="172"/>
      <c r="I145" s="172"/>
      <c r="J145" s="172"/>
      <c r="K145" s="172"/>
      <c r="L145" s="172"/>
      <c r="M145" s="172"/>
      <c r="N145" s="172"/>
      <c r="O145" s="172"/>
      <c r="R145" s="124">
        <f t="shared" si="36"/>
        <v>0</v>
      </c>
    </row>
    <row r="146" spans="1:18">
      <c r="A146" s="225">
        <f>IF(ISBLANK(B146),"",MAX($A$140:$A145)+1)</f>
        <v>5</v>
      </c>
      <c r="B146" s="167" t="s">
        <v>419</v>
      </c>
      <c r="C146" s="155" t="s">
        <v>53</v>
      </c>
      <c r="D146" s="155"/>
      <c r="E146" s="416">
        <v>0.2339</v>
      </c>
      <c r="F146" s="416">
        <v>0.24390000000000001</v>
      </c>
      <c r="G146" s="172"/>
      <c r="H146" s="214">
        <v>1</v>
      </c>
      <c r="I146" s="214">
        <v>0.55693366736911276</v>
      </c>
      <c r="J146" s="214">
        <v>1</v>
      </c>
      <c r="K146" s="214">
        <v>0.51043167413666635</v>
      </c>
      <c r="L146" s="214">
        <f>L155/365/L147</f>
        <v>0.64430206229384401</v>
      </c>
      <c r="M146" s="214"/>
      <c r="N146" s="214"/>
      <c r="O146" s="214"/>
      <c r="P146" s="34" t="s">
        <v>486</v>
      </c>
      <c r="R146" s="124">
        <f t="shared" si="36"/>
        <v>0</v>
      </c>
    </row>
    <row r="147" spans="1:18">
      <c r="A147" s="225">
        <f>IF(ISBLANK(B147),"",MAX($A$140:$A146)+1)</f>
        <v>6</v>
      </c>
      <c r="B147" s="228" t="s">
        <v>225</v>
      </c>
      <c r="C147" s="155"/>
      <c r="D147" s="211">
        <f>G147+O147</f>
        <v>4662809.3674054341</v>
      </c>
      <c r="E147" s="211">
        <f>IF(E146=0,0,E155/365/E146)</f>
        <v>2089642.145272474</v>
      </c>
      <c r="F147" s="211">
        <f>IF(F146=0,0,F155/365/F146)</f>
        <v>1418070.3259884671</v>
      </c>
      <c r="G147" s="112">
        <f>SUM(E147:F147)</f>
        <v>3507712.4712609411</v>
      </c>
      <c r="H147" s="112">
        <f>IF(H146=0,0,H155/365/H146)</f>
        <v>112336.46301369862</v>
      </c>
      <c r="I147" s="112">
        <f>IF(I146=0,0,I155/365/I146)</f>
        <v>55014.067377369502</v>
      </c>
      <c r="J147" s="112">
        <f>IF(J146=0,0,J155/365/J146)</f>
        <v>25117.265753424657</v>
      </c>
      <c r="K147" s="112">
        <f>IF(K146=0,0,K155/365/K146)</f>
        <v>621959.1</v>
      </c>
      <c r="L147" s="112">
        <v>340670</v>
      </c>
      <c r="M147" s="112">
        <f>IF(M146=0,0,#REF!/365/M146)</f>
        <v>0</v>
      </c>
      <c r="N147" s="112">
        <f>IF(N146=0,0,#REF!/365/N146)</f>
        <v>0</v>
      </c>
      <c r="O147" s="4">
        <f>SUM(H147:N147)</f>
        <v>1155096.8961444928</v>
      </c>
      <c r="P147" s="155" t="str">
        <f>"Line "&amp;A155&amp;" / 365 / Line "&amp;A146</f>
        <v>Line 12 / 365 / Line 5</v>
      </c>
      <c r="R147" s="124">
        <f t="shared" si="36"/>
        <v>0</v>
      </c>
    </row>
    <row r="148" spans="1:18">
      <c r="A148" s="225">
        <f>IF(ISBLANK(B148),"",MAX($A$140:$A147)+1)</f>
        <v>7</v>
      </c>
      <c r="B148" s="228" t="s">
        <v>52</v>
      </c>
      <c r="C148" s="155"/>
      <c r="D148" s="233">
        <f>D147/$D147</f>
        <v>1</v>
      </c>
      <c r="E148" s="233">
        <f>E147/$D147</f>
        <v>0.44815088514657225</v>
      </c>
      <c r="F148" s="233">
        <f>F147/$D147</f>
        <v>0.30412359036190573</v>
      </c>
      <c r="G148" s="234">
        <f>G147/$D147</f>
        <v>0.75227447550847804</v>
      </c>
      <c r="H148" s="234">
        <f t="shared" ref="H148:O148" si="38">H147/$D147</f>
        <v>2.4092012810767543E-2</v>
      </c>
      <c r="I148" s="234">
        <f t="shared" si="38"/>
        <v>1.1798480924812381E-2</v>
      </c>
      <c r="J148" s="234">
        <f t="shared" si="38"/>
        <v>5.3867237054558946E-3</v>
      </c>
      <c r="K148" s="234">
        <f t="shared" si="38"/>
        <v>0.13338720307711868</v>
      </c>
      <c r="L148" s="234">
        <f t="shared" si="38"/>
        <v>7.3061103973367417E-2</v>
      </c>
      <c r="M148" s="234">
        <f t="shared" si="38"/>
        <v>0</v>
      </c>
      <c r="N148" s="234">
        <f>N147/$D147</f>
        <v>0</v>
      </c>
      <c r="O148" s="222">
        <f t="shared" si="38"/>
        <v>0.24772552449152194</v>
      </c>
      <c r="P148" s="34" t="str">
        <f>"Line "&amp;A147&amp;" / Column B, Line "&amp;A147</f>
        <v>Line 6 / Column B, Line 6</v>
      </c>
      <c r="R148" s="124">
        <f t="shared" si="36"/>
        <v>0</v>
      </c>
    </row>
    <row r="149" spans="1:18">
      <c r="A149" s="225" t="str">
        <f>IF(ISBLANK(B149),"",MAX($A$140:$A148)+1)</f>
        <v/>
      </c>
      <c r="B149" s="155"/>
      <c r="C149" s="155"/>
      <c r="D149" s="155"/>
      <c r="E149" s="155"/>
      <c r="F149" s="155"/>
      <c r="G149" s="172"/>
      <c r="H149" s="172"/>
      <c r="I149" s="172"/>
      <c r="J149" s="172"/>
      <c r="K149" s="172"/>
      <c r="L149" s="172"/>
      <c r="M149" s="172"/>
      <c r="N149" s="172"/>
      <c r="R149" s="124">
        <f t="shared" si="36"/>
        <v>0</v>
      </c>
    </row>
    <row r="150" spans="1:18">
      <c r="A150" s="225">
        <f>IF(ISBLANK(B150),"",MAX($A$140:$A149)+1)</f>
        <v>8</v>
      </c>
      <c r="B150" s="167" t="s">
        <v>420</v>
      </c>
      <c r="C150" s="155"/>
      <c r="D150" s="155"/>
      <c r="E150" s="155"/>
      <c r="F150" s="155"/>
      <c r="G150" s="172"/>
      <c r="H150" s="172"/>
      <c r="I150" s="172"/>
      <c r="J150" s="172"/>
      <c r="K150" s="172"/>
      <c r="L150" s="172"/>
      <c r="M150" s="172"/>
      <c r="N150" s="172"/>
      <c r="R150" s="124"/>
    </row>
    <row r="151" spans="1:18">
      <c r="A151" s="225">
        <f>IF(ISBLANK(B151),"",MAX($A$140:$A150)+1)</f>
        <v>9</v>
      </c>
      <c r="B151" s="228" t="s">
        <v>225</v>
      </c>
      <c r="C151" s="155"/>
      <c r="D151" s="211">
        <f>G151+O151</f>
        <v>4322139.3674054341</v>
      </c>
      <c r="E151" s="210">
        <f>+E147</f>
        <v>2089642.145272474</v>
      </c>
      <c r="F151" s="210">
        <f>+F147</f>
        <v>1418070.3259884671</v>
      </c>
      <c r="G151" s="112">
        <f>SUM(E151:F151)</f>
        <v>3507712.4712609411</v>
      </c>
      <c r="H151" s="210">
        <f>+H147</f>
        <v>112336.46301369862</v>
      </c>
      <c r="I151" s="210">
        <f>+I147</f>
        <v>55014.067377369502</v>
      </c>
      <c r="J151" s="210">
        <f>+J147</f>
        <v>25117.265753424657</v>
      </c>
      <c r="K151" s="210">
        <f>+K147</f>
        <v>621959.1</v>
      </c>
      <c r="L151" s="210"/>
      <c r="M151" s="210">
        <f t="shared" ref="M151" si="39">+M147</f>
        <v>0</v>
      </c>
      <c r="N151" s="210"/>
      <c r="O151" s="4">
        <f>SUM(H151:N151)</f>
        <v>814426.89614449278</v>
      </c>
      <c r="P151" s="155" t="str">
        <f>"Line "&amp;A147</f>
        <v>Line 6</v>
      </c>
      <c r="R151" s="124"/>
    </row>
    <row r="152" spans="1:18">
      <c r="A152" s="225">
        <f>IF(ISBLANK(B152),"",MAX($A$140:$A151)+1)</f>
        <v>10</v>
      </c>
      <c r="B152" s="228" t="s">
        <v>52</v>
      </c>
      <c r="C152" s="155"/>
      <c r="D152" s="233">
        <f>D151/$D151</f>
        <v>1</v>
      </c>
      <c r="E152" s="233">
        <f>E151/$D151</f>
        <v>0.4834740316406963</v>
      </c>
      <c r="F152" s="233">
        <f>F151/$D151</f>
        <v>0.32809453963529406</v>
      </c>
      <c r="G152" s="234">
        <f>G151/$D151</f>
        <v>0.81156857127599036</v>
      </c>
      <c r="H152" s="234">
        <f t="shared" ref="H152:O152" si="40">H151/$D151</f>
        <v>2.5990939547406087E-2</v>
      </c>
      <c r="I152" s="234">
        <f t="shared" si="40"/>
        <v>1.2728434393450451E-2</v>
      </c>
      <c r="J152" s="234">
        <f t="shared" si="40"/>
        <v>5.8113039905287617E-3</v>
      </c>
      <c r="K152" s="234">
        <f t="shared" si="40"/>
        <v>0.14390075079262424</v>
      </c>
      <c r="L152" s="234">
        <f t="shared" si="40"/>
        <v>0</v>
      </c>
      <c r="M152" s="234">
        <f t="shared" si="40"/>
        <v>0</v>
      </c>
      <c r="N152" s="234">
        <f>N151/$D151</f>
        <v>0</v>
      </c>
      <c r="O152" s="222">
        <f t="shared" si="40"/>
        <v>0.18843142872400956</v>
      </c>
      <c r="P152" s="155" t="str">
        <f>"Line "&amp;A151&amp;" / Column B, Line "&amp;A151</f>
        <v>Line 9 / Column B, Line 9</v>
      </c>
      <c r="R152" s="124"/>
    </row>
    <row r="153" spans="1:18">
      <c r="A153" s="225"/>
      <c r="B153" s="155"/>
      <c r="C153" s="155"/>
      <c r="D153" s="155"/>
      <c r="E153" s="155"/>
      <c r="F153" s="155"/>
      <c r="G153" s="172"/>
      <c r="H153" s="172"/>
      <c r="I153" s="172"/>
      <c r="J153" s="172"/>
      <c r="K153" s="172"/>
      <c r="L153" s="172"/>
      <c r="M153" s="172"/>
      <c r="N153" s="172"/>
      <c r="P153" s="155"/>
      <c r="R153" s="124"/>
    </row>
    <row r="154" spans="1:18">
      <c r="A154" s="225">
        <f>IF(ISBLANK(B154),"",MAX($A$140:$A153)+1)</f>
        <v>11</v>
      </c>
      <c r="B154" s="167" t="s">
        <v>421</v>
      </c>
      <c r="C154" s="155"/>
      <c r="D154" s="155"/>
      <c r="E154" s="155"/>
      <c r="F154" s="155"/>
      <c r="G154" s="172"/>
      <c r="H154" s="172"/>
      <c r="I154" s="172"/>
      <c r="J154" s="172"/>
      <c r="K154" s="172"/>
      <c r="L154" s="172"/>
      <c r="M154" s="172"/>
      <c r="N154" s="172"/>
      <c r="P154" s="155"/>
      <c r="R154" s="124"/>
    </row>
    <row r="155" spans="1:18" s="155" customFormat="1">
      <c r="A155" s="225">
        <f>IF(ISBLANK(B155),"",MAX($A$140:$A154)+1)</f>
        <v>12</v>
      </c>
      <c r="B155" s="228" t="s">
        <v>224</v>
      </c>
      <c r="D155" s="211">
        <f>G155+O155</f>
        <v>561986694.3550539</v>
      </c>
      <c r="E155" s="210">
        <f>'Section 3 Exhibit C'!D23</f>
        <v>178400063.68941957</v>
      </c>
      <c r="F155" s="210">
        <f>'Section 3 Exhibit C'!E23</f>
        <v>126241583.6656343</v>
      </c>
      <c r="G155" s="112">
        <f>SUM(E155:F155)</f>
        <v>304641647.3550539</v>
      </c>
      <c r="H155" s="210">
        <f>'Section 3 Exhibit C'!G23</f>
        <v>41002809</v>
      </c>
      <c r="I155" s="210">
        <f>'Section 3 Exhibit C'!H23</f>
        <v>11183303</v>
      </c>
      <c r="J155" s="210">
        <f>'Section 3 Exhibit C'!I23</f>
        <v>9167802</v>
      </c>
      <c r="K155" s="210">
        <f>'Section 3 Exhibit C'!J23</f>
        <v>115875683</v>
      </c>
      <c r="L155" s="210">
        <f>'Section 3 Exhibit C'!K23</f>
        <v>80115450</v>
      </c>
      <c r="M155" s="172"/>
      <c r="N155" s="210"/>
      <c r="O155" s="112">
        <f>SUM(H155:N155)</f>
        <v>257345047</v>
      </c>
      <c r="P155" s="155" t="str">
        <f>"Section 3, Exhibit C, Line "&amp;'Section 3 Exhibit C'!A23</f>
        <v>Section 3, Exhibit C, Line 13</v>
      </c>
      <c r="R155" s="227"/>
    </row>
    <row r="156" spans="1:18" s="155" customFormat="1">
      <c r="A156" s="225">
        <f>IF(ISBLANK(B156),"",MAX($A$140:$A155)+1)</f>
        <v>13</v>
      </c>
      <c r="B156" s="228" t="s">
        <v>52</v>
      </c>
      <c r="D156" s="233">
        <f>D155/$D155</f>
        <v>1</v>
      </c>
      <c r="E156" s="233">
        <f>E155/$D155</f>
        <v>0.31744535143159341</v>
      </c>
      <c r="F156" s="233">
        <f>F155/$D155</f>
        <v>0.2246344707689413</v>
      </c>
      <c r="G156" s="234">
        <f>G155/$D155</f>
        <v>0.54207982220053474</v>
      </c>
      <c r="H156" s="234">
        <f t="shared" ref="H156:O156" si="41">H155/$D155</f>
        <v>7.2960462252679423E-2</v>
      </c>
      <c r="I156" s="234">
        <f t="shared" si="41"/>
        <v>1.9899586791523882E-2</v>
      </c>
      <c r="J156" s="234">
        <f t="shared" si="41"/>
        <v>1.6313201170218335E-2</v>
      </c>
      <c r="K156" s="234">
        <f t="shared" si="41"/>
        <v>0.20618937096541232</v>
      </c>
      <c r="L156" s="234">
        <f t="shared" si="41"/>
        <v>0.14255755661963126</v>
      </c>
      <c r="M156" s="234">
        <f t="shared" si="41"/>
        <v>0</v>
      </c>
      <c r="N156" s="234">
        <f>N155/$D155</f>
        <v>0</v>
      </c>
      <c r="O156" s="234">
        <f t="shared" si="41"/>
        <v>0.4579201777994652</v>
      </c>
      <c r="P156" s="155" t="str">
        <f>"Line "&amp;A155&amp;" / Column B, Line "&amp;A155</f>
        <v>Line 12 / Column B, Line 12</v>
      </c>
      <c r="R156" s="227"/>
    </row>
    <row r="157" spans="1:18" s="155" customFormat="1">
      <c r="A157" s="225"/>
      <c r="B157" s="228"/>
      <c r="G157" s="172"/>
      <c r="H157" s="172"/>
      <c r="I157" s="172"/>
      <c r="J157" s="172"/>
      <c r="K157" s="172"/>
      <c r="L157" s="172"/>
      <c r="M157" s="172"/>
      <c r="N157" s="172"/>
      <c r="O157" s="172"/>
      <c r="R157" s="227"/>
    </row>
    <row r="158" spans="1:18" s="155" customFormat="1">
      <c r="A158" s="225">
        <f>IF(ISBLANK(B158),"",MAX($A$140:$A157)+1)</f>
        <v>14</v>
      </c>
      <c r="B158" s="167" t="s">
        <v>422</v>
      </c>
      <c r="G158" s="172"/>
      <c r="H158" s="172"/>
      <c r="I158" s="172"/>
      <c r="J158" s="172"/>
      <c r="K158" s="172"/>
      <c r="L158" s="172"/>
      <c r="M158" s="172"/>
      <c r="N158" s="172"/>
      <c r="O158" s="172"/>
      <c r="R158" s="227"/>
    </row>
    <row r="159" spans="1:18" s="155" customFormat="1">
      <c r="A159" s="225">
        <f>IF(ISBLANK(B159),"",MAX($A$140:$A158)+1)</f>
        <v>15</v>
      </c>
      <c r="B159" s="228" t="s">
        <v>224</v>
      </c>
      <c r="D159" s="211">
        <f>G159+O159</f>
        <v>481871244.3550539</v>
      </c>
      <c r="E159" s="210">
        <f>E155</f>
        <v>178400063.68941957</v>
      </c>
      <c r="F159" s="210">
        <f>F155</f>
        <v>126241583.6656343</v>
      </c>
      <c r="G159" s="112">
        <f>SUM(E159:F159)</f>
        <v>304641647.3550539</v>
      </c>
      <c r="H159" s="210">
        <f t="shared" ref="H159:K159" si="42">H155</f>
        <v>41002809</v>
      </c>
      <c r="I159" s="210">
        <f t="shared" si="42"/>
        <v>11183303</v>
      </c>
      <c r="J159" s="210">
        <f t="shared" si="42"/>
        <v>9167802</v>
      </c>
      <c r="K159" s="210">
        <f t="shared" si="42"/>
        <v>115875683</v>
      </c>
      <c r="L159" s="172"/>
      <c r="M159" s="172"/>
      <c r="N159" s="210"/>
      <c r="O159" s="112">
        <f>SUM(H159:N159)</f>
        <v>177229597</v>
      </c>
      <c r="P159" s="155" t="str">
        <f>"Line "&amp;A155</f>
        <v>Line 12</v>
      </c>
      <c r="R159" s="227"/>
    </row>
    <row r="160" spans="1:18">
      <c r="A160" s="225">
        <f>IF(ISBLANK(B160),"",MAX($A$140:$A159)+1)</f>
        <v>16</v>
      </c>
      <c r="B160" s="228" t="s">
        <v>52</v>
      </c>
      <c r="C160" s="155"/>
      <c r="D160" s="233">
        <f>D159/$D159</f>
        <v>1</v>
      </c>
      <c r="E160" s="233">
        <f>E159/$D159</f>
        <v>0.3702235104902219</v>
      </c>
      <c r="F160" s="233">
        <f>F159/$D159</f>
        <v>0.26198198200143391</v>
      </c>
      <c r="G160" s="234">
        <f>G159/$D159</f>
        <v>0.63220549249165592</v>
      </c>
      <c r="H160" s="234">
        <f t="shared" ref="H160:O160" si="43">H159/$D159</f>
        <v>8.5090798590563288E-2</v>
      </c>
      <c r="I160" s="234">
        <f t="shared" si="43"/>
        <v>2.320807296764088E-2</v>
      </c>
      <c r="J160" s="234">
        <f t="shared" si="43"/>
        <v>1.9025418319514726E-2</v>
      </c>
      <c r="K160" s="234">
        <f t="shared" si="43"/>
        <v>0.24047021763062523</v>
      </c>
      <c r="L160" s="234">
        <f t="shared" si="43"/>
        <v>0</v>
      </c>
      <c r="M160" s="234">
        <f t="shared" si="43"/>
        <v>0</v>
      </c>
      <c r="N160" s="234">
        <f>N159/$D159</f>
        <v>0</v>
      </c>
      <c r="O160" s="222">
        <f t="shared" si="43"/>
        <v>0.36779450750834414</v>
      </c>
      <c r="P160" s="155" t="str">
        <f>"Line "&amp;A159&amp;" / Column B, Line "&amp;A159</f>
        <v>Line 15 / Column B, Line 15</v>
      </c>
      <c r="R160" s="124"/>
    </row>
    <row r="161" spans="1:18">
      <c r="A161" s="225"/>
      <c r="B161" s="155"/>
      <c r="C161" s="155"/>
      <c r="D161" s="155"/>
      <c r="E161" s="155"/>
      <c r="F161" s="155"/>
      <c r="G161" s="172"/>
      <c r="H161" s="172"/>
      <c r="I161" s="172"/>
      <c r="J161" s="172"/>
      <c r="K161" s="172"/>
      <c r="L161" s="172"/>
      <c r="M161" s="172"/>
      <c r="N161" s="172"/>
      <c r="R161" s="124"/>
    </row>
    <row r="162" spans="1:18">
      <c r="A162" s="225">
        <f>IF(ISBLANK(B162),"",MAX($A$140:$A161)+1)</f>
        <v>17</v>
      </c>
      <c r="B162" s="167" t="s">
        <v>609</v>
      </c>
      <c r="C162" s="155"/>
      <c r="D162" s="155"/>
      <c r="E162" s="155"/>
      <c r="F162" s="155"/>
      <c r="G162" s="172"/>
      <c r="H162" s="172"/>
      <c r="I162" s="172"/>
      <c r="J162" s="172"/>
      <c r="K162" s="172"/>
      <c r="L162" s="172"/>
      <c r="M162" s="172"/>
      <c r="N162" s="172"/>
      <c r="O162" s="172"/>
      <c r="P162" s="155"/>
      <c r="R162" s="124"/>
    </row>
    <row r="163" spans="1:18">
      <c r="A163" s="225">
        <f>IF(ISBLANK(B163),"",MAX($A$140:$A162)+1)</f>
        <v>18</v>
      </c>
      <c r="B163" s="228" t="s">
        <v>54</v>
      </c>
      <c r="C163" s="155"/>
      <c r="D163" s="211">
        <f>G163+O163</f>
        <v>297338</v>
      </c>
      <c r="E163" s="407">
        <f>+'Section 3 Exhibit C'!D15</f>
        <v>255678</v>
      </c>
      <c r="F163" s="407">
        <f>+'Section 3 Exhibit C'!E15</f>
        <v>32393</v>
      </c>
      <c r="G163" s="112">
        <f>SUM(E163:F163)</f>
        <v>288071</v>
      </c>
      <c r="H163" s="407">
        <f>+'Section 3 Exhibit C'!G15</f>
        <v>8838</v>
      </c>
      <c r="I163" s="407">
        <f>+'Section 3 Exhibit C'!H15</f>
        <v>39</v>
      </c>
      <c r="J163" s="407">
        <f>+'Section 3 Exhibit C'!I15</f>
        <v>238</v>
      </c>
      <c r="K163" s="407">
        <f>+'Section 3 Exhibit C'!J15</f>
        <v>128</v>
      </c>
      <c r="L163" s="407">
        <f>+'Section 3 Exhibit C'!K15</f>
        <v>9</v>
      </c>
      <c r="M163" s="407">
        <f>+'Section 3 Exhibit C'!L15</f>
        <v>15</v>
      </c>
      <c r="N163" s="407">
        <v>2</v>
      </c>
      <c r="O163" s="112">
        <f>SUM(H163:M163)</f>
        <v>9267</v>
      </c>
      <c r="P163" s="155" t="str">
        <f>"Section 3, Exhibit C, Line "&amp;'Section 3 Exhibit C'!A15</f>
        <v>Section 3, Exhibit C, Line 6</v>
      </c>
      <c r="R163" s="124"/>
    </row>
    <row r="164" spans="1:18">
      <c r="A164" s="225">
        <f>IF(ISBLANK(B164),"",MAX($A$140:$A163)+1)</f>
        <v>19</v>
      </c>
      <c r="B164" s="228" t="s">
        <v>55</v>
      </c>
      <c r="C164" s="155"/>
      <c r="D164" s="155"/>
      <c r="E164" s="412">
        <v>1</v>
      </c>
      <c r="F164" s="412">
        <v>2</v>
      </c>
      <c r="G164" s="112"/>
      <c r="H164" s="560">
        <v>2.5</v>
      </c>
      <c r="I164" s="413">
        <v>7</v>
      </c>
      <c r="J164" s="413">
        <v>3</v>
      </c>
      <c r="K164" s="413">
        <v>12</v>
      </c>
      <c r="L164" s="172"/>
      <c r="M164" s="172"/>
      <c r="N164" s="172"/>
      <c r="O164" s="172"/>
      <c r="P164" s="155" t="s">
        <v>709</v>
      </c>
      <c r="R164" s="124"/>
    </row>
    <row r="165" spans="1:18">
      <c r="A165" s="225">
        <f>IF(ISBLANK(B165),"",MAX($A$140:$A164)+1)</f>
        <v>20</v>
      </c>
      <c r="B165" s="228" t="s">
        <v>56</v>
      </c>
      <c r="C165" s="155"/>
      <c r="D165" s="211">
        <f>G165+O165</f>
        <v>345082</v>
      </c>
      <c r="E165" s="211">
        <f>E164*E163</f>
        <v>255678</v>
      </c>
      <c r="F165" s="211">
        <f>F164*F163</f>
        <v>64786</v>
      </c>
      <c r="G165" s="112">
        <f>SUM(E165:F165)</f>
        <v>320464</v>
      </c>
      <c r="H165" s="112">
        <f>H164*H163</f>
        <v>22095</v>
      </c>
      <c r="I165" s="112">
        <f>I164*I163</f>
        <v>273</v>
      </c>
      <c r="J165" s="112">
        <f>J164*J163</f>
        <v>714</v>
      </c>
      <c r="K165" s="112">
        <f>K164*K163</f>
        <v>1536</v>
      </c>
      <c r="L165" s="112"/>
      <c r="M165" s="112"/>
      <c r="N165" s="112">
        <f>N164*N163</f>
        <v>0</v>
      </c>
      <c r="O165" s="112">
        <f>SUM(H165:N165)</f>
        <v>24618</v>
      </c>
      <c r="P165" s="155" t="str">
        <f>"Line "&amp;A163&amp;" x Line "&amp;A164</f>
        <v>Line 18 x Line 19</v>
      </c>
      <c r="R165" s="124"/>
    </row>
    <row r="166" spans="1:18">
      <c r="A166" s="225">
        <f>IF(ISBLANK(B166),"",MAX($A$140:$A165)+1)</f>
        <v>21</v>
      </c>
      <c r="B166" s="228" t="s">
        <v>610</v>
      </c>
      <c r="C166" s="155"/>
      <c r="D166" s="233">
        <f>D165/$D165</f>
        <v>1</v>
      </c>
      <c r="E166" s="233">
        <f>E165/$D165</f>
        <v>0.74091954955633732</v>
      </c>
      <c r="F166" s="233">
        <f>F165/$D165</f>
        <v>0.18774088477521284</v>
      </c>
      <c r="G166" s="234">
        <f>G165/$D165</f>
        <v>0.92866043433155021</v>
      </c>
      <c r="H166" s="234">
        <f t="shared" ref="H166:M166" si="44">H165/$D165</f>
        <v>6.4028259949809027E-2</v>
      </c>
      <c r="I166" s="234">
        <f t="shared" si="44"/>
        <v>7.9111631438324808E-4</v>
      </c>
      <c r="J166" s="234">
        <f t="shared" si="44"/>
        <v>2.0690734376177257E-3</v>
      </c>
      <c r="K166" s="234">
        <f t="shared" si="44"/>
        <v>4.4511159666398127E-3</v>
      </c>
      <c r="L166" s="234">
        <f t="shared" si="44"/>
        <v>0</v>
      </c>
      <c r="M166" s="234">
        <f t="shared" si="44"/>
        <v>0</v>
      </c>
      <c r="N166" s="234">
        <f>N165/$D165</f>
        <v>0</v>
      </c>
      <c r="O166" s="234">
        <f t="shared" ref="O166" si="45">O165/$D165</f>
        <v>7.1339565668449817E-2</v>
      </c>
      <c r="P166" s="155" t="str">
        <f>"Line "&amp;A165&amp;" / Column B, Line "&amp;A165</f>
        <v>Line 20 / Column B, Line 20</v>
      </c>
      <c r="R166" s="124"/>
    </row>
    <row r="167" spans="1:18">
      <c r="A167" s="225"/>
      <c r="B167" s="155"/>
      <c r="C167" s="155"/>
      <c r="D167" s="155"/>
      <c r="E167" s="155"/>
      <c r="F167" s="155"/>
      <c r="G167" s="172"/>
      <c r="H167" s="172"/>
      <c r="I167" s="172"/>
      <c r="J167" s="172"/>
      <c r="K167" s="172"/>
      <c r="L167" s="172"/>
      <c r="M167" s="172"/>
      <c r="N167" s="172"/>
      <c r="R167" s="124"/>
    </row>
    <row r="168" spans="1:18">
      <c r="A168" s="225">
        <f>IF(ISBLANK(B168),"",MAX($A$140:$A166)+1)</f>
        <v>22</v>
      </c>
      <c r="B168" s="167" t="s">
        <v>611</v>
      </c>
      <c r="C168" s="155"/>
      <c r="D168" s="155"/>
      <c r="E168" s="155"/>
      <c r="F168" s="155"/>
      <c r="G168" s="172"/>
      <c r="H168" s="172"/>
      <c r="I168" s="172"/>
      <c r="J168" s="172"/>
      <c r="K168" s="172"/>
      <c r="L168" s="172"/>
      <c r="M168" s="172"/>
      <c r="N168" s="172"/>
      <c r="R168" s="124">
        <f>G168+O168-D168</f>
        <v>0</v>
      </c>
    </row>
    <row r="169" spans="1:18">
      <c r="A169" s="225">
        <f>IF(ISBLANK(B169),"",MAX($A$140:$A168)+1)</f>
        <v>23</v>
      </c>
      <c r="B169" s="228" t="s">
        <v>54</v>
      </c>
      <c r="C169" s="155"/>
      <c r="D169" s="211">
        <f>G169+O169</f>
        <v>297338</v>
      </c>
      <c r="E169" s="211">
        <f>'Section 3 Exhibit C'!D15</f>
        <v>255678</v>
      </c>
      <c r="F169" s="211">
        <f>'Section 3 Exhibit C'!E15</f>
        <v>32393</v>
      </c>
      <c r="G169" s="112">
        <f>SUM(E169:F169)</f>
        <v>288071</v>
      </c>
      <c r="H169" s="112">
        <f>'Section 3 Exhibit C'!G15</f>
        <v>8838</v>
      </c>
      <c r="I169" s="112">
        <f>'Section 3 Exhibit C'!H15</f>
        <v>39</v>
      </c>
      <c r="J169" s="112">
        <f>'Section 3 Exhibit C'!I15</f>
        <v>238</v>
      </c>
      <c r="K169" s="112">
        <f>'Section 3 Exhibit C'!J15</f>
        <v>128</v>
      </c>
      <c r="L169" s="112">
        <f>'Section 3 Exhibit C'!K15</f>
        <v>9</v>
      </c>
      <c r="M169" s="112">
        <f>'Section 3 Exhibit C'!L15</f>
        <v>15</v>
      </c>
      <c r="N169" s="112">
        <v>2</v>
      </c>
      <c r="O169" s="112">
        <f>SUM(H169:M169)</f>
        <v>9267</v>
      </c>
      <c r="P169" s="155" t="str">
        <f>"Section 3, Exhibit C, Line "&amp;'Section 3 Exhibit C'!A15</f>
        <v>Section 3, Exhibit C, Line 6</v>
      </c>
      <c r="R169" s="124">
        <f>G169+O169-D169</f>
        <v>0</v>
      </c>
    </row>
    <row r="170" spans="1:18">
      <c r="A170" s="225">
        <f>IF(ISBLANK(B170),"",MAX($A$140:$A169)+1)</f>
        <v>24</v>
      </c>
      <c r="B170" s="228" t="s">
        <v>55</v>
      </c>
      <c r="C170" s="155"/>
      <c r="D170" s="155"/>
      <c r="E170" s="412">
        <v>1</v>
      </c>
      <c r="F170" s="412">
        <v>2</v>
      </c>
      <c r="G170" s="112"/>
      <c r="H170" s="413"/>
      <c r="I170" s="413">
        <v>5</v>
      </c>
      <c r="J170" s="413">
        <v>3</v>
      </c>
      <c r="K170" s="413">
        <v>10</v>
      </c>
      <c r="L170" s="172"/>
      <c r="M170" s="172"/>
      <c r="N170" s="172"/>
      <c r="O170" s="4"/>
      <c r="P170" s="155" t="s">
        <v>709</v>
      </c>
      <c r="R170" s="124"/>
    </row>
    <row r="171" spans="1:18">
      <c r="A171" s="225">
        <f>IF(ISBLANK(B171),"",MAX($A$140:$A170)+1)</f>
        <v>25</v>
      </c>
      <c r="B171" s="228" t="s">
        <v>56</v>
      </c>
      <c r="C171" s="155"/>
      <c r="D171" s="211">
        <f>G171+O171</f>
        <v>322653</v>
      </c>
      <c r="E171" s="211">
        <f>E170*E169</f>
        <v>255678</v>
      </c>
      <c r="F171" s="211">
        <f>F170*F169</f>
        <v>64786</v>
      </c>
      <c r="G171" s="112">
        <f>SUM(E171:F171)</f>
        <v>320464</v>
      </c>
      <c r="H171" s="112">
        <f>H170*H169</f>
        <v>0</v>
      </c>
      <c r="I171" s="112">
        <f>I170*I169</f>
        <v>195</v>
      </c>
      <c r="J171" s="112">
        <f>J170*J169</f>
        <v>714</v>
      </c>
      <c r="K171" s="112">
        <f>K170*K169</f>
        <v>1280</v>
      </c>
      <c r="L171" s="112"/>
      <c r="M171" s="112"/>
      <c r="N171" s="112">
        <f>N170*N169</f>
        <v>0</v>
      </c>
      <c r="O171" s="112">
        <f>SUM(H171:N171)</f>
        <v>2189</v>
      </c>
      <c r="P171" s="34" t="str">
        <f>"Line "&amp;A169&amp;" x Line "&amp;A170</f>
        <v>Line 23 x Line 24</v>
      </c>
      <c r="R171" s="124">
        <f t="shared" ref="R171:R181" si="46">G171+O171-D171</f>
        <v>0</v>
      </c>
    </row>
    <row r="172" spans="1:18">
      <c r="A172" s="225">
        <f>IF(ISBLANK(B172),"",MAX($A$140:$A171)+1)</f>
        <v>26</v>
      </c>
      <c r="B172" s="228" t="s">
        <v>57</v>
      </c>
      <c r="C172" s="155"/>
      <c r="D172" s="233">
        <f>D171/$D171</f>
        <v>1</v>
      </c>
      <c r="E172" s="233">
        <f>E171/$D171</f>
        <v>0.79242405928350268</v>
      </c>
      <c r="F172" s="233">
        <f>F171/$D171</f>
        <v>0.2007915624525419</v>
      </c>
      <c r="G172" s="234">
        <f>G171/$D171</f>
        <v>0.99321562173604461</v>
      </c>
      <c r="H172" s="234">
        <f t="shared" ref="H172:O172" si="47">H171/$D171</f>
        <v>0</v>
      </c>
      <c r="I172" s="234">
        <f t="shared" si="47"/>
        <v>6.0436444105587122E-4</v>
      </c>
      <c r="J172" s="234">
        <f t="shared" si="47"/>
        <v>2.2129036457122666E-3</v>
      </c>
      <c r="K172" s="234">
        <f t="shared" si="47"/>
        <v>3.9671101771872573E-3</v>
      </c>
      <c r="L172" s="234">
        <f t="shared" si="47"/>
        <v>0</v>
      </c>
      <c r="M172" s="234">
        <f t="shared" si="47"/>
        <v>0</v>
      </c>
      <c r="N172" s="234">
        <f>N171/$D171</f>
        <v>0</v>
      </c>
      <c r="O172" s="234">
        <f t="shared" si="47"/>
        <v>6.7843782639553946E-3</v>
      </c>
      <c r="P172" s="34" t="str">
        <f>"Line "&amp;A171&amp;" / Column B, Line "&amp;A171</f>
        <v>Line 25 / Column B, Line 25</v>
      </c>
      <c r="R172" s="124">
        <f t="shared" si="46"/>
        <v>0</v>
      </c>
    </row>
    <row r="173" spans="1:18">
      <c r="A173" s="225" t="str">
        <f>IF(ISBLANK(B173),"",MAX($A$140:$A172)+1)</f>
        <v/>
      </c>
      <c r="B173" s="155"/>
      <c r="C173" s="155"/>
      <c r="D173" s="155"/>
      <c r="E173" s="155"/>
      <c r="F173" s="155"/>
      <c r="G173" s="172"/>
      <c r="H173" s="172"/>
      <c r="I173" s="172"/>
      <c r="J173" s="172"/>
      <c r="K173" s="172"/>
      <c r="L173" s="172"/>
      <c r="M173" s="172"/>
      <c r="N173" s="172"/>
      <c r="O173" s="172"/>
      <c r="R173" s="124">
        <f t="shared" si="46"/>
        <v>0</v>
      </c>
    </row>
    <row r="174" spans="1:18">
      <c r="A174" s="225">
        <f>IF(ISBLANK(B174),"",MAX($A$140:$A173)+1)</f>
        <v>27</v>
      </c>
      <c r="B174" s="167" t="s">
        <v>35</v>
      </c>
      <c r="C174" s="155"/>
      <c r="D174" s="155"/>
      <c r="E174" s="155"/>
      <c r="F174" s="155"/>
      <c r="G174" s="172"/>
      <c r="H174" s="172"/>
      <c r="I174" s="172"/>
      <c r="J174" s="172"/>
      <c r="K174" s="172"/>
      <c r="L174" s="172"/>
      <c r="M174" s="172"/>
      <c r="N174" s="172"/>
      <c r="O174" s="172"/>
      <c r="R174" s="124">
        <f t="shared" si="46"/>
        <v>0</v>
      </c>
    </row>
    <row r="175" spans="1:18">
      <c r="A175" s="225">
        <f>IF(ISBLANK(B175),"",MAX($A$140:$A174)+1)</f>
        <v>28</v>
      </c>
      <c r="B175" s="228" t="s">
        <v>54</v>
      </c>
      <c r="C175" s="155"/>
      <c r="D175" s="211">
        <f>G175+O175</f>
        <v>297338</v>
      </c>
      <c r="E175" s="210">
        <f>E$169</f>
        <v>255678</v>
      </c>
      <c r="F175" s="210">
        <f>F$169</f>
        <v>32393</v>
      </c>
      <c r="G175" s="112">
        <f>SUM(E175:F175)</f>
        <v>288071</v>
      </c>
      <c r="H175" s="212">
        <f t="shared" ref="H175:M175" si="48">H$169</f>
        <v>8838</v>
      </c>
      <c r="I175" s="212">
        <f t="shared" si="48"/>
        <v>39</v>
      </c>
      <c r="J175" s="212">
        <f t="shared" si="48"/>
        <v>238</v>
      </c>
      <c r="K175" s="212">
        <f t="shared" si="48"/>
        <v>128</v>
      </c>
      <c r="L175" s="212">
        <f t="shared" si="48"/>
        <v>9</v>
      </c>
      <c r="M175" s="212">
        <f t="shared" si="48"/>
        <v>15</v>
      </c>
      <c r="N175" s="212">
        <f>N$169</f>
        <v>2</v>
      </c>
      <c r="O175" s="112">
        <f>SUM(H175:M175)</f>
        <v>9267</v>
      </c>
      <c r="P175" s="155" t="str">
        <f>"Line "&amp;A169</f>
        <v>Line 23</v>
      </c>
      <c r="R175" s="124">
        <f t="shared" si="46"/>
        <v>0</v>
      </c>
    </row>
    <row r="176" spans="1:18">
      <c r="A176" s="225">
        <f>IF(ISBLANK(B176),"",MAX($A$140:$A175)+1)</f>
        <v>29</v>
      </c>
      <c r="B176" s="228" t="s">
        <v>55</v>
      </c>
      <c r="C176" s="155"/>
      <c r="D176" s="155"/>
      <c r="E176" s="412">
        <v>1</v>
      </c>
      <c r="F176" s="412">
        <v>3.5</v>
      </c>
      <c r="G176" s="212"/>
      <c r="H176" s="413">
        <v>5</v>
      </c>
      <c r="I176" s="413">
        <v>20</v>
      </c>
      <c r="J176" s="413">
        <v>10</v>
      </c>
      <c r="K176" s="413">
        <v>45</v>
      </c>
      <c r="L176" s="413">
        <v>75</v>
      </c>
      <c r="M176" s="413">
        <v>120</v>
      </c>
      <c r="N176" s="172">
        <v>15</v>
      </c>
      <c r="O176" s="172"/>
      <c r="P176" s="155" t="s">
        <v>710</v>
      </c>
      <c r="R176" s="124">
        <f t="shared" si="46"/>
        <v>0</v>
      </c>
    </row>
    <row r="177" spans="1:18">
      <c r="A177" s="225">
        <f>IF(ISBLANK(B177),"",MAX($A$140:$A176)+1)</f>
        <v>30</v>
      </c>
      <c r="B177" s="228" t="s">
        <v>56</v>
      </c>
      <c r="C177" s="155"/>
      <c r="D177" s="211">
        <f>G177+O177</f>
        <v>424668.5</v>
      </c>
      <c r="E177" s="211">
        <f>E176*E175</f>
        <v>255678</v>
      </c>
      <c r="F177" s="211">
        <f>F176*F175</f>
        <v>113375.5</v>
      </c>
      <c r="G177" s="112">
        <f>SUM(E177:F177)</f>
        <v>369053.5</v>
      </c>
      <c r="H177" s="112">
        <f t="shared" ref="H177:M177" si="49">H176*H175</f>
        <v>44190</v>
      </c>
      <c r="I177" s="112">
        <f t="shared" si="49"/>
        <v>780</v>
      </c>
      <c r="J177" s="112">
        <f t="shared" si="49"/>
        <v>2380</v>
      </c>
      <c r="K177" s="112">
        <f t="shared" si="49"/>
        <v>5760</v>
      </c>
      <c r="L177" s="112">
        <f t="shared" si="49"/>
        <v>675</v>
      </c>
      <c r="M177" s="112">
        <f t="shared" si="49"/>
        <v>1800</v>
      </c>
      <c r="N177" s="112">
        <f>N176*N175</f>
        <v>30</v>
      </c>
      <c r="O177" s="112">
        <f>SUM(H177:N177)</f>
        <v>55615</v>
      </c>
      <c r="P177" s="34" t="str">
        <f>"Line "&amp;A175&amp;" x Line "&amp;A176</f>
        <v>Line 28 x Line 29</v>
      </c>
      <c r="R177" s="124">
        <f t="shared" si="46"/>
        <v>0</v>
      </c>
    </row>
    <row r="178" spans="1:18">
      <c r="A178" s="225">
        <f>IF(ISBLANK(B178),"",MAX($A$140:$A177)+1)</f>
        <v>31</v>
      </c>
      <c r="B178" s="228" t="s">
        <v>58</v>
      </c>
      <c r="C178" s="155"/>
      <c r="D178" s="233">
        <f>D177/$D177</f>
        <v>1</v>
      </c>
      <c r="E178" s="233">
        <f>E177/$D177</f>
        <v>0.60206490474334684</v>
      </c>
      <c r="F178" s="233">
        <f>F177/$D177</f>
        <v>0.26697412216823241</v>
      </c>
      <c r="G178" s="234">
        <f>G177/$D177</f>
        <v>0.8690390269115793</v>
      </c>
      <c r="H178" s="234">
        <f t="shared" ref="H178:O178" si="50">H177/$D177</f>
        <v>0.10405763554395958</v>
      </c>
      <c r="I178" s="234">
        <f t="shared" si="50"/>
        <v>1.836726764523387E-3</v>
      </c>
      <c r="J178" s="234">
        <f t="shared" si="50"/>
        <v>5.6043714096995654E-3</v>
      </c>
      <c r="K178" s="234">
        <f t="shared" si="50"/>
        <v>1.3563520722634243E-2</v>
      </c>
      <c r="L178" s="234">
        <f t="shared" si="50"/>
        <v>1.5894750846837003E-3</v>
      </c>
      <c r="M178" s="234">
        <f t="shared" si="50"/>
        <v>4.2386002258232008E-3</v>
      </c>
      <c r="N178" s="234">
        <f>N177/$D177</f>
        <v>7.064333709705335E-5</v>
      </c>
      <c r="O178" s="234">
        <f t="shared" si="50"/>
        <v>0.13096097308842072</v>
      </c>
      <c r="P178" s="34" t="str">
        <f>"Line "&amp;A177&amp;" / Column B, Line "&amp;A177</f>
        <v>Line 30 / Column B, Line 30</v>
      </c>
      <c r="R178" s="124">
        <f t="shared" si="46"/>
        <v>0</v>
      </c>
    </row>
    <row r="179" spans="1:18">
      <c r="A179" s="225" t="str">
        <f>IF(ISBLANK(B179),"",MAX($A$140:$A178)+1)</f>
        <v/>
      </c>
      <c r="B179" s="155"/>
      <c r="C179" s="155"/>
      <c r="D179" s="155"/>
      <c r="E179" s="155"/>
      <c r="F179" s="155"/>
      <c r="G179" s="172"/>
      <c r="H179" s="172"/>
      <c r="I179" s="172"/>
      <c r="J179" s="172"/>
      <c r="K179" s="172"/>
      <c r="L179" s="172"/>
      <c r="M179" s="172"/>
      <c r="N179" s="172"/>
      <c r="O179" s="172"/>
      <c r="R179" s="124">
        <f t="shared" si="46"/>
        <v>0</v>
      </c>
    </row>
    <row r="180" spans="1:18">
      <c r="A180" s="225">
        <f>IF(ISBLANK(B180),"",MAX($A$140:$A179)+1)</f>
        <v>32</v>
      </c>
      <c r="B180" s="167" t="s">
        <v>50</v>
      </c>
      <c r="C180" s="155"/>
      <c r="D180" s="155"/>
      <c r="E180" s="155"/>
      <c r="F180" s="155"/>
      <c r="G180" s="172"/>
      <c r="H180" s="172"/>
      <c r="I180" s="172"/>
      <c r="J180" s="172"/>
      <c r="K180" s="172"/>
      <c r="L180" s="172"/>
      <c r="M180" s="172"/>
      <c r="N180" s="172"/>
      <c r="O180" s="172"/>
      <c r="R180" s="124">
        <f t="shared" si="46"/>
        <v>0</v>
      </c>
    </row>
    <row r="181" spans="1:18">
      <c r="A181" s="225">
        <f>IF(ISBLANK(B181),"",MAX($A$140:$A180)+1)</f>
        <v>33</v>
      </c>
      <c r="B181" s="228" t="s">
        <v>54</v>
      </c>
      <c r="C181" s="155"/>
      <c r="D181" s="211">
        <f>G181+O181</f>
        <v>297338</v>
      </c>
      <c r="E181" s="210">
        <f>E$169</f>
        <v>255678</v>
      </c>
      <c r="F181" s="210">
        <f>F$169</f>
        <v>32393</v>
      </c>
      <c r="G181" s="112">
        <f>SUM(E181:F181)</f>
        <v>288071</v>
      </c>
      <c r="H181" s="212">
        <f t="shared" ref="H181:M181" si="51">H$169</f>
        <v>8838</v>
      </c>
      <c r="I181" s="212">
        <f t="shared" si="51"/>
        <v>39</v>
      </c>
      <c r="J181" s="212">
        <f t="shared" si="51"/>
        <v>238</v>
      </c>
      <c r="K181" s="212">
        <f t="shared" si="51"/>
        <v>128</v>
      </c>
      <c r="L181" s="212">
        <f t="shared" si="51"/>
        <v>9</v>
      </c>
      <c r="M181" s="212">
        <f t="shared" si="51"/>
        <v>15</v>
      </c>
      <c r="N181" s="212">
        <f>N$169</f>
        <v>2</v>
      </c>
      <c r="O181" s="112">
        <f>SUM(H181:M181)</f>
        <v>9267</v>
      </c>
      <c r="P181" s="155" t="str">
        <f>"Line "&amp;A169</f>
        <v>Line 23</v>
      </c>
      <c r="R181" s="124">
        <f t="shared" si="46"/>
        <v>0</v>
      </c>
    </row>
    <row r="182" spans="1:18">
      <c r="A182" s="225">
        <f>IF(ISBLANK(B182),"",MAX($A$140:$A181)+1)</f>
        <v>34</v>
      </c>
      <c r="B182" s="228" t="s">
        <v>55</v>
      </c>
      <c r="C182" s="155"/>
      <c r="D182" s="155"/>
      <c r="E182" s="412">
        <v>1</v>
      </c>
      <c r="F182" s="412">
        <v>1.5</v>
      </c>
      <c r="G182" s="112"/>
      <c r="H182" s="494">
        <v>1.5</v>
      </c>
      <c r="I182" s="494">
        <v>5</v>
      </c>
      <c r="J182" s="494">
        <v>5</v>
      </c>
      <c r="K182" s="494">
        <v>10</v>
      </c>
      <c r="L182" s="494">
        <v>20</v>
      </c>
      <c r="M182" s="494">
        <v>20</v>
      </c>
      <c r="N182" s="494">
        <v>20</v>
      </c>
      <c r="O182" s="172"/>
      <c r="P182" s="155" t="s">
        <v>711</v>
      </c>
      <c r="R182" s="124"/>
    </row>
    <row r="183" spans="1:18">
      <c r="A183" s="225">
        <f>IF(ISBLANK(B183),"",MAX($A$140:$A182)+1)</f>
        <v>35</v>
      </c>
      <c r="B183" s="228" t="s">
        <v>56</v>
      </c>
      <c r="C183" s="155"/>
      <c r="D183" s="211">
        <f>G183+O183</f>
        <v>320709.5</v>
      </c>
      <c r="E183" s="211">
        <f>E182*E181</f>
        <v>255678</v>
      </c>
      <c r="F183" s="211">
        <f>F182*F181</f>
        <v>48589.5</v>
      </c>
      <c r="G183" s="112">
        <f>SUM(E183:F183)</f>
        <v>304267.5</v>
      </c>
      <c r="H183" s="112">
        <f t="shared" ref="H183:M183" si="52">H182*H181</f>
        <v>13257</v>
      </c>
      <c r="I183" s="112">
        <f t="shared" si="52"/>
        <v>195</v>
      </c>
      <c r="J183" s="112">
        <f t="shared" si="52"/>
        <v>1190</v>
      </c>
      <c r="K183" s="112">
        <f t="shared" si="52"/>
        <v>1280</v>
      </c>
      <c r="L183" s="112">
        <f t="shared" si="52"/>
        <v>180</v>
      </c>
      <c r="M183" s="112">
        <f t="shared" si="52"/>
        <v>300</v>
      </c>
      <c r="N183" s="112">
        <f>N182*N181</f>
        <v>40</v>
      </c>
      <c r="O183" s="112">
        <f>SUM(H183:N183)</f>
        <v>16442</v>
      </c>
      <c r="P183" s="34" t="str">
        <f>"Line "&amp;A181&amp;" x Line "&amp;A182</f>
        <v>Line 33 x Line 34</v>
      </c>
      <c r="R183" s="124">
        <f>G183+O183-D183</f>
        <v>0</v>
      </c>
    </row>
    <row r="184" spans="1:18">
      <c r="A184" s="225">
        <f>IF(ISBLANK(B184),"",MAX($A$140:$A183)+1)</f>
        <v>36</v>
      </c>
      <c r="B184" s="228" t="s">
        <v>59</v>
      </c>
      <c r="C184" s="155"/>
      <c r="D184" s="233">
        <f>D183/$D183</f>
        <v>1</v>
      </c>
      <c r="E184" s="233">
        <f>E183/$D183</f>
        <v>0.79722615014522491</v>
      </c>
      <c r="F184" s="233">
        <f>F183/$D183</f>
        <v>0.15150626969266578</v>
      </c>
      <c r="G184" s="234">
        <f>G183/$D183</f>
        <v>0.94873241983789069</v>
      </c>
      <c r="H184" s="234">
        <f t="shared" ref="H184:O184" si="53">H183/$D183</f>
        <v>4.1336474285919189E-2</v>
      </c>
      <c r="I184" s="234">
        <f t="shared" si="53"/>
        <v>6.0802689037898789E-4</v>
      </c>
      <c r="J184" s="234">
        <f t="shared" si="53"/>
        <v>3.7105230746204898E-3</v>
      </c>
      <c r="K184" s="234">
        <f t="shared" si="53"/>
        <v>3.9911508701800224E-3</v>
      </c>
      <c r="L184" s="234">
        <f t="shared" si="53"/>
        <v>5.6125559111906568E-4</v>
      </c>
      <c r="M184" s="234">
        <f t="shared" si="53"/>
        <v>9.3542598519844283E-4</v>
      </c>
      <c r="N184" s="234">
        <f>N183/$D183</f>
        <v>1.247234646931257E-4</v>
      </c>
      <c r="O184" s="222">
        <f t="shared" si="53"/>
        <v>5.1267580162109326E-2</v>
      </c>
      <c r="P184" s="34" t="str">
        <f>"Line "&amp;A183&amp;" / Column B, Line "&amp;A183</f>
        <v>Line 35 / Column B, Line 35</v>
      </c>
      <c r="R184" s="124">
        <f>G184+O184-D184</f>
        <v>0</v>
      </c>
    </row>
    <row r="185" spans="1:18">
      <c r="A185" s="225" t="str">
        <f>IF(ISBLANK(B185),"",MAX($A$140:$A184)+1)</f>
        <v/>
      </c>
      <c r="B185" s="155"/>
      <c r="C185" s="155"/>
      <c r="D185" s="155"/>
      <c r="E185" s="155"/>
      <c r="F185" s="155"/>
      <c r="G185" s="212"/>
      <c r="H185" s="172"/>
      <c r="I185" s="172"/>
      <c r="J185" s="172"/>
      <c r="K185" s="172"/>
      <c r="L185" s="172"/>
      <c r="M185" s="172"/>
      <c r="N185" s="172"/>
      <c r="R185" s="124">
        <f>G185+O185-D185</f>
        <v>0</v>
      </c>
    </row>
    <row r="186" spans="1:18">
      <c r="A186" s="225">
        <f>IF(ISBLANK(B186),"",MAX($A$140:$A185)+1)</f>
        <v>37</v>
      </c>
      <c r="B186" s="155" t="s">
        <v>523</v>
      </c>
      <c r="C186" s="155"/>
      <c r="D186" s="211"/>
      <c r="E186" s="210">
        <f>IF(E169&gt;0,E155/E169,"")</f>
        <v>697.75289109512573</v>
      </c>
      <c r="F186" s="210">
        <f>IF(F169&gt;0,F155/F169,"")</f>
        <v>3897.1871597454483</v>
      </c>
      <c r="G186" s="112"/>
      <c r="H186" s="212">
        <f t="shared" ref="H186:L186" si="54">IF(H169&gt;0,H155/H169,"")</f>
        <v>4639.3764426340804</v>
      </c>
      <c r="I186" s="212">
        <f t="shared" si="54"/>
        <v>286751.358974359</v>
      </c>
      <c r="J186" s="212">
        <f t="shared" si="54"/>
        <v>38520.176470588238</v>
      </c>
      <c r="K186" s="212">
        <f t="shared" si="54"/>
        <v>905278.7734375</v>
      </c>
      <c r="L186" s="212">
        <f t="shared" si="54"/>
        <v>8901716.666666666</v>
      </c>
      <c r="M186" s="212">
        <f>IF(M169&gt;0,'Section 3 Exhibit C'!L23/M169,"")</f>
        <v>16140742.666666666</v>
      </c>
      <c r="N186" s="212">
        <f>IF(N169&gt;0,'Section 3 Exhibit C'!M23/N169,"")</f>
        <v>0</v>
      </c>
      <c r="O186" s="209"/>
      <c r="P186" s="155" t="str">
        <f>"Line "&amp;A155&amp;" / Line "&amp;A169&amp;""</f>
        <v>Line 12 / Line 23</v>
      </c>
      <c r="R186" s="124"/>
    </row>
    <row r="187" spans="1:18">
      <c r="A187" s="225" t="str">
        <f>IF(ISBLANK(B187),"",MAX($A$140:$A186)+1)</f>
        <v/>
      </c>
      <c r="B187" s="155"/>
      <c r="C187" s="155"/>
      <c r="D187" s="155"/>
      <c r="E187" s="155"/>
      <c r="F187" s="155"/>
      <c r="G187" s="172"/>
      <c r="H187" s="172"/>
      <c r="I187" s="172"/>
      <c r="J187" s="172"/>
      <c r="K187" s="172"/>
      <c r="L187" s="172"/>
      <c r="M187" s="172"/>
      <c r="N187" s="172"/>
    </row>
    <row r="188" spans="1:18">
      <c r="A188" s="225" t="str">
        <f>IF(ISBLANK(B188),"",MAX($A$140:$A187)+1)</f>
        <v/>
      </c>
      <c r="B188" s="155"/>
      <c r="C188" s="155"/>
      <c r="D188" s="155"/>
      <c r="E188" s="155"/>
      <c r="F188" s="155"/>
      <c r="G188" s="172"/>
      <c r="H188" s="172"/>
      <c r="I188" s="172"/>
      <c r="J188" s="172"/>
      <c r="K188" s="172"/>
      <c r="L188" s="172"/>
      <c r="M188" s="172"/>
      <c r="N188" s="172"/>
    </row>
    <row r="189" spans="1:18">
      <c r="A189" s="113" t="str">
        <f>A1</f>
        <v>Black Hills Nebraska Gas, LLC</v>
      </c>
      <c r="B189" s="115"/>
      <c r="C189" s="115"/>
      <c r="D189" s="115"/>
      <c r="E189" s="115"/>
      <c r="F189" s="115"/>
      <c r="G189" s="634" t="str">
        <f>$P$1</f>
        <v>Section 4, Exhibit B</v>
      </c>
      <c r="I189" s="634" t="str">
        <f>$P$1</f>
        <v>Section 4, Exhibit B</v>
      </c>
      <c r="J189" s="196"/>
      <c r="K189" s="196"/>
      <c r="L189" s="196"/>
      <c r="M189" s="196"/>
      <c r="N189" s="196"/>
      <c r="O189" s="196"/>
      <c r="P189" s="115"/>
    </row>
    <row r="190" spans="1:18">
      <c r="A190" s="113" t="s">
        <v>485</v>
      </c>
      <c r="B190" s="115"/>
      <c r="C190" s="115"/>
      <c r="D190" s="115"/>
      <c r="E190" s="115"/>
      <c r="F190" s="115"/>
      <c r="G190" s="634" t="s">
        <v>40</v>
      </c>
      <c r="I190" s="634" t="s">
        <v>40</v>
      </c>
      <c r="J190" s="196"/>
      <c r="K190" s="196"/>
      <c r="L190" s="196"/>
      <c r="M190" s="196"/>
      <c r="N190" s="196"/>
      <c r="O190" s="196"/>
      <c r="P190" s="115"/>
    </row>
    <row r="191" spans="1:18">
      <c r="A191" s="113" t="str">
        <f>A3</f>
        <v>FOR THE PRO FORMA PERIOD ENDED DECEMBER 31, 2020</v>
      </c>
      <c r="B191" s="115"/>
      <c r="C191" s="115"/>
      <c r="D191" s="115"/>
      <c r="E191" s="115"/>
      <c r="F191" s="115"/>
      <c r="G191" s="634" t="s">
        <v>75</v>
      </c>
      <c r="I191" s="634" t="s">
        <v>60</v>
      </c>
      <c r="J191" s="196"/>
      <c r="K191" s="196"/>
      <c r="L191" s="196"/>
      <c r="M191" s="196"/>
      <c r="N191" s="196"/>
      <c r="O191" s="196"/>
      <c r="P191" s="115"/>
    </row>
    <row r="194" spans="1:15">
      <c r="A194" s="117"/>
      <c r="B194" s="115" t="s">
        <v>0</v>
      </c>
      <c r="C194" s="115"/>
      <c r="D194" s="117" t="s">
        <v>1</v>
      </c>
      <c r="E194" s="117" t="s">
        <v>2</v>
      </c>
      <c r="F194" s="117" t="s">
        <v>3</v>
      </c>
      <c r="G194" s="117" t="s">
        <v>4</v>
      </c>
      <c r="H194" s="117" t="s">
        <v>5</v>
      </c>
      <c r="I194" s="34"/>
      <c r="J194" s="34"/>
      <c r="K194" s="34"/>
      <c r="L194" s="34"/>
      <c r="M194" s="34"/>
      <c r="N194" s="34"/>
      <c r="O194" s="34"/>
    </row>
    <row r="195" spans="1:15">
      <c r="H195" s="34"/>
      <c r="I195" s="34"/>
      <c r="J195" s="34"/>
      <c r="K195" s="34"/>
      <c r="L195" s="34"/>
      <c r="M195" s="34"/>
      <c r="N195" s="34"/>
      <c r="O195" s="34"/>
    </row>
    <row r="196" spans="1:15">
      <c r="A196" s="118"/>
      <c r="B196" s="119"/>
      <c r="C196" s="120"/>
      <c r="D196" s="118"/>
      <c r="E196" s="118"/>
      <c r="F196" s="118"/>
      <c r="G196" s="201"/>
      <c r="H196" s="626"/>
      <c r="I196" s="627"/>
      <c r="J196" s="34"/>
      <c r="K196" s="34"/>
      <c r="L196" s="34"/>
      <c r="M196" s="34"/>
      <c r="N196" s="34"/>
      <c r="O196" s="34"/>
    </row>
    <row r="197" spans="1:15">
      <c r="A197" s="125" t="s">
        <v>6</v>
      </c>
      <c r="B197" s="126"/>
      <c r="C197" s="117"/>
      <c r="D197" s="125" t="str">
        <f>$D$9</f>
        <v>Total</v>
      </c>
      <c r="E197" s="125" t="str">
        <f>$E$9</f>
        <v>Residential</v>
      </c>
      <c r="F197" s="125" t="str">
        <f>$F$9</f>
        <v>Commercial</v>
      </c>
      <c r="G197" s="205" t="str">
        <f>$G$9</f>
        <v>Total</v>
      </c>
      <c r="H197" s="628"/>
      <c r="I197" s="629"/>
      <c r="J197" s="34"/>
      <c r="K197" s="34"/>
      <c r="L197" s="34"/>
      <c r="M197" s="34"/>
      <c r="N197" s="34"/>
      <c r="O197" s="34"/>
    </row>
    <row r="198" spans="1:15">
      <c r="A198" s="130" t="s">
        <v>7</v>
      </c>
      <c r="B198" s="127" t="s">
        <v>8</v>
      </c>
      <c r="C198" s="129"/>
      <c r="D198" s="130" t="str">
        <f>$D$10</f>
        <v>Nebraska</v>
      </c>
      <c r="E198" s="130" t="str">
        <f>$E$10</f>
        <v>Service</v>
      </c>
      <c r="F198" s="130" t="str">
        <f>$F$10</f>
        <v>Service</v>
      </c>
      <c r="G198" s="208" t="str">
        <f>$G$10</f>
        <v>Jurisdictional</v>
      </c>
      <c r="H198" s="625" t="s">
        <v>28</v>
      </c>
      <c r="I198" s="630"/>
      <c r="J198" s="34"/>
      <c r="K198" s="34"/>
      <c r="L198" s="34"/>
      <c r="M198" s="34"/>
      <c r="N198" s="34"/>
      <c r="O198" s="34"/>
    </row>
    <row r="199" spans="1:15">
      <c r="H199" s="34"/>
      <c r="I199" s="34"/>
      <c r="J199" s="34"/>
      <c r="K199" s="34"/>
      <c r="L199" s="34"/>
      <c r="M199" s="34"/>
      <c r="N199" s="34"/>
      <c r="O199" s="34"/>
    </row>
    <row r="200" spans="1:15">
      <c r="D200" s="223"/>
      <c r="E200" s="223"/>
      <c r="F200" s="223"/>
      <c r="G200" s="224"/>
      <c r="H200" s="34"/>
      <c r="I200" s="34"/>
      <c r="J200" s="34"/>
      <c r="K200" s="34"/>
      <c r="L200" s="34"/>
      <c r="M200" s="34"/>
      <c r="N200" s="34"/>
      <c r="O200" s="34"/>
    </row>
    <row r="201" spans="1:15">
      <c r="A201" s="117">
        <f>IF(ISBLANK(B201),"",MAX($A$200:$A200)+1)</f>
        <v>1</v>
      </c>
      <c r="B201" s="34" t="s">
        <v>69</v>
      </c>
      <c r="D201" s="135"/>
      <c r="E201" s="135">
        <f>E55</f>
        <v>62617.386509365642</v>
      </c>
      <c r="F201" s="135">
        <f>F55</f>
        <v>44166.584457690442</v>
      </c>
      <c r="G201" s="135">
        <f>G55</f>
        <v>106783.97096705608</v>
      </c>
      <c r="H201" s="155" t="str">
        <f>LEFT($Q$42,7)&amp;"Table 2, Line "&amp;A55</f>
        <v>Table 2, Line 2</v>
      </c>
      <c r="I201" s="34"/>
      <c r="J201" s="34"/>
      <c r="K201" s="34"/>
      <c r="L201" s="34"/>
      <c r="M201" s="34"/>
      <c r="N201" s="34"/>
      <c r="O201" s="34"/>
    </row>
    <row r="202" spans="1:15">
      <c r="A202" s="117">
        <f>IF(ISBLANK(B202),"",MAX($A$200:$A201)+1)</f>
        <v>2</v>
      </c>
      <c r="B202" s="174" t="s">
        <v>511</v>
      </c>
      <c r="D202" s="223"/>
      <c r="E202" s="277">
        <f>(E201/E$155)*10</f>
        <v>3.5099419369254022E-3</v>
      </c>
      <c r="F202" s="277">
        <f>(F201/F$155)*10</f>
        <v>3.4985765526097043E-3</v>
      </c>
      <c r="G202" s="277">
        <f>(G201/G$155)*10</f>
        <v>3.5052321931085626E-3</v>
      </c>
      <c r="H202" s="155" t="str">
        <f>"Line "&amp;A201&amp;" / "&amp;LEFT($P$130,7)&amp;", Line "&amp;A155&amp;" x 10"</f>
        <v>Line 1 / Table 4, Line 12 x 10</v>
      </c>
      <c r="I202" s="34"/>
      <c r="J202" s="34"/>
      <c r="K202" s="34"/>
      <c r="L202" s="34"/>
      <c r="M202" s="34"/>
      <c r="N202" s="34"/>
      <c r="O202" s="34"/>
    </row>
    <row r="203" spans="1:15">
      <c r="A203" s="117" t="str">
        <f>IF(ISBLANK(B203),"",MAX($A$200:$A202)+1)</f>
        <v/>
      </c>
      <c r="B203" s="174"/>
      <c r="D203" s="223"/>
      <c r="E203" s="223"/>
      <c r="F203" s="223"/>
      <c r="G203" s="223"/>
      <c r="H203" s="155"/>
      <c r="I203" s="34"/>
      <c r="J203" s="34"/>
      <c r="K203" s="34"/>
      <c r="L203" s="34"/>
      <c r="M203" s="34"/>
      <c r="N203" s="34"/>
      <c r="O203" s="34"/>
    </row>
    <row r="204" spans="1:15">
      <c r="A204" s="117">
        <f>IF(ISBLANK(B204),"",MAX($A$200:$A203)+1)</f>
        <v>3</v>
      </c>
      <c r="B204" s="34" t="s">
        <v>70</v>
      </c>
      <c r="D204" s="135"/>
      <c r="E204" s="135">
        <f>E58</f>
        <v>2326626.0604011109</v>
      </c>
      <c r="F204" s="135">
        <f>F58</f>
        <v>1578892.0525892531</v>
      </c>
      <c r="G204" s="135">
        <f>G58</f>
        <v>3905518.112990364</v>
      </c>
      <c r="H204" s="155" t="str">
        <f>LEFT($Q$42,7)&amp;"Table 2, Line "&amp;A58</f>
        <v>Table 2, Line 4</v>
      </c>
      <c r="I204" s="34"/>
      <c r="J204" s="34"/>
      <c r="K204" s="34"/>
      <c r="L204" s="34"/>
      <c r="M204" s="34"/>
      <c r="N204" s="34"/>
      <c r="O204" s="34"/>
    </row>
    <row r="205" spans="1:15">
      <c r="A205" s="117">
        <f>IF(ISBLANK(B205),"",MAX($A$200:$A204)+1)</f>
        <v>4</v>
      </c>
      <c r="B205" s="174" t="s">
        <v>511</v>
      </c>
      <c r="D205" s="277"/>
      <c r="E205" s="277">
        <f>(E204/E$155)</f>
        <v>1.3041621243205289E-2</v>
      </c>
      <c r="F205" s="277">
        <f t="shared" ref="F205:G205" si="55">(F204/F$155)</f>
        <v>1.2506909425115693E-2</v>
      </c>
      <c r="G205" s="277">
        <f t="shared" si="55"/>
        <v>1.2820040027024141E-2</v>
      </c>
      <c r="H205" s="155" t="str">
        <f>"Line "&amp;A204&amp;" / "&amp;LEFT($P$130,7)&amp;", Line "&amp;A155&amp;""</f>
        <v>Line 3 / Table 4, Line 12</v>
      </c>
      <c r="I205" s="34"/>
      <c r="J205" s="34"/>
      <c r="K205" s="34"/>
      <c r="L205" s="34"/>
      <c r="M205" s="34"/>
      <c r="N205" s="34"/>
      <c r="O205" s="34"/>
    </row>
    <row r="206" spans="1:15">
      <c r="A206" s="117" t="str">
        <f>IF(ISBLANK(B206),"",MAX($A$200:$A205)+1)</f>
        <v/>
      </c>
      <c r="D206" s="223"/>
      <c r="E206" s="223"/>
      <c r="F206" s="223"/>
      <c r="G206" s="223"/>
      <c r="H206" s="155"/>
      <c r="I206" s="34"/>
      <c r="J206" s="34"/>
      <c r="K206" s="34"/>
      <c r="L206" s="34"/>
      <c r="M206" s="34"/>
      <c r="N206" s="34"/>
      <c r="O206" s="34"/>
    </row>
    <row r="207" spans="1:15">
      <c r="A207" s="117">
        <f>IF(ISBLANK(B207),"",MAX($A$200:$A206)+1)</f>
        <v>5</v>
      </c>
      <c r="B207" s="34" t="s">
        <v>71</v>
      </c>
      <c r="D207" s="135"/>
      <c r="E207" s="135">
        <f>E59</f>
        <v>1648900.242876427</v>
      </c>
      <c r="F207" s="135">
        <f>F59</f>
        <v>1166814.4823634084</v>
      </c>
      <c r="G207" s="135">
        <f>G59</f>
        <v>2815714.7252398357</v>
      </c>
      <c r="H207" s="155" t="str">
        <f>LEFT($Q$42,7)&amp;"Table 2, Line "&amp;A59</f>
        <v>Table 2, Line 5</v>
      </c>
      <c r="I207" s="34"/>
      <c r="J207" s="34"/>
      <c r="K207" s="34"/>
      <c r="L207" s="34"/>
      <c r="M207" s="34"/>
      <c r="N207" s="34"/>
      <c r="O207" s="34"/>
    </row>
    <row r="208" spans="1:15">
      <c r="A208" s="117">
        <f>IF(ISBLANK(B208),"",MAX($A$200:$A207)+1)</f>
        <v>6</v>
      </c>
      <c r="B208" s="174" t="s">
        <v>511</v>
      </c>
      <c r="D208" s="277"/>
      <c r="E208" s="277">
        <f>(E207/E$155)</f>
        <v>9.242711066219305E-3</v>
      </c>
      <c r="F208" s="277">
        <f t="shared" ref="F208:G208" si="56">(F207/F$155)</f>
        <v>9.242711066219305E-3</v>
      </c>
      <c r="G208" s="277">
        <f t="shared" si="56"/>
        <v>9.242711066219305E-3</v>
      </c>
      <c r="H208" s="155" t="str">
        <f>"Line "&amp;A207&amp;" / "&amp;LEFT($P$130,7)&amp;", Line "&amp;A155</f>
        <v>Line 5 / Table 4, Line 12</v>
      </c>
      <c r="I208" s="34"/>
      <c r="J208" s="34"/>
      <c r="K208" s="34"/>
      <c r="L208" s="34"/>
      <c r="M208" s="34"/>
      <c r="N208" s="34"/>
      <c r="O208" s="34"/>
    </row>
    <row r="209" spans="1:15">
      <c r="A209" s="117" t="str">
        <f>IF(ISBLANK(B209),"",MAX($A$200:$A208)+1)</f>
        <v/>
      </c>
      <c r="D209" s="223"/>
      <c r="E209" s="223"/>
      <c r="F209" s="223"/>
      <c r="G209" s="223"/>
      <c r="H209" s="155"/>
      <c r="I209" s="34"/>
      <c r="J209" s="34"/>
      <c r="K209" s="34"/>
      <c r="L209" s="34"/>
      <c r="M209" s="34"/>
      <c r="N209" s="34"/>
      <c r="O209" s="34"/>
    </row>
    <row r="210" spans="1:15">
      <c r="A210" s="117">
        <f>IF(ISBLANK(B210),"",MAX($A$200:$A209)+1)</f>
        <v>7</v>
      </c>
      <c r="B210" s="34" t="s">
        <v>72</v>
      </c>
      <c r="D210" s="135"/>
      <c r="E210" s="135">
        <f>E63</f>
        <v>13339145.28170792</v>
      </c>
      <c r="F210" s="135">
        <f>F63</f>
        <v>9052194.0040468425</v>
      </c>
      <c r="G210" s="135">
        <f>G63</f>
        <v>22391339.285754763</v>
      </c>
      <c r="H210" s="155" t="str">
        <f>LEFT($Q$42,7)&amp;"Table 2, Line "&amp;A63</f>
        <v>Table 2, Line 8</v>
      </c>
      <c r="I210" s="34"/>
      <c r="J210" s="34"/>
      <c r="K210" s="34"/>
      <c r="L210" s="34"/>
      <c r="M210" s="34"/>
      <c r="N210" s="34"/>
      <c r="O210" s="34"/>
    </row>
    <row r="211" spans="1:15">
      <c r="A211" s="117">
        <f>IF(ISBLANK(B211),"",MAX($A$200:$A210)+1)</f>
        <v>8</v>
      </c>
      <c r="B211" s="174" t="s">
        <v>511</v>
      </c>
      <c r="D211" s="277"/>
      <c r="E211" s="277">
        <f>(E210/E$155)</f>
        <v>7.4770967038051736E-2</v>
      </c>
      <c r="F211" s="277">
        <f t="shared" ref="F211:G211" si="57">(F210/F$155)</f>
        <v>7.1705326733088548E-2</v>
      </c>
      <c r="G211" s="277">
        <f t="shared" si="57"/>
        <v>7.3500584966500304E-2</v>
      </c>
      <c r="H211" s="34" t="str">
        <f>"Line "&amp;A210&amp;" / "&amp;LEFT($P$130,7)&amp;", Line "&amp;A155</f>
        <v>Line 7 / Table 4, Line 12</v>
      </c>
      <c r="I211" s="34"/>
      <c r="J211" s="34"/>
      <c r="K211" s="34"/>
      <c r="L211" s="34"/>
      <c r="M211" s="34"/>
      <c r="N211" s="34"/>
      <c r="O211" s="34"/>
    </row>
    <row r="212" spans="1:15">
      <c r="A212" s="117" t="str">
        <f>IF(ISBLANK(B212),"",MAX($A$200:$A211)+1)</f>
        <v/>
      </c>
      <c r="D212" s="223"/>
      <c r="E212" s="223"/>
      <c r="F212" s="223"/>
      <c r="G212" s="223"/>
      <c r="H212" s="34"/>
      <c r="I212" s="34"/>
      <c r="J212" s="34"/>
      <c r="K212" s="34"/>
      <c r="L212" s="34"/>
      <c r="M212" s="34"/>
      <c r="N212" s="34"/>
      <c r="O212" s="34"/>
    </row>
    <row r="213" spans="1:15">
      <c r="A213" s="117">
        <f>IF(ISBLANK(B213),"",MAX($A$200:$A212)+1)</f>
        <v>9</v>
      </c>
      <c r="B213" s="34" t="s">
        <v>73</v>
      </c>
      <c r="D213" s="135"/>
      <c r="E213" s="135">
        <f>E64+E80</f>
        <v>3046950.2905899673</v>
      </c>
      <c r="F213" s="135">
        <f>F64+F80</f>
        <v>2156119.3537699096</v>
      </c>
      <c r="G213" s="135">
        <f>G64+G80</f>
        <v>5203069.6443598773</v>
      </c>
      <c r="H213" s="155" t="str">
        <f>LEFT($Q$42,7)&amp;"Table 2, Line "&amp;A64&amp;" + Line "&amp;A80</f>
        <v>Table 2, Line 9 + Line 20</v>
      </c>
      <c r="I213" s="34"/>
      <c r="J213" s="34"/>
      <c r="K213" s="34"/>
      <c r="L213" s="34"/>
      <c r="M213" s="34"/>
      <c r="N213" s="34"/>
      <c r="O213" s="34"/>
    </row>
    <row r="214" spans="1:15">
      <c r="A214" s="117">
        <f>IF(ISBLANK(B214),"",MAX($A$200:$A213)+1)</f>
        <v>10</v>
      </c>
      <c r="B214" s="174" t="s">
        <v>511</v>
      </c>
      <c r="D214" s="277"/>
      <c r="E214" s="277">
        <f>(E213/E$155)</f>
        <v>1.7079311674991705E-2</v>
      </c>
      <c r="F214" s="277">
        <f t="shared" ref="F214:G214" si="58">(F213/F$155)</f>
        <v>1.7079311674991701E-2</v>
      </c>
      <c r="G214" s="277">
        <f t="shared" si="58"/>
        <v>1.7079311674991701E-2</v>
      </c>
      <c r="H214" s="34" t="str">
        <f>"Line "&amp;A213&amp;" / "&amp;LEFT($P$130,7)&amp;", Line "&amp;A155</f>
        <v>Line 9 / Table 4, Line 12</v>
      </c>
      <c r="I214" s="34"/>
      <c r="J214" s="34"/>
      <c r="K214" s="34"/>
      <c r="L214" s="34"/>
      <c r="M214" s="34"/>
      <c r="N214" s="34"/>
      <c r="O214" s="34"/>
    </row>
    <row r="215" spans="1:15">
      <c r="A215" s="117" t="str">
        <f>IF(ISBLANK(B215),"",MAX($A$200:$A214)+1)</f>
        <v/>
      </c>
      <c r="D215" s="223"/>
      <c r="E215" s="223"/>
      <c r="F215" s="223"/>
      <c r="G215" s="223"/>
      <c r="H215" s="34"/>
      <c r="I215" s="34"/>
      <c r="J215" s="34"/>
      <c r="K215" s="34"/>
      <c r="L215" s="34"/>
      <c r="M215" s="34"/>
      <c r="N215" s="34"/>
      <c r="O215" s="34"/>
    </row>
    <row r="216" spans="1:15">
      <c r="A216" s="117">
        <f>IF(ISBLANK(B216),"",MAX($A$200:$A215)+1)</f>
        <v>11</v>
      </c>
      <c r="B216" s="155" t="s">
        <v>74</v>
      </c>
      <c r="C216" s="155"/>
      <c r="D216" s="211"/>
      <c r="E216" s="211">
        <f>E65</f>
        <v>21454802.640810359</v>
      </c>
      <c r="F216" s="211">
        <f>F65</f>
        <v>5436411.5953955362</v>
      </c>
      <c r="G216" s="211">
        <f>G65</f>
        <v>26891214.236205895</v>
      </c>
      <c r="H216" s="155" t="str">
        <f>LEFT($Q$42,7)&amp;"Table 2, Line "&amp;A65</f>
        <v>Table 2, Line 10</v>
      </c>
      <c r="I216" s="34"/>
      <c r="J216" s="34"/>
      <c r="K216" s="34"/>
      <c r="L216" s="34"/>
      <c r="M216" s="34"/>
      <c r="N216" s="34"/>
      <c r="O216" s="34"/>
    </row>
    <row r="217" spans="1:15">
      <c r="A217" s="117">
        <f>IF(ISBLANK(B217),"",MAX($A$200:$A216)+1)</f>
        <v>12</v>
      </c>
      <c r="B217" s="562" t="s">
        <v>524</v>
      </c>
      <c r="C217" s="155"/>
      <c r="D217" s="415"/>
      <c r="E217" s="563">
        <f>(E216/'Section 3 Exhibit C'!D13)</f>
        <v>6.9927808417913546</v>
      </c>
      <c r="F217" s="563">
        <f>(F216/'Section 3 Exhibit C'!E13)</f>
        <v>13.985669621019971</v>
      </c>
      <c r="G217" s="563">
        <f>(G216/'Section 3 Exhibit C'!F13)</f>
        <v>241.82529146505783</v>
      </c>
      <c r="H217" s="34" t="str">
        <f>"Line "&amp;A216&amp;" / Section 3, Exhibit C, Line "&amp;'Section 3 Exhibit C'!A13</f>
        <v>Line 11 / Section 3, Exhibit C, Line 5</v>
      </c>
      <c r="I217" s="34"/>
      <c r="J217" s="34"/>
      <c r="K217" s="34"/>
      <c r="L217" s="34"/>
      <c r="M217" s="34"/>
      <c r="N217" s="34"/>
      <c r="O217" s="34"/>
    </row>
    <row r="218" spans="1:15">
      <c r="A218" s="117" t="str">
        <f>IF(ISBLANK(B218),"",MAX($A$200:$A217)+1)</f>
        <v/>
      </c>
      <c r="B218" s="140"/>
      <c r="D218" s="223"/>
      <c r="E218" s="223"/>
      <c r="F218" s="223"/>
      <c r="G218" s="223"/>
      <c r="H218" s="34"/>
      <c r="I218" s="34"/>
      <c r="J218" s="34"/>
      <c r="K218" s="34"/>
      <c r="L218" s="34"/>
      <c r="M218" s="34"/>
      <c r="N218" s="34"/>
      <c r="O218" s="34"/>
    </row>
    <row r="219" spans="1:15">
      <c r="A219" s="117">
        <f>IF(ISBLANK(B219),"",MAX($A$200:$A218)+1)</f>
        <v>13</v>
      </c>
      <c r="B219" s="561" t="s">
        <v>487</v>
      </c>
      <c r="C219" s="155"/>
      <c r="D219" s="414"/>
      <c r="E219" s="414"/>
      <c r="F219" s="414"/>
      <c r="G219" s="414"/>
      <c r="H219" s="34"/>
      <c r="I219" s="34"/>
      <c r="J219" s="34"/>
      <c r="K219" s="34"/>
      <c r="L219" s="34"/>
      <c r="M219" s="34"/>
      <c r="N219" s="34"/>
      <c r="O219" s="34"/>
    </row>
    <row r="220" spans="1:15">
      <c r="A220" s="117">
        <f>IF(ISBLANK(B220),"",MAX($A$200:$A219)+1)</f>
        <v>14</v>
      </c>
      <c r="B220" s="561" t="s">
        <v>488</v>
      </c>
      <c r="C220" s="155"/>
      <c r="D220" s="211"/>
      <c r="E220" s="211">
        <f>E68</f>
        <v>21448614.15039321</v>
      </c>
      <c r="F220" s="211">
        <f>F68</f>
        <v>5434843.4998215511</v>
      </c>
      <c r="G220" s="211">
        <f>G68</f>
        <v>26883457.650214761</v>
      </c>
      <c r="H220" s="155" t="str">
        <f>LEFT($Q$42,7)&amp;"Table 2, Line "&amp;A68</f>
        <v>Table 2, Line 12</v>
      </c>
      <c r="I220" s="34"/>
      <c r="J220" s="34"/>
      <c r="K220" s="34"/>
      <c r="L220" s="34"/>
      <c r="M220" s="34"/>
      <c r="N220" s="34"/>
      <c r="O220" s="34"/>
    </row>
    <row r="221" spans="1:15">
      <c r="A221" s="117">
        <f>IF(ISBLANK(B221),"",MAX($A$200:$A220)+1)</f>
        <v>15</v>
      </c>
      <c r="B221" s="561" t="s">
        <v>489</v>
      </c>
      <c r="C221" s="155"/>
      <c r="D221" s="414"/>
      <c r="E221" s="414">
        <f>E220/E181/12</f>
        <v>6.9907638222012354</v>
      </c>
      <c r="F221" s="414">
        <f>F220/F181/12</f>
        <v>13.981527644402471</v>
      </c>
      <c r="G221" s="414">
        <f>G220/G181/12</f>
        <v>7.7768610429994576</v>
      </c>
      <c r="H221" s="34" t="str">
        <f>"Line "&amp;A220&amp;" / "&amp;LEFT($P$130,7)&amp;", Line "&amp;A181&amp;" / 12"</f>
        <v>Line 14 / Table 4, Line 33 / 12</v>
      </c>
      <c r="I221" s="34"/>
      <c r="J221" s="34"/>
      <c r="K221" s="34"/>
      <c r="L221" s="34"/>
      <c r="M221" s="34"/>
      <c r="N221" s="34"/>
      <c r="O221" s="34"/>
    </row>
    <row r="222" spans="1:15">
      <c r="A222" s="117">
        <f>IF(ISBLANK(B222),"",MAX($A$200:$A221)+1)</f>
        <v>16</v>
      </c>
      <c r="B222" s="561" t="s">
        <v>490</v>
      </c>
      <c r="C222" s="155"/>
      <c r="D222" s="211"/>
      <c r="E222" s="211">
        <f>E70</f>
        <v>14255480.116815548</v>
      </c>
      <c r="F222" s="211">
        <f>F70</f>
        <v>6321318.947989352</v>
      </c>
      <c r="G222" s="211">
        <f>G70</f>
        <v>20576799.0648049</v>
      </c>
      <c r="H222" s="155" t="str">
        <f>LEFT($Q$42,7)&amp;"Table 2, Line "&amp;A70</f>
        <v>Table 2, Line 13</v>
      </c>
      <c r="I222" s="34"/>
      <c r="J222" s="34"/>
      <c r="K222" s="34"/>
      <c r="L222" s="34"/>
      <c r="M222" s="34"/>
      <c r="N222" s="34"/>
      <c r="O222" s="34"/>
    </row>
    <row r="223" spans="1:15">
      <c r="A223" s="117">
        <f>IF(ISBLANK(B223),"",MAX($A$200:$A222)+1)</f>
        <v>17</v>
      </c>
      <c r="B223" s="561" t="s">
        <v>489</v>
      </c>
      <c r="C223" s="155"/>
      <c r="D223" s="414"/>
      <c r="E223" s="414">
        <f>E222/E181/12</f>
        <v>4.6462999413375252</v>
      </c>
      <c r="F223" s="414">
        <f>F222/F181/12</f>
        <v>16.262049794681342</v>
      </c>
      <c r="G223" s="414">
        <f>G222/G181/12</f>
        <v>5.9524674660080619</v>
      </c>
      <c r="H223" s="155" t="str">
        <f>"Line "&amp;A222&amp;" / "&amp;LEFT($P$130,7)&amp;", Line "&amp;A181&amp;" / 12"</f>
        <v>Line 16 / Table 4, Line 33 / 12</v>
      </c>
      <c r="I223" s="34"/>
      <c r="J223" s="34"/>
      <c r="K223" s="34"/>
      <c r="L223" s="34"/>
      <c r="M223" s="34"/>
      <c r="N223" s="34"/>
      <c r="O223" s="34"/>
    </row>
    <row r="224" spans="1:15">
      <c r="A224" s="117">
        <f>IF(ISBLANK(B224),"",MAX($A$200:$A223)+1)</f>
        <v>18</v>
      </c>
      <c r="B224" s="561" t="s">
        <v>491</v>
      </c>
      <c r="C224" s="155"/>
      <c r="D224" s="211"/>
      <c r="E224" s="211">
        <f>E72</f>
        <v>16033772.932886779</v>
      </c>
      <c r="F224" s="211">
        <f>F72</f>
        <v>3047086.6086346973</v>
      </c>
      <c r="G224" s="211">
        <f>G72</f>
        <v>19080859.541521475</v>
      </c>
      <c r="H224" s="155" t="str">
        <f>LEFT($Q$42,7)&amp;"Table 2, Line "&amp;A72</f>
        <v>Table 2, Line 14</v>
      </c>
      <c r="I224" s="34"/>
      <c r="J224" s="34"/>
      <c r="K224" s="34"/>
      <c r="L224" s="34"/>
      <c r="M224" s="34"/>
      <c r="N224" s="34"/>
      <c r="O224" s="34"/>
    </row>
    <row r="225" spans="1:15">
      <c r="A225" s="117">
        <f>IF(ISBLANK(B225),"",MAX($A$200:$A224)+1)</f>
        <v>19</v>
      </c>
      <c r="B225" s="561" t="s">
        <v>489</v>
      </c>
      <c r="C225" s="155"/>
      <c r="D225" s="414"/>
      <c r="E225" s="414">
        <f>E224/E181/12</f>
        <v>5.2259003293487574</v>
      </c>
      <c r="F225" s="414">
        <f>F224/F181/12</f>
        <v>7.8388504940231352</v>
      </c>
      <c r="G225" s="414">
        <f>G224/G181/12</f>
        <v>5.5197212786435381</v>
      </c>
      <c r="H225" s="155" t="str">
        <f>"Line "&amp;A224&amp;" / "&amp;LEFT($P$130,7)&amp;", Line "&amp;A181&amp;" / 12"</f>
        <v>Line 18 / Table 4, Line 33 / 12</v>
      </c>
      <c r="I225" s="34"/>
      <c r="J225" s="34"/>
      <c r="K225" s="34"/>
      <c r="L225" s="34"/>
      <c r="M225" s="34"/>
      <c r="N225" s="34"/>
      <c r="O225" s="34"/>
    </row>
    <row r="226" spans="1:15">
      <c r="A226" s="117"/>
      <c r="B226" s="140"/>
      <c r="D226" s="223"/>
      <c r="E226" s="223"/>
      <c r="F226" s="223"/>
      <c r="G226" s="223"/>
      <c r="H226" s="155"/>
      <c r="I226" s="34"/>
      <c r="J226" s="34"/>
      <c r="K226" s="34"/>
      <c r="L226" s="34"/>
      <c r="M226" s="34"/>
      <c r="N226" s="34"/>
      <c r="O226" s="34"/>
    </row>
    <row r="227" spans="1:15">
      <c r="A227" s="117">
        <f>IF(ISBLANK(B227),"",MAX($A$200:$A226)+1)</f>
        <v>20</v>
      </c>
      <c r="B227" s="195" t="s">
        <v>492</v>
      </c>
      <c r="D227" s="135"/>
      <c r="E227" s="135">
        <f>E77</f>
        <v>-1439900.2137801871</v>
      </c>
      <c r="F227" s="135">
        <f>F77</f>
        <v>-361757.62093759025</v>
      </c>
      <c r="G227" s="135">
        <f>G77</f>
        <v>-1801657.8347177771</v>
      </c>
      <c r="H227" s="155" t="str">
        <f>LEFT($Q$42,7)&amp;"Table 2, Line "&amp;A77</f>
        <v>Table 2, Line 18</v>
      </c>
      <c r="I227" s="34"/>
      <c r="J227" s="34"/>
      <c r="K227" s="34"/>
      <c r="L227" s="34"/>
      <c r="M227" s="34"/>
      <c r="N227" s="34"/>
      <c r="O227" s="34"/>
    </row>
    <row r="228" spans="1:15">
      <c r="A228" s="225">
        <f>IF(ISBLANK(B228),"",MAX($A$200:$A227)+1)</f>
        <v>21</v>
      </c>
      <c r="B228" s="167" t="s">
        <v>489</v>
      </c>
      <c r="C228" s="155"/>
      <c r="D228" s="414"/>
      <c r="E228" s="414">
        <f>E227/E181/12</f>
        <v>-0.46930781874733946</v>
      </c>
      <c r="F228" s="414">
        <f>F227/F181/12</f>
        <v>-0.93064762175364601</v>
      </c>
      <c r="G228" s="414">
        <f>G227/G181/12</f>
        <v>-0.52118454441144058</v>
      </c>
      <c r="H228" s="155" t="str">
        <f>"Line "&amp;A227&amp;" / "&amp;LEFT($P$130,7)&amp;", Line "&amp;A181&amp;" / 12"</f>
        <v>Line 20 / Table 4, Line 33 / 12</v>
      </c>
      <c r="I228" s="34"/>
      <c r="J228" s="34"/>
      <c r="K228" s="34"/>
      <c r="L228" s="34"/>
      <c r="M228" s="34"/>
      <c r="N228" s="34"/>
      <c r="O228" s="34"/>
    </row>
    <row r="229" spans="1:15">
      <c r="A229" s="225"/>
      <c r="B229" s="167"/>
      <c r="C229" s="155"/>
      <c r="D229" s="414"/>
      <c r="E229" s="414"/>
      <c r="F229" s="414"/>
      <c r="G229" s="414"/>
      <c r="H229" s="155"/>
      <c r="I229" s="34"/>
      <c r="J229" s="34"/>
      <c r="K229" s="34"/>
      <c r="L229" s="34"/>
      <c r="M229" s="34"/>
      <c r="N229" s="34"/>
      <c r="O229" s="34"/>
    </row>
    <row r="230" spans="1:15">
      <c r="A230" s="225">
        <f>IF(ISBLANK(B230),"",MAX($A$200:$A228)+1)</f>
        <v>22</v>
      </c>
      <c r="B230" s="155" t="s">
        <v>31</v>
      </c>
      <c r="C230" s="155"/>
      <c r="D230" s="211"/>
      <c r="E230" s="211">
        <f>E201+E204+E207+E210+E213+E216+E220+E222+E224+E227</f>
        <v>92177008.889210492</v>
      </c>
      <c r="F230" s="211">
        <f>F201+F204+F207+F210+F213+F216+F220+F222+F224+F227</f>
        <v>33876089.508130647</v>
      </c>
      <c r="G230" s="211">
        <f>G201+G204+G207+G210+G213+G216+G220+G222+G224+G227</f>
        <v>126053098.39734115</v>
      </c>
      <c r="H230" s="155" t="str">
        <f>"Sum of Lines "&amp;A201&amp;", "&amp;A204&amp;", "&amp;A207&amp;", "&amp;A210&amp;", "&amp;A213&amp;", "&amp;A216&amp;", "&amp;A220&amp;", "&amp;A222&amp;", "&amp;A224&amp;", and "&amp;A227</f>
        <v>Sum of Lines 1, 3, 5, 7, 9, 11, 14, 16, 18, and 20</v>
      </c>
      <c r="I230" s="34"/>
      <c r="J230" s="34"/>
      <c r="K230" s="34"/>
      <c r="L230" s="34"/>
      <c r="M230" s="34"/>
      <c r="N230" s="34"/>
      <c r="O230" s="34"/>
    </row>
    <row r="231" spans="1:15">
      <c r="A231" s="225"/>
      <c r="B231" s="167"/>
      <c r="C231" s="155"/>
      <c r="D231" s="414"/>
      <c r="E231" s="414"/>
      <c r="F231" s="414"/>
      <c r="G231" s="414"/>
      <c r="H231" s="155"/>
      <c r="I231" s="34"/>
      <c r="J231" s="34"/>
      <c r="K231" s="34"/>
      <c r="L231" s="34"/>
      <c r="M231" s="34"/>
      <c r="N231" s="34"/>
      <c r="O231" s="34"/>
    </row>
    <row r="232" spans="1:15">
      <c r="A232" s="225">
        <f>IF(ISBLANK(B232),"",MAX($A$200:$A230)+1)</f>
        <v>23</v>
      </c>
      <c r="B232" s="155" t="s">
        <v>608</v>
      </c>
      <c r="C232" s="155"/>
      <c r="D232" s="211"/>
      <c r="E232" s="211">
        <f>E216+E220+E222+E224+E227</f>
        <v>71752769.62712571</v>
      </c>
      <c r="F232" s="211">
        <f t="shared" ref="F232:G232" si="59">F216+F220+F222+F224+F227</f>
        <v>19877903.030903544</v>
      </c>
      <c r="G232" s="211">
        <f t="shared" si="59"/>
        <v>91630672.658029243</v>
      </c>
      <c r="H232" s="155" t="str">
        <f>"Sum of Lines "&amp;A216&amp;", "&amp;A220&amp;", "&amp;A222&amp;", "&amp;A224&amp;", and "&amp;A227</f>
        <v>Sum of Lines 11, 14, 16, 18, and 20</v>
      </c>
      <c r="I232" s="34"/>
      <c r="J232" s="34"/>
      <c r="K232" s="34"/>
      <c r="L232" s="34"/>
      <c r="M232" s="34"/>
      <c r="N232" s="34"/>
      <c r="O232" s="34"/>
    </row>
    <row r="233" spans="1:15">
      <c r="A233" s="225">
        <f>IF(ISBLANK(B233),"",MAX($A$200:$A232)+1)</f>
        <v>24</v>
      </c>
      <c r="B233" s="562" t="s">
        <v>211</v>
      </c>
      <c r="C233" s="155"/>
      <c r="D233" s="414"/>
      <c r="E233" s="414">
        <f>E217+E221+E223+E225+E228</f>
        <v>23.386437115931532</v>
      </c>
      <c r="F233" s="414">
        <f t="shared" ref="F233:G233" si="60">F217+F221+F223+F225+F228</f>
        <v>51.137449932373279</v>
      </c>
      <c r="G233" s="414">
        <f t="shared" si="60"/>
        <v>260.55315670829748</v>
      </c>
      <c r="H233" s="155" t="str">
        <f>"Sum of Lines "&amp;A217&amp;", "&amp;A221&amp;", "&amp;A223&amp;", "&amp;A225&amp;", and "&amp;A228</f>
        <v>Sum of Lines 12, 15, 17, 19, and 21</v>
      </c>
      <c r="I233" s="34"/>
      <c r="J233" s="34"/>
      <c r="K233" s="34"/>
      <c r="L233" s="34"/>
      <c r="M233" s="34"/>
      <c r="N233" s="34"/>
      <c r="O233" s="34"/>
    </row>
    <row r="234" spans="1:15">
      <c r="A234" s="225" t="str">
        <f>IF(ISBLANK(B234),"",MAX($A$200:$A233)+1)</f>
        <v/>
      </c>
      <c r="B234" s="167"/>
      <c r="C234" s="155"/>
      <c r="D234" s="414"/>
      <c r="E234" s="414"/>
      <c r="F234" s="414"/>
      <c r="G234" s="414"/>
      <c r="H234" s="155"/>
      <c r="I234" s="34"/>
      <c r="J234" s="34"/>
      <c r="K234" s="34"/>
      <c r="L234" s="34"/>
      <c r="M234" s="34"/>
      <c r="N234" s="34"/>
      <c r="O234" s="34"/>
    </row>
    <row r="235" spans="1:15">
      <c r="A235" s="225">
        <f>IF(ISBLANK(B235),"",MAX($A$200:$A234)+1)</f>
        <v>25</v>
      </c>
      <c r="B235" s="155" t="s">
        <v>679</v>
      </c>
      <c r="C235" s="155"/>
      <c r="D235" s="414"/>
      <c r="E235" s="141">
        <f>+E204+E210</f>
        <v>15665771.342109032</v>
      </c>
      <c r="F235" s="141">
        <f t="shared" ref="E235:G236" si="61">+F204+F210</f>
        <v>10631086.056636095</v>
      </c>
      <c r="G235" s="141">
        <f t="shared" si="61"/>
        <v>26296857.398745127</v>
      </c>
      <c r="H235" s="155" t="str">
        <f>"Line "&amp;A204&amp;" + Line "&amp;A210</f>
        <v>Line 3 + Line 7</v>
      </c>
      <c r="I235" s="34"/>
      <c r="J235" s="34"/>
      <c r="K235" s="34"/>
      <c r="L235" s="34"/>
      <c r="M235" s="34"/>
      <c r="N235" s="34"/>
      <c r="O235" s="34"/>
    </row>
    <row r="236" spans="1:15">
      <c r="A236" s="225">
        <f>IF(ISBLANK(B236),"",MAX($A$200:$A235)+1)</f>
        <v>26</v>
      </c>
      <c r="B236" s="155" t="s">
        <v>616</v>
      </c>
      <c r="C236" s="155"/>
      <c r="D236" s="414"/>
      <c r="E236" s="631">
        <f t="shared" si="61"/>
        <v>8.7812588281257029E-2</v>
      </c>
      <c r="F236" s="631">
        <f t="shared" si="61"/>
        <v>8.4212236158204237E-2</v>
      </c>
      <c r="G236" s="631">
        <f t="shared" si="61"/>
        <v>8.6320624993524442E-2</v>
      </c>
      <c r="H236" s="155" t="str">
        <f>"Line "&amp;A205&amp;" + Line "&amp;A211</f>
        <v>Line 4 + Line 8</v>
      </c>
      <c r="I236" s="34"/>
      <c r="J236" s="34"/>
      <c r="K236" s="34"/>
      <c r="L236" s="34"/>
      <c r="M236" s="34"/>
      <c r="N236" s="34"/>
      <c r="O236" s="34"/>
    </row>
    <row r="237" spans="1:15">
      <c r="A237" s="225" t="str">
        <f>IF(ISBLANK(B237),"",MAX($A$200:$A236)+1)</f>
        <v/>
      </c>
      <c r="B237" s="167"/>
      <c r="C237" s="155"/>
      <c r="D237" s="414"/>
      <c r="E237" s="414"/>
      <c r="F237" s="414"/>
      <c r="G237" s="414"/>
      <c r="H237" s="155"/>
      <c r="I237" s="34"/>
      <c r="J237" s="34"/>
      <c r="K237" s="34"/>
      <c r="L237" s="34"/>
      <c r="M237" s="34"/>
      <c r="N237" s="34"/>
      <c r="O237" s="34"/>
    </row>
    <row r="238" spans="1:15">
      <c r="A238" s="225">
        <f>IF(ISBLANK(B238),"",MAX($A$200:$A237)+1)</f>
        <v>27</v>
      </c>
      <c r="B238" s="155" t="s">
        <v>615</v>
      </c>
      <c r="C238" s="155"/>
      <c r="D238" s="211"/>
      <c r="E238" s="211">
        <f>+E201+E207+E213</f>
        <v>4758467.9199757595</v>
      </c>
      <c r="F238" s="211">
        <f t="shared" ref="F238:G239" si="62">+F201+F207+F213</f>
        <v>3367100.4205910084</v>
      </c>
      <c r="G238" s="211">
        <f t="shared" si="62"/>
        <v>8125568.3405667692</v>
      </c>
      <c r="H238" s="155" t="str">
        <f>"Line "&amp;A201&amp;" + Line "&amp;A207&amp;" and Line "&amp;A213</f>
        <v>Line 1 + Line 5 and Line 9</v>
      </c>
      <c r="I238" s="34"/>
      <c r="J238" s="34"/>
      <c r="K238" s="34"/>
      <c r="L238" s="34"/>
      <c r="M238" s="34"/>
      <c r="N238" s="34"/>
      <c r="O238" s="34"/>
    </row>
    <row r="239" spans="1:15">
      <c r="A239" s="225">
        <f>IF(ISBLANK(B239),"",MAX($A$200:$A238)+1)</f>
        <v>28</v>
      </c>
      <c r="B239" s="155" t="s">
        <v>616</v>
      </c>
      <c r="C239" s="155"/>
      <c r="D239" s="414"/>
      <c r="E239" s="631">
        <f>+E202+E208+E214</f>
        <v>2.9831964678136411E-2</v>
      </c>
      <c r="F239" s="631">
        <f t="shared" si="62"/>
        <v>2.9820599293820711E-2</v>
      </c>
      <c r="G239" s="631">
        <f t="shared" si="62"/>
        <v>2.9827254934319571E-2</v>
      </c>
      <c r="H239" s="34" t="str">
        <f>"Line "&amp;A202&amp;" + Line "&amp;A208&amp;" and Line "&amp;A214</f>
        <v>Line 2 + Line 6 and Line 10</v>
      </c>
      <c r="I239" s="34"/>
      <c r="J239" s="34"/>
      <c r="K239" s="34"/>
      <c r="L239" s="34"/>
      <c r="M239" s="34"/>
      <c r="N239" s="34"/>
      <c r="O239" s="34"/>
    </row>
    <row r="240" spans="1:15">
      <c r="A240" s="117" t="str">
        <f>IF(ISBLANK(B240),"",MAX($A$200:$A239)+1)</f>
        <v/>
      </c>
      <c r="D240" s="223"/>
      <c r="E240" s="223"/>
      <c r="F240" s="223"/>
      <c r="G240" s="223"/>
      <c r="H240" s="224"/>
      <c r="I240" s="224"/>
      <c r="J240" s="224"/>
      <c r="K240" s="224"/>
      <c r="L240" s="224"/>
      <c r="M240" s="224"/>
      <c r="N240" s="224"/>
      <c r="O240" s="224"/>
    </row>
    <row r="241" spans="5:7">
      <c r="E241" s="623"/>
      <c r="F241" s="623"/>
      <c r="G241" s="623"/>
    </row>
  </sheetData>
  <pageMargins left="1" right="1" top="1" bottom="1" header="0.5" footer="0.5"/>
  <pageSetup scale="60" fitToHeight="5" pageOrder="overThenDown" orientation="landscape" r:id="rId1"/>
  <headerFooter scaleWithDoc="0"/>
  <rowBreaks count="4" manualBreakCount="4">
    <brk id="40" max="8" man="1"/>
    <brk id="86" max="8" man="1"/>
    <brk id="128" max="8" man="1"/>
    <brk id="188" max="8" man="1"/>
  </rowBreaks>
  <colBreaks count="1" manualBreakCount="1">
    <brk id="7" max="230" man="1"/>
  </colBreaks>
  <ignoredErrors>
    <ignoredError sqref="G168:G183 G101 G55:G56 G14:G16 E221:G221 G147:G153 G27:G36 G57:G72 G102:G118 G18 G165 G154:G161 H221:H223 E223:G223 E222 G222 G20:G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07"/>
  <sheetViews>
    <sheetView topLeftCell="A10" zoomScaleNormal="100" zoomScaleSheetLayoutView="100" workbookViewId="0">
      <selection activeCell="F33" sqref="F33"/>
    </sheetView>
  </sheetViews>
  <sheetFormatPr defaultColWidth="9.140625" defaultRowHeight="12.75"/>
  <cols>
    <col min="1" max="1" width="4.5703125" style="34" bestFit="1" customWidth="1"/>
    <col min="2" max="2" width="6.85546875" style="34" bestFit="1" customWidth="1"/>
    <col min="3" max="3" width="28.42578125" style="34" customWidth="1"/>
    <col min="4" max="4" width="13" style="34" customWidth="1"/>
    <col min="5" max="5" width="13.42578125" style="34" bestFit="1" customWidth="1"/>
    <col min="6" max="8" width="12.5703125" style="34" customWidth="1"/>
    <col min="9" max="15" width="12.5703125" style="173" customWidth="1"/>
    <col min="16" max="16" width="15.7109375" style="173" bestFit="1" customWidth="1"/>
    <col min="17" max="17" width="9.140625" style="34"/>
    <col min="18" max="18" width="12" style="34" bestFit="1" customWidth="1"/>
    <col min="19" max="19" width="15.85546875" style="34" bestFit="1" customWidth="1"/>
    <col min="20" max="16384" width="9.140625" style="34"/>
  </cols>
  <sheetData>
    <row r="1" spans="1:19">
      <c r="A1" s="113" t="str">
        <f>Functional!A1</f>
        <v>Black Hills Nebraska Gas, LLC</v>
      </c>
      <c r="B1" s="114"/>
      <c r="C1" s="195"/>
      <c r="D1" s="115"/>
      <c r="E1" s="115"/>
      <c r="F1" s="115"/>
      <c r="G1" s="115"/>
      <c r="H1" s="115"/>
      <c r="I1" s="196"/>
      <c r="J1" s="196"/>
      <c r="K1" s="196"/>
      <c r="L1" s="196"/>
      <c r="M1" s="196"/>
      <c r="N1" s="196"/>
      <c r="O1" s="196"/>
      <c r="P1" s="196"/>
    </row>
    <row r="2" spans="1:19">
      <c r="A2" s="113" t="s">
        <v>534</v>
      </c>
      <c r="B2" s="114"/>
      <c r="C2" s="195"/>
      <c r="D2" s="115"/>
      <c r="E2" s="115"/>
      <c r="F2" s="115"/>
      <c r="G2" s="115"/>
      <c r="H2" s="115"/>
      <c r="I2" s="196"/>
      <c r="J2" s="196"/>
      <c r="K2" s="196"/>
      <c r="L2" s="196"/>
      <c r="M2" s="196"/>
      <c r="N2" s="196"/>
      <c r="O2" s="196"/>
      <c r="P2" s="196"/>
    </row>
    <row r="3" spans="1:19">
      <c r="A3" s="113" t="str">
        <f>'Class Allocations'!A3</f>
        <v>FOR THE PRO FORMA PERIOD ENDED DECEMBER 31, 2020</v>
      </c>
      <c r="B3" s="114"/>
      <c r="C3" s="195"/>
      <c r="D3" s="115"/>
      <c r="E3" s="115"/>
      <c r="F3" s="115"/>
      <c r="G3" s="115"/>
      <c r="H3" s="115"/>
      <c r="I3" s="148"/>
      <c r="J3" s="148"/>
      <c r="K3" s="148"/>
      <c r="L3" s="148"/>
      <c r="M3" s="148"/>
      <c r="N3" s="148"/>
      <c r="O3" s="196"/>
      <c r="P3" s="196"/>
    </row>
    <row r="4" spans="1:19">
      <c r="I4" s="148"/>
      <c r="J4" s="148"/>
      <c r="K4" s="148"/>
      <c r="L4" s="148"/>
      <c r="M4" s="148"/>
      <c r="N4" s="148"/>
    </row>
    <row r="6" spans="1:19" s="117" customFormat="1">
      <c r="B6" s="117" t="s">
        <v>0</v>
      </c>
      <c r="C6" s="115" t="s">
        <v>1</v>
      </c>
      <c r="D6" s="115"/>
      <c r="E6" s="117" t="s">
        <v>2</v>
      </c>
      <c r="F6" s="117" t="s">
        <v>3</v>
      </c>
      <c r="G6" s="117" t="s">
        <v>4</v>
      </c>
      <c r="H6" s="117" t="s">
        <v>26</v>
      </c>
      <c r="I6" s="148" t="s">
        <v>61</v>
      </c>
      <c r="J6" s="148" t="s">
        <v>62</v>
      </c>
      <c r="K6" s="148" t="s">
        <v>63</v>
      </c>
      <c r="L6" s="148" t="s">
        <v>64</v>
      </c>
      <c r="M6" s="148" t="s">
        <v>79</v>
      </c>
      <c r="N6" s="148" t="s">
        <v>80</v>
      </c>
      <c r="O6" s="148" t="s">
        <v>195</v>
      </c>
      <c r="P6" s="148" t="s">
        <v>196</v>
      </c>
    </row>
    <row r="8" spans="1:19" s="117" customFormat="1">
      <c r="A8" s="118"/>
      <c r="B8" s="119"/>
      <c r="C8" s="119"/>
      <c r="D8" s="120"/>
      <c r="E8" s="118"/>
      <c r="F8" s="118"/>
      <c r="G8" s="118"/>
      <c r="H8" s="118"/>
      <c r="I8" s="218" t="s">
        <v>197</v>
      </c>
      <c r="J8" s="219"/>
      <c r="K8" s="219"/>
      <c r="L8" s="219"/>
      <c r="M8" s="219"/>
      <c r="N8" s="219"/>
      <c r="O8" s="219"/>
      <c r="P8" s="296"/>
      <c r="R8" s="124"/>
    </row>
    <row r="9" spans="1:19" s="117" customFormat="1">
      <c r="A9" s="125" t="s">
        <v>6</v>
      </c>
      <c r="B9" s="126" t="s">
        <v>87</v>
      </c>
      <c r="C9" s="126"/>
      <c r="E9" s="125" t="s">
        <v>20</v>
      </c>
      <c r="F9" s="125"/>
      <c r="G9" s="125"/>
      <c r="H9" s="125" t="s">
        <v>20</v>
      </c>
      <c r="I9" s="205"/>
      <c r="J9" s="205"/>
      <c r="K9" s="205" t="s">
        <v>76</v>
      </c>
      <c r="L9" s="205" t="s">
        <v>418</v>
      </c>
      <c r="M9" s="205" t="s">
        <v>418</v>
      </c>
      <c r="N9" s="205" t="s">
        <v>418</v>
      </c>
      <c r="O9" s="220" t="s">
        <v>418</v>
      </c>
      <c r="P9" s="205" t="s">
        <v>20</v>
      </c>
      <c r="R9" s="124"/>
    </row>
    <row r="10" spans="1:19" s="117" customFormat="1">
      <c r="A10" s="130" t="s">
        <v>88</v>
      </c>
      <c r="B10" s="131" t="s">
        <v>88</v>
      </c>
      <c r="C10" s="127" t="s">
        <v>8</v>
      </c>
      <c r="D10" s="129"/>
      <c r="E10" s="130" t="s">
        <v>219</v>
      </c>
      <c r="F10" s="130" t="s">
        <v>22</v>
      </c>
      <c r="G10" s="130" t="s">
        <v>24</v>
      </c>
      <c r="H10" s="130" t="s">
        <v>21</v>
      </c>
      <c r="I10" s="208" t="s">
        <v>416</v>
      </c>
      <c r="J10" s="208" t="s">
        <v>436</v>
      </c>
      <c r="K10" s="208" t="s">
        <v>417</v>
      </c>
      <c r="L10" s="208" t="s">
        <v>45</v>
      </c>
      <c r="M10" s="208" t="s">
        <v>42</v>
      </c>
      <c r="N10" s="208" t="s">
        <v>47</v>
      </c>
      <c r="O10" s="221" t="s">
        <v>41</v>
      </c>
      <c r="P10" s="208" t="s">
        <v>77</v>
      </c>
      <c r="R10" s="124"/>
    </row>
    <row r="11" spans="1:19" s="117" customFormat="1">
      <c r="E11" s="117" t="s">
        <v>27</v>
      </c>
      <c r="F11" s="117" t="s">
        <v>27</v>
      </c>
      <c r="G11" s="117" t="s">
        <v>27</v>
      </c>
      <c r="H11" s="117" t="s">
        <v>27</v>
      </c>
      <c r="I11" s="148" t="s">
        <v>27</v>
      </c>
      <c r="J11" s="148" t="s">
        <v>27</v>
      </c>
      <c r="K11" s="148" t="s">
        <v>27</v>
      </c>
      <c r="L11" s="148" t="s">
        <v>27</v>
      </c>
      <c r="M11" s="148" t="s">
        <v>27</v>
      </c>
      <c r="N11" s="148" t="s">
        <v>27</v>
      </c>
      <c r="O11" s="148" t="s">
        <v>27</v>
      </c>
      <c r="P11" s="148" t="s">
        <v>27</v>
      </c>
      <c r="R11" s="124"/>
    </row>
    <row r="12" spans="1:19">
      <c r="A12" s="117">
        <f>IF(ISBLANK(C12),"",MAX($A$11:$A11)+1)</f>
        <v>1</v>
      </c>
      <c r="C12" s="134" t="s">
        <v>96</v>
      </c>
      <c r="R12" s="124"/>
    </row>
    <row r="13" spans="1:19">
      <c r="A13" s="117" t="str">
        <f>IF(ISBLANK(C13),"",MAX($A$11:$A12)+1)</f>
        <v/>
      </c>
      <c r="C13" s="134"/>
      <c r="E13" s="135"/>
      <c r="F13" s="297"/>
      <c r="G13" s="297"/>
      <c r="H13" s="297"/>
      <c r="I13" s="4"/>
      <c r="J13" s="4"/>
      <c r="K13" s="4"/>
      <c r="L13" s="4"/>
      <c r="M13" s="4"/>
      <c r="N13" s="4"/>
      <c r="O13" s="4"/>
      <c r="P13" s="4"/>
      <c r="R13" s="124"/>
    </row>
    <row r="14" spans="1:19">
      <c r="A14" s="117">
        <f>IF(ISBLANK(C14),"",MAX($A$11:$A13)+1)</f>
        <v>2</v>
      </c>
      <c r="B14" s="117"/>
      <c r="C14" s="34" t="s">
        <v>10</v>
      </c>
      <c r="E14" s="135">
        <f>E143</f>
        <v>586098201.82738638</v>
      </c>
      <c r="F14" s="135">
        <f>F143</f>
        <v>363183290.26452982</v>
      </c>
      <c r="G14" s="135">
        <f t="shared" ref="G14:N14" si="0">G143</f>
        <v>141001636.65916148</v>
      </c>
      <c r="H14" s="135">
        <f>SUM(F14:G14)</f>
        <v>504184926.92369127</v>
      </c>
      <c r="I14" s="4">
        <f t="shared" si="0"/>
        <v>29499277.893836677</v>
      </c>
      <c r="J14" s="4">
        <f>J143</f>
        <v>3493190.4278196981</v>
      </c>
      <c r="K14" s="4">
        <f t="shared" si="0"/>
        <v>3105709.8570382721</v>
      </c>
      <c r="L14" s="4">
        <f t="shared" si="0"/>
        <v>36544388.188195027</v>
      </c>
      <c r="M14" s="4">
        <f t="shared" si="0"/>
        <v>5161539.4361869879</v>
      </c>
      <c r="N14" s="4">
        <f t="shared" si="0"/>
        <v>1810606.5433021039</v>
      </c>
      <c r="O14" s="4">
        <f>O143</f>
        <v>2298562.5573163517</v>
      </c>
      <c r="P14" s="4">
        <f>SUM(I14:O14)</f>
        <v>81913274.903695121</v>
      </c>
      <c r="R14" s="124">
        <f>SUM(F14:G14,I14:O14)-E14</f>
        <v>0</v>
      </c>
      <c r="S14" s="124">
        <f t="shared" ref="S14:S21" si="1">E14-H14-P14</f>
        <v>0</v>
      </c>
    </row>
    <row r="15" spans="1:19">
      <c r="A15" s="117" t="str">
        <f>IF(ISBLANK(C15),"",MAX($A$11:$A14)+1)</f>
        <v/>
      </c>
      <c r="B15" s="117"/>
      <c r="E15" s="491"/>
      <c r="F15" s="491"/>
      <c r="G15" s="345"/>
      <c r="H15" s="135"/>
      <c r="I15" s="4"/>
      <c r="J15" s="4"/>
      <c r="K15" s="4"/>
      <c r="L15" s="4"/>
      <c r="M15" s="4"/>
      <c r="N15" s="4"/>
      <c r="O15" s="4"/>
      <c r="P15" s="4"/>
      <c r="R15" s="124"/>
      <c r="S15" s="124"/>
    </row>
    <row r="16" spans="1:19">
      <c r="A16" s="117">
        <f>IF(ISBLANK(C16),"",MAX($A$11:$A15)+1)</f>
        <v>3</v>
      </c>
      <c r="B16" s="117"/>
      <c r="C16" s="34" t="s">
        <v>89</v>
      </c>
      <c r="E16" s="139">
        <f>E22/E14</f>
        <v>6.7100000003536844E-2</v>
      </c>
      <c r="F16" s="139">
        <f t="shared" ref="F16:O16" si="2">$E16</f>
        <v>6.7100000003536844E-2</v>
      </c>
      <c r="G16" s="139">
        <f t="shared" si="2"/>
        <v>6.7100000003536844E-2</v>
      </c>
      <c r="H16" s="139">
        <f t="shared" si="2"/>
        <v>6.7100000003536844E-2</v>
      </c>
      <c r="I16" s="33">
        <f t="shared" si="2"/>
        <v>6.7100000003536844E-2</v>
      </c>
      <c r="J16" s="33">
        <f t="shared" si="2"/>
        <v>6.7100000003536844E-2</v>
      </c>
      <c r="K16" s="33">
        <f t="shared" si="2"/>
        <v>6.7100000003536844E-2</v>
      </c>
      <c r="L16" s="33">
        <f t="shared" si="2"/>
        <v>6.7100000003536844E-2</v>
      </c>
      <c r="M16" s="33">
        <f t="shared" si="2"/>
        <v>6.7100000003536844E-2</v>
      </c>
      <c r="N16" s="33">
        <f t="shared" si="2"/>
        <v>6.7100000003536844E-2</v>
      </c>
      <c r="O16" s="33">
        <f t="shared" si="2"/>
        <v>6.7100000003536844E-2</v>
      </c>
      <c r="P16" s="33"/>
      <c r="R16" s="124"/>
      <c r="S16" s="124">
        <f t="shared" si="1"/>
        <v>0</v>
      </c>
    </row>
    <row r="17" spans="1:19">
      <c r="A17" s="117" t="str">
        <f>IF(ISBLANK(C17),"",MAX($A$11:$A16)+1)</f>
        <v/>
      </c>
      <c r="B17" s="117"/>
      <c r="E17" s="135"/>
      <c r="F17" s="135"/>
      <c r="G17" s="135"/>
      <c r="H17" s="135"/>
      <c r="I17" s="4"/>
      <c r="J17" s="4"/>
      <c r="K17" s="4"/>
      <c r="L17" s="4"/>
      <c r="M17" s="4"/>
      <c r="N17" s="4"/>
      <c r="O17" s="4"/>
      <c r="P17" s="4"/>
      <c r="R17" s="124"/>
      <c r="S17" s="124"/>
    </row>
    <row r="18" spans="1:19">
      <c r="A18" s="117">
        <f>IF(ISBLANK(C18),"",MAX($A$11:$A17)+1)</f>
        <v>4</v>
      </c>
      <c r="B18" s="117"/>
      <c r="C18" s="34" t="s">
        <v>30</v>
      </c>
      <c r="E18" s="135"/>
      <c r="F18" s="135"/>
      <c r="G18" s="135"/>
      <c r="H18" s="135"/>
      <c r="I18" s="4"/>
      <c r="J18" s="4"/>
      <c r="K18" s="4"/>
      <c r="L18" s="4"/>
      <c r="M18" s="4"/>
      <c r="N18" s="4"/>
      <c r="O18" s="4"/>
      <c r="P18" s="4"/>
      <c r="R18" s="124"/>
      <c r="S18" s="124"/>
    </row>
    <row r="19" spans="1:19">
      <c r="A19" s="117">
        <f>IF(ISBLANK(C19),"",MAX($A$11:$A18)+1)</f>
        <v>5</v>
      </c>
      <c r="B19" s="117"/>
      <c r="C19" s="140" t="s">
        <v>90</v>
      </c>
      <c r="E19" s="135">
        <f>E262</f>
        <v>73261868.646502465</v>
      </c>
      <c r="F19" s="135">
        <f>F262</f>
        <v>47462817.512859724</v>
      </c>
      <c r="G19" s="135">
        <f>G262</f>
        <v>16480588.993398957</v>
      </c>
      <c r="H19" s="135">
        <f t="shared" ref="H19:H24" si="3">SUM(F19:G19)</f>
        <v>63943406.506258681</v>
      </c>
      <c r="I19" s="4">
        <f t="shared" ref="I19:O19" si="4">I262</f>
        <v>3451666.5073099826</v>
      </c>
      <c r="J19" s="4">
        <f t="shared" si="4"/>
        <v>377715.92069602216</v>
      </c>
      <c r="K19" s="4">
        <f t="shared" si="4"/>
        <v>377358.97261508123</v>
      </c>
      <c r="L19" s="4">
        <f t="shared" si="4"/>
        <v>3916333.6016758019</v>
      </c>
      <c r="M19" s="4">
        <f t="shared" si="4"/>
        <v>543784.80935927038</v>
      </c>
      <c r="N19" s="4">
        <f t="shared" si="4"/>
        <v>327629.15889442753</v>
      </c>
      <c r="O19" s="4">
        <f t="shared" si="4"/>
        <v>323973.16969320027</v>
      </c>
      <c r="P19" s="4">
        <f t="shared" ref="P19:P25" si="5">SUM(I19:O19)</f>
        <v>9318462.1402437855</v>
      </c>
      <c r="R19" s="124">
        <f t="shared" ref="R19:R25" si="6">SUM(F19:G19,I19:O19)-E19</f>
        <v>0</v>
      </c>
      <c r="S19" s="124">
        <f t="shared" si="1"/>
        <v>0</v>
      </c>
    </row>
    <row r="20" spans="1:19">
      <c r="A20" s="117">
        <f>IF(ISBLANK(C20),"",MAX($A$11:$A19)+1)</f>
        <v>6</v>
      </c>
      <c r="B20" s="117"/>
      <c r="C20" s="140" t="s">
        <v>91</v>
      </c>
      <c r="E20" s="135">
        <f>E285</f>
        <v>21685113.424647357</v>
      </c>
      <c r="F20" s="135">
        <f>F285</f>
        <v>13707280.494338691</v>
      </c>
      <c r="G20" s="135">
        <f>G285</f>
        <v>5121582.1588230599</v>
      </c>
      <c r="H20" s="135">
        <f t="shared" si="3"/>
        <v>18828862.653161749</v>
      </c>
      <c r="I20" s="4">
        <f t="shared" ref="I20:O20" si="7">I285</f>
        <v>1055626.5852400847</v>
      </c>
      <c r="J20" s="4">
        <f t="shared" si="7"/>
        <v>119991.00051466661</v>
      </c>
      <c r="K20" s="4">
        <f t="shared" si="7"/>
        <v>110405.23737455679</v>
      </c>
      <c r="L20" s="4">
        <f t="shared" si="7"/>
        <v>1252298.4911763913</v>
      </c>
      <c r="M20" s="4">
        <f t="shared" si="7"/>
        <v>175554.94245793563</v>
      </c>
      <c r="N20" s="4">
        <f t="shared" si="7"/>
        <v>62501.349023741808</v>
      </c>
      <c r="O20" s="4">
        <f t="shared" si="7"/>
        <v>79873.165698230951</v>
      </c>
      <c r="P20" s="4">
        <f t="shared" si="5"/>
        <v>2856250.7714856076</v>
      </c>
      <c r="R20" s="124">
        <f t="shared" si="6"/>
        <v>0</v>
      </c>
      <c r="S20" s="124">
        <f t="shared" si="1"/>
        <v>0</v>
      </c>
    </row>
    <row r="21" spans="1:19">
      <c r="A21" s="117">
        <f>IF(ISBLANK(C21),"",MAX($A$11:$A20)+1)</f>
        <v>7</v>
      </c>
      <c r="B21" s="117"/>
      <c r="C21" s="140" t="s">
        <v>92</v>
      </c>
      <c r="E21" s="135">
        <f>'COS Statement N'!K341</f>
        <v>7045436.4177288758</v>
      </c>
      <c r="F21" s="135">
        <f>F293</f>
        <v>4445357.3294759709</v>
      </c>
      <c r="G21" s="135">
        <f>G293</f>
        <v>1660811.4816850282</v>
      </c>
      <c r="H21" s="135">
        <f t="shared" si="3"/>
        <v>6106168.8111609994</v>
      </c>
      <c r="I21" s="4">
        <f t="shared" ref="I21:O21" si="8">I293</f>
        <v>341409.64411074051</v>
      </c>
      <c r="J21" s="4">
        <f t="shared" si="8"/>
        <v>39419.069833162241</v>
      </c>
      <c r="K21" s="4">
        <f t="shared" si="8"/>
        <v>36352.007535977005</v>
      </c>
      <c r="L21" s="4">
        <f t="shared" si="8"/>
        <v>411244.52833479148</v>
      </c>
      <c r="M21" s="4">
        <f t="shared" si="8"/>
        <v>57771.025738714539</v>
      </c>
      <c r="N21" s="4">
        <f t="shared" si="8"/>
        <v>24687.310628459927</v>
      </c>
      <c r="O21" s="4">
        <f t="shared" si="8"/>
        <v>28384.02038603148</v>
      </c>
      <c r="P21" s="4">
        <f t="shared" si="5"/>
        <v>939267.60656787711</v>
      </c>
      <c r="R21" s="124">
        <f t="shared" si="6"/>
        <v>0</v>
      </c>
      <c r="S21" s="124">
        <f t="shared" si="1"/>
        <v>0</v>
      </c>
    </row>
    <row r="22" spans="1:19">
      <c r="A22" s="117">
        <f>IF(ISBLANK(C22),"",MAX($A$11:$A21)+1)</f>
        <v>8</v>
      </c>
      <c r="B22" s="117"/>
      <c r="C22" s="140" t="s">
        <v>93</v>
      </c>
      <c r="E22" s="4">
        <f>Functional!E22</f>
        <v>39327189.344690561</v>
      </c>
      <c r="F22" s="135">
        <f>F14*F16</f>
        <v>24369598.778034475</v>
      </c>
      <c r="G22" s="135">
        <f>G14*G16</f>
        <v>9461209.8203284368</v>
      </c>
      <c r="H22" s="135">
        <f t="shared" si="3"/>
        <v>33830808.598362908</v>
      </c>
      <c r="I22" s="4">
        <f t="shared" ref="I22:O22" si="9">I14*I16</f>
        <v>1979401.5467807753</v>
      </c>
      <c r="J22" s="4">
        <f t="shared" si="9"/>
        <v>234393.0777190566</v>
      </c>
      <c r="K22" s="4">
        <f t="shared" si="9"/>
        <v>208393.13141825248</v>
      </c>
      <c r="L22" s="4">
        <f t="shared" si="9"/>
        <v>2452128.4475571383</v>
      </c>
      <c r="M22" s="4">
        <f t="shared" si="9"/>
        <v>346339.29618640244</v>
      </c>
      <c r="N22" s="4">
        <f t="shared" si="9"/>
        <v>121491.699061975</v>
      </c>
      <c r="O22" s="4">
        <f t="shared" si="9"/>
        <v>154233.54760405686</v>
      </c>
      <c r="P22" s="4">
        <f t="shared" si="5"/>
        <v>5496380.7463276563</v>
      </c>
      <c r="R22" s="124">
        <f t="shared" si="6"/>
        <v>0</v>
      </c>
      <c r="S22" s="124">
        <f>E22-H22-P22</f>
        <v>0</v>
      </c>
    </row>
    <row r="23" spans="1:19">
      <c r="A23" s="117">
        <f>IF(ISBLANK(C23),"",MAX($A$11:$A22)+1)</f>
        <v>9</v>
      </c>
      <c r="B23" s="117"/>
      <c r="C23" s="140" t="s">
        <v>94</v>
      </c>
      <c r="E23" s="135">
        <f>Functional!E23</f>
        <v>9696535.1333429012</v>
      </c>
      <c r="F23" s="135">
        <f>$E23*F14/$E14</f>
        <v>6008582.7305272128</v>
      </c>
      <c r="G23" s="135">
        <f>$E23*G14/$E14</f>
        <v>2332761.5056001763</v>
      </c>
      <c r="H23" s="135">
        <f t="shared" si="3"/>
        <v>8341344.2361273896</v>
      </c>
      <c r="I23" s="4">
        <f t="shared" ref="I23:O23" si="10">$E23*I14/$E14</f>
        <v>488042.41953650577</v>
      </c>
      <c r="J23" s="4">
        <f t="shared" si="10"/>
        <v>57792.096282162842</v>
      </c>
      <c r="K23" s="4">
        <f t="shared" si="10"/>
        <v>51381.534099314842</v>
      </c>
      <c r="L23" s="4">
        <f t="shared" si="10"/>
        <v>604598.244609043</v>
      </c>
      <c r="M23" s="4">
        <f t="shared" si="10"/>
        <v>85393.62231290745</v>
      </c>
      <c r="N23" s="4">
        <f t="shared" si="10"/>
        <v>29955.065388445</v>
      </c>
      <c r="O23" s="4">
        <f t="shared" si="10"/>
        <v>38027.914987134951</v>
      </c>
      <c r="P23" s="4">
        <f t="shared" si="5"/>
        <v>1355190.8972155137</v>
      </c>
      <c r="R23" s="124">
        <f t="shared" si="6"/>
        <v>0</v>
      </c>
      <c r="S23" s="124">
        <f>E23-H23-P23</f>
        <v>-2.0954757928848267E-9</v>
      </c>
    </row>
    <row r="24" spans="1:19">
      <c r="A24" s="117">
        <f>IF(ISBLANK(C24),"",MAX($A$11:$A23)+1)</f>
        <v>10</v>
      </c>
      <c r="B24" s="117"/>
      <c r="C24" s="140" t="s">
        <v>95</v>
      </c>
      <c r="E24" s="298">
        <f>Functional!E24</f>
        <v>-5667962.7734283386</v>
      </c>
      <c r="F24" s="298">
        <f>-F300</f>
        <v>-3816627.9560255674</v>
      </c>
      <c r="G24" s="298">
        <f>-G300</f>
        <v>-1180864.4517050087</v>
      </c>
      <c r="H24" s="298">
        <f t="shared" si="3"/>
        <v>-4997492.4077305757</v>
      </c>
      <c r="I24" s="5">
        <f t="shared" ref="I24:O24" si="11">-I300</f>
        <v>-245435.22331439453</v>
      </c>
      <c r="J24" s="5">
        <f t="shared" si="11"/>
        <v>-27526.095972993378</v>
      </c>
      <c r="K24" s="5">
        <f t="shared" si="11"/>
        <v>-26673.435132428451</v>
      </c>
      <c r="L24" s="5">
        <f t="shared" si="11"/>
        <v>-286084.5228844884</v>
      </c>
      <c r="M24" s="5">
        <f t="shared" si="11"/>
        <v>-40131.772188247756</v>
      </c>
      <c r="N24" s="5">
        <f t="shared" si="11"/>
        <v>-22227.258853633874</v>
      </c>
      <c r="O24" s="5">
        <f t="shared" si="11"/>
        <v>-22392.057351576175</v>
      </c>
      <c r="P24" s="5">
        <f t="shared" si="5"/>
        <v>-670470.36569776258</v>
      </c>
      <c r="R24" s="124">
        <f t="shared" si="6"/>
        <v>0</v>
      </c>
      <c r="S24" s="124">
        <f>E24-H24-P24</f>
        <v>0</v>
      </c>
    </row>
    <row r="25" spans="1:19">
      <c r="A25" s="117">
        <f>IF(ISBLANK(C25),"",MAX($A$11:$A24)+1)</f>
        <v>11</v>
      </c>
      <c r="B25" s="117"/>
      <c r="C25" s="140" t="s">
        <v>30</v>
      </c>
      <c r="E25" s="135">
        <f t="shared" ref="E25:O25" si="12">SUM(E19:E24)</f>
        <v>145348180.1934838</v>
      </c>
      <c r="F25" s="135">
        <f t="shared" si="12"/>
        <v>92177008.889210492</v>
      </c>
      <c r="G25" s="135">
        <f t="shared" si="12"/>
        <v>33876089.508130647</v>
      </c>
      <c r="H25" s="135">
        <f t="shared" si="12"/>
        <v>126053098.39734115</v>
      </c>
      <c r="I25" s="4">
        <f t="shared" si="12"/>
        <v>7070711.4796636943</v>
      </c>
      <c r="J25" s="4">
        <f t="shared" si="12"/>
        <v>801785.06907207705</v>
      </c>
      <c r="K25" s="4">
        <f t="shared" si="12"/>
        <v>757217.44791075389</v>
      </c>
      <c r="L25" s="4">
        <f t="shared" si="12"/>
        <v>8350518.7904686779</v>
      </c>
      <c r="M25" s="4">
        <f t="shared" si="12"/>
        <v>1168711.9238669828</v>
      </c>
      <c r="N25" s="4">
        <f t="shared" si="12"/>
        <v>544037.32414341532</v>
      </c>
      <c r="O25" s="4">
        <f t="shared" si="12"/>
        <v>602099.76101707842</v>
      </c>
      <c r="P25" s="4">
        <f t="shared" si="5"/>
        <v>19295081.796142675</v>
      </c>
      <c r="R25" s="124">
        <f t="shared" si="6"/>
        <v>0</v>
      </c>
      <c r="S25" s="124">
        <f>E25-H25-P25</f>
        <v>0</v>
      </c>
    </row>
    <row r="26" spans="1:19">
      <c r="A26" s="117" t="str">
        <f>IF(ISBLANK(C26),"",MAX($A$11:$A25)+1)</f>
        <v/>
      </c>
      <c r="B26" s="117"/>
      <c r="E26" s="211"/>
      <c r="F26" s="491"/>
      <c r="G26" s="299"/>
      <c r="H26" s="299"/>
      <c r="I26" s="209"/>
      <c r="J26" s="209"/>
      <c r="K26" s="209"/>
      <c r="L26" s="209"/>
      <c r="M26" s="209"/>
      <c r="N26" s="209"/>
      <c r="O26" s="209"/>
      <c r="P26" s="209"/>
      <c r="R26" s="124"/>
      <c r="S26" s="124"/>
    </row>
    <row r="27" spans="1:19">
      <c r="A27" s="117" t="str">
        <f>IF(ISBLANK(C27),"",MAX($A$11:$A26)+1)</f>
        <v/>
      </c>
      <c r="B27" s="117"/>
      <c r="E27" s="135"/>
      <c r="F27" s="559"/>
      <c r="R27" s="124"/>
      <c r="S27" s="124"/>
    </row>
    <row r="28" spans="1:19">
      <c r="A28" s="113" t="str">
        <f>$A$1</f>
        <v>Black Hills Nebraska Gas, LLC</v>
      </c>
      <c r="B28" s="114"/>
      <c r="C28" s="115"/>
      <c r="D28" s="115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492"/>
      <c r="R28" s="124"/>
      <c r="S28" s="124"/>
    </row>
    <row r="29" spans="1:19">
      <c r="A29" s="113" t="str">
        <f>$A$2</f>
        <v>RATE BASE AND COST OF SERVICE BY CUSTOMER CLASS</v>
      </c>
      <c r="B29" s="114"/>
      <c r="C29" s="115"/>
      <c r="D29" s="115"/>
      <c r="E29" s="502"/>
      <c r="F29" s="502"/>
      <c r="G29" s="502"/>
      <c r="H29" s="503"/>
      <c r="I29" s="503"/>
      <c r="J29" s="503"/>
      <c r="K29" s="503"/>
      <c r="L29" s="503"/>
      <c r="M29" s="503"/>
      <c r="N29" s="503"/>
      <c r="O29" s="503"/>
      <c r="P29" s="493"/>
      <c r="R29" s="124"/>
      <c r="S29" s="124"/>
    </row>
    <row r="30" spans="1:19">
      <c r="A30" s="113" t="str">
        <f>$A$3</f>
        <v>FOR THE PRO FORMA PERIOD ENDED DECEMBER 31, 2020</v>
      </c>
      <c r="B30" s="114"/>
      <c r="C30" s="115"/>
      <c r="D30" s="115"/>
      <c r="E30" s="143"/>
      <c r="F30" s="115"/>
      <c r="G30" s="115"/>
      <c r="H30" s="115"/>
      <c r="I30" s="196"/>
      <c r="J30" s="196"/>
      <c r="K30" s="196"/>
      <c r="L30" s="196"/>
      <c r="M30" s="196"/>
      <c r="N30" s="196"/>
      <c r="O30" s="196"/>
      <c r="P30" s="196"/>
      <c r="R30" s="124"/>
      <c r="S30" s="124"/>
    </row>
    <row r="31" spans="1:19">
      <c r="E31" s="135"/>
      <c r="R31" s="124"/>
      <c r="S31" s="124"/>
    </row>
    <row r="32" spans="1:19">
      <c r="E32" s="135"/>
      <c r="R32" s="124"/>
      <c r="S32" s="124"/>
    </row>
    <row r="33" spans="1:19">
      <c r="A33" s="117"/>
      <c r="B33" s="117" t="s">
        <v>0</v>
      </c>
      <c r="C33" s="115" t="s">
        <v>1</v>
      </c>
      <c r="D33" s="115"/>
      <c r="E33" s="144" t="s">
        <v>2</v>
      </c>
      <c r="F33" s="117" t="s">
        <v>3</v>
      </c>
      <c r="G33" s="117" t="s">
        <v>4</v>
      </c>
      <c r="H33" s="117" t="s">
        <v>26</v>
      </c>
      <c r="I33" s="148" t="s">
        <v>61</v>
      </c>
      <c r="J33" s="148" t="s">
        <v>62</v>
      </c>
      <c r="K33" s="148" t="s">
        <v>63</v>
      </c>
      <c r="L33" s="148" t="s">
        <v>64</v>
      </c>
      <c r="M33" s="148" t="s">
        <v>79</v>
      </c>
      <c r="N33" s="148" t="s">
        <v>80</v>
      </c>
      <c r="O33" s="148" t="s">
        <v>195</v>
      </c>
      <c r="P33" s="148" t="s">
        <v>196</v>
      </c>
      <c r="Q33" s="117"/>
      <c r="R33" s="124"/>
      <c r="S33" s="124"/>
    </row>
    <row r="34" spans="1:19">
      <c r="E34" s="135"/>
      <c r="R34" s="124"/>
      <c r="S34" s="124"/>
    </row>
    <row r="35" spans="1:19">
      <c r="A35" s="118"/>
      <c r="B35" s="119"/>
      <c r="C35" s="119"/>
      <c r="D35" s="120"/>
      <c r="E35" s="118"/>
      <c r="F35" s="118"/>
      <c r="G35" s="118"/>
      <c r="H35" s="118"/>
      <c r="I35" s="218" t="s">
        <v>197</v>
      </c>
      <c r="J35" s="219"/>
      <c r="K35" s="219"/>
      <c r="L35" s="219"/>
      <c r="M35" s="219"/>
      <c r="N35" s="219"/>
      <c r="O35" s="219"/>
      <c r="P35" s="296"/>
      <c r="Q35" s="117"/>
      <c r="R35" s="124"/>
      <c r="S35" s="124"/>
    </row>
    <row r="36" spans="1:19">
      <c r="A36" s="125" t="s">
        <v>6</v>
      </c>
      <c r="B36" s="126" t="s">
        <v>87</v>
      </c>
      <c r="C36" s="126"/>
      <c r="D36" s="117"/>
      <c r="E36" s="125" t="s">
        <v>20</v>
      </c>
      <c r="F36" s="125" t="s">
        <v>22</v>
      </c>
      <c r="G36" s="125" t="s">
        <v>24</v>
      </c>
      <c r="H36" s="125" t="s">
        <v>20</v>
      </c>
      <c r="I36" s="205"/>
      <c r="J36" s="205"/>
      <c r="K36" s="205" t="s">
        <v>76</v>
      </c>
      <c r="L36" s="205" t="s">
        <v>418</v>
      </c>
      <c r="M36" s="205" t="s">
        <v>418</v>
      </c>
      <c r="N36" s="205" t="s">
        <v>418</v>
      </c>
      <c r="O36" s="220" t="s">
        <v>418</v>
      </c>
      <c r="P36" s="205" t="s">
        <v>20</v>
      </c>
      <c r="Q36" s="117"/>
      <c r="R36" s="124"/>
      <c r="S36" s="124"/>
    </row>
    <row r="37" spans="1:19">
      <c r="A37" s="130" t="s">
        <v>88</v>
      </c>
      <c r="B37" s="131" t="s">
        <v>88</v>
      </c>
      <c r="C37" s="127" t="s">
        <v>8</v>
      </c>
      <c r="D37" s="129"/>
      <c r="E37" s="130" t="s">
        <v>219</v>
      </c>
      <c r="F37" s="130" t="s">
        <v>23</v>
      </c>
      <c r="G37" s="130" t="s">
        <v>23</v>
      </c>
      <c r="H37" s="130" t="s">
        <v>21</v>
      </c>
      <c r="I37" s="208" t="s">
        <v>416</v>
      </c>
      <c r="J37" s="208" t="s">
        <v>436</v>
      </c>
      <c r="K37" s="208" t="s">
        <v>417</v>
      </c>
      <c r="L37" s="208" t="s">
        <v>45</v>
      </c>
      <c r="M37" s="208" t="s">
        <v>42</v>
      </c>
      <c r="N37" s="208" t="s">
        <v>47</v>
      </c>
      <c r="O37" s="221" t="s">
        <v>41</v>
      </c>
      <c r="P37" s="208" t="s">
        <v>77</v>
      </c>
      <c r="Q37" s="117"/>
      <c r="R37" s="124"/>
      <c r="S37" s="124"/>
    </row>
    <row r="38" spans="1:19">
      <c r="A38" s="117"/>
      <c r="B38" s="117"/>
      <c r="C38" s="117"/>
      <c r="D38" s="117"/>
      <c r="E38" s="144" t="s">
        <v>27</v>
      </c>
      <c r="F38" s="117" t="s">
        <v>27</v>
      </c>
      <c r="G38" s="117" t="s">
        <v>27</v>
      </c>
      <c r="H38" s="117" t="s">
        <v>27</v>
      </c>
      <c r="I38" s="148" t="s">
        <v>27</v>
      </c>
      <c r="J38" s="148" t="s">
        <v>27</v>
      </c>
      <c r="K38" s="148" t="s">
        <v>27</v>
      </c>
      <c r="L38" s="148" t="s">
        <v>27</v>
      </c>
      <c r="M38" s="148" t="s">
        <v>27</v>
      </c>
      <c r="N38" s="148" t="s">
        <v>27</v>
      </c>
      <c r="O38" s="148" t="s">
        <v>27</v>
      </c>
      <c r="P38" s="148" t="s">
        <v>27</v>
      </c>
      <c r="Q38" s="117"/>
      <c r="R38" s="124"/>
      <c r="S38" s="124"/>
    </row>
    <row r="39" spans="1:19">
      <c r="A39" s="117">
        <f>IF(ISBLANK(C39),"",MAX($A$38:$A38)+1)</f>
        <v>1</v>
      </c>
      <c r="C39" s="134" t="s">
        <v>97</v>
      </c>
      <c r="E39" s="135"/>
      <c r="R39" s="124"/>
      <c r="S39" s="124"/>
    </row>
    <row r="40" spans="1:19">
      <c r="A40" s="117" t="str">
        <f>IF(ISBLANK(C40),"",MAX($A$38:$A39)+1)</f>
        <v/>
      </c>
      <c r="C40" s="134"/>
      <c r="E40" s="135"/>
      <c r="R40" s="124"/>
      <c r="S40" s="124"/>
    </row>
    <row r="41" spans="1:19">
      <c r="A41" s="117">
        <f>IF(ISBLANK(C41),"",MAX($A$38:$A40)+1)</f>
        <v>2</v>
      </c>
      <c r="B41" s="300"/>
      <c r="C41" s="308" t="str">
        <f>Functional!$C41</f>
        <v>Intangible Plant</v>
      </c>
      <c r="E41" s="135"/>
      <c r="R41" s="124"/>
      <c r="S41" s="124"/>
    </row>
    <row r="42" spans="1:19">
      <c r="A42" s="117">
        <f>IF(ISBLANK(C42),"",MAX($A$38:$A41)+1)</f>
        <v>3</v>
      </c>
      <c r="B42" s="300">
        <v>301</v>
      </c>
      <c r="C42" s="137" t="s">
        <v>242</v>
      </c>
      <c r="E42" s="135">
        <f>Functional!$E42</f>
        <v>256</v>
      </c>
      <c r="F42" s="211">
        <f>'Class Allocations'!E$144*Functional!$F42+'Class Allocations'!E$148*Functional!$G42+'Class Allocations'!E$152*Functional!$I42+'Class Allocations'!E$156*Functional!$H42+'Class Allocations'!E$160*Functional!$J42+'Class Allocations'!E$166*Functional!$K42+'Class Allocations'!E$172*Functional!$L42+'Class Allocations'!E$178*Functional!$M42+'Class Allocations'!E$184*Functional!$N42+Functional!$O42</f>
        <v>165.41765105686434</v>
      </c>
      <c r="G42" s="211">
        <f>'Class Allocations'!F$144*Functional!$F42+'Class Allocations'!F$148*Functional!$G42+'Class Allocations'!F$152*Functional!$I42+'Class Allocations'!F$156*Functional!$H42+'Class Allocations'!F$160*Functional!$J42+'Class Allocations'!F$166*Functional!$K42+'Class Allocations'!F$172*Functional!$L42+'Class Allocations'!F$178*Functional!$M42+'Class Allocations'!F$184*Functional!$N42</f>
        <v>57.79987880530971</v>
      </c>
      <c r="H42" s="211">
        <f>SUM(F42:G42)</f>
        <v>223.21752986217405</v>
      </c>
      <c r="I42" s="112">
        <f>'Class Allocations'!H$144*Functional!$F42+'Class Allocations'!H$148*Functional!$G42+'Class Allocations'!H$152*Functional!$I42+'Class Allocations'!H$156*Functional!$H42+'Class Allocations'!H$160*Functional!$J42+'Class Allocations'!H$166*Functional!$K42+'Class Allocations'!H$172*Functional!$L42+'Class Allocations'!H$178*Functional!$M42+'Class Allocations'!H$184*Functional!$N42</f>
        <v>12.077642412314287</v>
      </c>
      <c r="J42" s="112">
        <f>'Class Allocations'!I$144*Functional!$F42+'Class Allocations'!I$148*Functional!$G42+'Class Allocations'!I$152*Functional!$I42+'Class Allocations'!I$156*Functional!$H42+'Class Allocations'!I$160*Functional!$J42+'Class Allocations'!I$166*Functional!$K42+'Class Allocations'!I$172*Functional!$L42+'Class Allocations'!I$178*Functional!$M42+'Class Allocations'!I$184*Functional!$N42</f>
        <v>1.3330510118895502</v>
      </c>
      <c r="K42" s="112">
        <f>'Class Allocations'!J$144*Functional!$F42+'Class Allocations'!J$148*Functional!$G42+'Class Allocations'!J$152*Functional!$I42+'Class Allocations'!J$156*Functional!$H42+'Class Allocations'!J$160*Functional!$J42+'Class Allocations'!J$166*Functional!$K42+'Class Allocations'!J$172*Functional!$L42+'Class Allocations'!J$178*Functional!$M42+'Class Allocations'!J$184*Functional!$N42</f>
        <v>1.3228427784931325</v>
      </c>
      <c r="L42" s="112">
        <f>'Class Allocations'!K$144*Functional!$F42+'Class Allocations'!K$148*Functional!$G42+'Class Allocations'!K$152*Functional!$I42+'Class Allocations'!K$156*Functional!$H42+'Class Allocations'!K$160*Functional!$J42+'Class Allocations'!K$166*Functional!$K42+'Class Allocations'!K$172*Functional!$L42+'Class Allocations'!K$178*Functional!$M42+'Class Allocations'!K$184*Functional!$N42</f>
        <v>13.82834591064529</v>
      </c>
      <c r="M42" s="112">
        <f>'Class Allocations'!L$144*Functional!$F42+'Class Allocations'!L$148*Functional!$G42+'Class Allocations'!L$152*Functional!$I42+'Class Allocations'!L$156*Functional!$H42+'Class Allocations'!L$160*Functional!$J42+'Class Allocations'!L$166*Functional!$K42+'Class Allocations'!L$172*Functional!$L42+'Class Allocations'!L$178*Functional!$M42+'Class Allocations'!L$184*Functional!$N42</f>
        <v>1.9200458541013705</v>
      </c>
      <c r="N42" s="112">
        <f>'Class Allocations'!M$144*Functional!$F42+'Class Allocations'!M$148*Functional!$G42+'Class Allocations'!M$152*Functional!$I42+'Class Allocations'!M$156*Functional!$H42+'Class Allocations'!M$160*Functional!$J42+'Class Allocations'!M$166*Functional!$K42+'Class Allocations'!M$172*Functional!$L42+'Class Allocations'!M$178*Functional!$M42+'Class Allocations'!M$184*Functional!$N42+Functional!$P42</f>
        <v>1.1556886627178702</v>
      </c>
      <c r="O42" s="112">
        <f>'Class Allocations'!N$144*Functional!$F42+'Class Allocations'!N$148*Functional!$G42+'Class Allocations'!N$152*Functional!$I42+'Class Allocations'!N$156*Functional!$H42+'Class Allocations'!N$160*Functional!$J42+'Class Allocations'!N$166*Functional!$K42+'Class Allocations'!N$172*Functional!$L42+'Class Allocations'!N$178*Functional!$M42+'Class Allocations'!N$184*Functional!$N42+Functional!$Q42</f>
        <v>1.1448535076644661</v>
      </c>
      <c r="P42" s="4">
        <f>SUM(I42:O42)</f>
        <v>32.782470137825968</v>
      </c>
      <c r="R42" s="124">
        <f>SUM(F42:G42,I42:O42)-E42</f>
        <v>0</v>
      </c>
      <c r="S42" s="124">
        <f>E42-H42-P42</f>
        <v>0</v>
      </c>
    </row>
    <row r="43" spans="1:19">
      <c r="A43" s="117">
        <f>IF(ISBLANK(C43),"",MAX($A$38:$A42)+1)</f>
        <v>4</v>
      </c>
      <c r="B43" s="300">
        <v>302</v>
      </c>
      <c r="C43" s="137" t="s">
        <v>244</v>
      </c>
      <c r="E43" s="135">
        <f>Functional!$E43</f>
        <v>121062.49</v>
      </c>
      <c r="F43" s="211">
        <f>'Class Allocations'!E$144*Functional!$F43+'Class Allocations'!E$148*Functional!$G43+'Class Allocations'!E$152*Functional!$I43+'Class Allocations'!E$156*Functional!$H43+'Class Allocations'!E$160*Functional!$J43+'Class Allocations'!E$166*Functional!$K43+'Class Allocations'!E$172*Functional!$L43+'Class Allocations'!E$178*Functional!$M43+'Class Allocations'!E$184*Functional!$N43+Functional!$O43</f>
        <v>78226.065339434106</v>
      </c>
      <c r="G43" s="211">
        <f>'Class Allocations'!F$144*Functional!$F43+'Class Allocations'!F$148*Functional!$G43+'Class Allocations'!F$152*Functional!$I43+'Class Allocations'!F$156*Functional!$H43+'Class Allocations'!F$160*Functional!$J43+'Class Allocations'!F$166*Functional!$K43+'Class Allocations'!F$172*Functional!$L43+'Class Allocations'!F$178*Functional!$M43+'Class Allocations'!F$184*Functional!$N43</f>
        <v>27333.583007300858</v>
      </c>
      <c r="H43" s="211">
        <f t="shared" ref="H43:H45" si="13">SUM(F43:G43)</f>
        <v>105559.64834673496</v>
      </c>
      <c r="I43" s="112">
        <f>'Class Allocations'!H$144*Functional!$F43+'Class Allocations'!H$148*Functional!$G43+'Class Allocations'!H$152*Functional!$I43+'Class Allocations'!H$156*Functional!$H43+'Class Allocations'!H$160*Functional!$J43+'Class Allocations'!H$166*Functional!$K43+'Class Allocations'!H$172*Functional!$L43+'Class Allocations'!H$178*Functional!$M43+'Class Allocations'!H$184*Functional!$N43</f>
        <v>5711.5213428295865</v>
      </c>
      <c r="J43" s="112">
        <f>'Class Allocations'!I$144*Functional!$F43+'Class Allocations'!I$148*Functional!$G43+'Class Allocations'!I$152*Functional!$I43+'Class Allocations'!I$156*Functional!$H43+'Class Allocations'!I$160*Functional!$J43+'Class Allocations'!I$166*Functional!$K43+'Class Allocations'!I$172*Functional!$L43+'Class Allocations'!I$178*Functional!$M43+'Class Allocations'!I$184*Functional!$N43</f>
        <v>630.40029217331471</v>
      </c>
      <c r="K43" s="112">
        <f>'Class Allocations'!J$144*Functional!$F43+'Class Allocations'!J$148*Functional!$G43+'Class Allocations'!J$152*Functional!$I43+'Class Allocations'!J$156*Functional!$H43+'Class Allocations'!J$160*Functional!$J43+'Class Allocations'!J$166*Functional!$K43+'Class Allocations'!J$172*Functional!$L43+'Class Allocations'!J$178*Functional!$M43+'Class Allocations'!J$184*Functional!$N43</f>
        <v>625.57281501131661</v>
      </c>
      <c r="L43" s="112">
        <f>'Class Allocations'!K$144*Functional!$F43+'Class Allocations'!K$148*Functional!$G43+'Class Allocations'!K$152*Functional!$I43+'Class Allocations'!K$156*Functional!$H43+'Class Allocations'!K$160*Functional!$J43+'Class Allocations'!K$166*Functional!$K43+'Class Allocations'!K$172*Functional!$L43+'Class Allocations'!K$178*Functional!$M43+'Class Allocations'!K$184*Functional!$N43</f>
        <v>6539.4296426720166</v>
      </c>
      <c r="M43" s="112">
        <f>'Class Allocations'!L$144*Functional!$F43+'Class Allocations'!L$148*Functional!$G43+'Class Allocations'!L$152*Functional!$I43+'Class Allocations'!L$156*Functional!$H43+'Class Allocations'!L$160*Functional!$J43+'Class Allocations'!L$166*Functional!$K43+'Class Allocations'!L$172*Functional!$L43+'Class Allocations'!L$178*Functional!$M43+'Class Allocations'!L$184*Functional!$N43</f>
        <v>907.99035942065882</v>
      </c>
      <c r="N43" s="112">
        <f>'Class Allocations'!M$144*Functional!$F43+'Class Allocations'!M$148*Functional!$G43+'Class Allocations'!M$152*Functional!$I43+'Class Allocations'!M$156*Functional!$H43+'Class Allocations'!M$160*Functional!$J43+'Class Allocations'!M$166*Functional!$K43+'Class Allocations'!M$172*Functional!$L43+'Class Allocations'!M$178*Functional!$M43+'Class Allocations'!M$184*Functional!$N43+Functional!$P43</f>
        <v>546.52557489607636</v>
      </c>
      <c r="O43" s="112">
        <f>'Class Allocations'!N$144*Functional!$F43+'Class Allocations'!N$148*Functional!$G43+'Class Allocations'!N$152*Functional!$I43+'Class Allocations'!N$156*Functional!$H43+'Class Allocations'!N$160*Functional!$J43+'Class Allocations'!N$166*Functional!$K43+'Class Allocations'!N$172*Functional!$L43+'Class Allocations'!N$178*Functional!$M43+'Class Allocations'!N$184*Functional!$N43+Functional!$Q43</f>
        <v>541.40162626208735</v>
      </c>
      <c r="P43" s="4">
        <f>SUM(I43:O43)</f>
        <v>15502.841653265057</v>
      </c>
      <c r="R43" s="124">
        <f>SUM(F43:G43,I43:O43)-E43</f>
        <v>0</v>
      </c>
      <c r="S43" s="124">
        <f>E43-H43-P43</f>
        <v>0</v>
      </c>
    </row>
    <row r="44" spans="1:19">
      <c r="A44" s="117">
        <f>IF(ISBLANK(C44),"",MAX($A$38:$A43)+1)</f>
        <v>5</v>
      </c>
      <c r="B44" s="300">
        <v>303</v>
      </c>
      <c r="C44" s="137" t="s">
        <v>245</v>
      </c>
      <c r="E44" s="135">
        <f>Functional!$E44</f>
        <v>742880.94</v>
      </c>
      <c r="F44" s="211">
        <f>'Class Allocations'!E$144*Functional!$F44+'Class Allocations'!E$148*Functional!$G44+'Class Allocations'!E$152*Functional!$I44+'Class Allocations'!E$156*Functional!$H44+'Class Allocations'!E$160*Functional!$J44+'Class Allocations'!E$166*Functional!$K44+'Class Allocations'!E$172*Functional!$L44+'Class Allocations'!E$178*Functional!$M44+'Class Allocations'!E$184*Functional!$N44+Functional!$O44</f>
        <v>480021.95355357567</v>
      </c>
      <c r="G44" s="211">
        <f>'Class Allocations'!F$144*Functional!$F44+'Class Allocations'!F$148*Functional!$G44+'Class Allocations'!F$152*Functional!$I44+'Class Allocations'!F$156*Functional!$H44+'Class Allocations'!F$160*Functional!$J44+'Class Allocations'!F$166*Functional!$K44+'Class Allocations'!F$172*Functional!$L44+'Class Allocations'!F$178*Functional!$M44+'Class Allocations'!F$184*Functional!$N44</f>
        <v>167728.23554208811</v>
      </c>
      <c r="H44" s="211">
        <f t="shared" si="13"/>
        <v>647750.18909566384</v>
      </c>
      <c r="I44" s="112">
        <f>'Class Allocations'!H$144*Functional!$F44+'Class Allocations'!H$148*Functional!$G44+'Class Allocations'!H$152*Functional!$I44+'Class Allocations'!H$156*Functional!$H44+'Class Allocations'!H$160*Functional!$J44+'Class Allocations'!H$166*Functional!$K44+'Class Allocations'!H$172*Functional!$L44+'Class Allocations'!H$178*Functional!$M44+'Class Allocations'!H$184*Functional!$N44</f>
        <v>35047.852922827748</v>
      </c>
      <c r="J44" s="112">
        <f>'Class Allocations'!I$144*Functional!$F44+'Class Allocations'!I$148*Functional!$G44+'Class Allocations'!I$152*Functional!$I44+'Class Allocations'!I$156*Functional!$H44+'Class Allocations'!I$160*Functional!$J44+'Class Allocations'!I$166*Functional!$K44+'Class Allocations'!I$172*Functional!$L44+'Class Allocations'!I$178*Functional!$M44+'Class Allocations'!I$184*Functional!$N44</f>
        <v>3868.3522999236725</v>
      </c>
      <c r="K44" s="112">
        <f>'Class Allocations'!J$144*Functional!$F44+'Class Allocations'!J$148*Functional!$G44+'Class Allocations'!J$152*Functional!$I44+'Class Allocations'!J$156*Functional!$H44+'Class Allocations'!J$160*Functional!$J44+'Class Allocations'!J$166*Functional!$K44+'Class Allocations'!J$172*Functional!$L44+'Class Allocations'!J$178*Functional!$M44+'Class Allocations'!J$184*Functional!$N44</f>
        <v>3838.7292451530857</v>
      </c>
      <c r="L44" s="112">
        <f>'Class Allocations'!K$144*Functional!$F44+'Class Allocations'!K$148*Functional!$G44+'Class Allocations'!K$152*Functional!$I44+'Class Allocations'!K$156*Functional!$H44+'Class Allocations'!K$160*Functional!$J44+'Class Allocations'!K$166*Functional!$K44+'Class Allocations'!K$172*Functional!$L44+'Class Allocations'!K$178*Functional!$M44+'Class Allocations'!K$184*Functional!$N44</f>
        <v>40128.182065411434</v>
      </c>
      <c r="M44" s="112">
        <f>'Class Allocations'!L$144*Functional!$F44+'Class Allocations'!L$148*Functional!$G44+'Class Allocations'!L$152*Functional!$I44+'Class Allocations'!L$156*Functional!$H44+'Class Allocations'!L$160*Functional!$J44+'Class Allocations'!L$166*Functional!$K44+'Class Allocations'!L$172*Functional!$L44+'Class Allocations'!L$178*Functional!$M44+'Class Allocations'!L$184*Functional!$N44</f>
        <v>5571.7401130387843</v>
      </c>
      <c r="N44" s="112">
        <f>'Class Allocations'!M$144*Functional!$F44+'Class Allocations'!M$148*Functional!$G44+'Class Allocations'!M$152*Functional!$I44+'Class Allocations'!M$156*Functional!$H44+'Class Allocations'!M$160*Functional!$J44+'Class Allocations'!M$166*Functional!$K44+'Class Allocations'!M$172*Functional!$L44+'Class Allocations'!M$178*Functional!$M44+'Class Allocations'!M$184*Functional!$N44+Functional!$P44</f>
        <v>3353.668281668728</v>
      </c>
      <c r="O44" s="112">
        <f>'Class Allocations'!N$144*Functional!$F44+'Class Allocations'!N$148*Functional!$G44+'Class Allocations'!N$152*Functional!$I44+'Class Allocations'!N$156*Functional!$H44+'Class Allocations'!N$160*Functional!$J44+'Class Allocations'!N$166*Functional!$K44+'Class Allocations'!N$172*Functional!$L44+'Class Allocations'!N$178*Functional!$M44+'Class Allocations'!N$184*Functional!$N44+Functional!$Q44</f>
        <v>3322.2259763127963</v>
      </c>
      <c r="P44" s="4">
        <f>SUM(I44:O44)</f>
        <v>95130.750904336252</v>
      </c>
      <c r="R44" s="124">
        <f>SUM(F44:G44,I44:O44)-E44</f>
        <v>0</v>
      </c>
      <c r="S44" s="124">
        <f>E44-H44-P44</f>
        <v>-1.4551915228366852E-10</v>
      </c>
    </row>
    <row r="45" spans="1:19">
      <c r="A45" s="117">
        <f>IF(ISBLANK(C45),"",MAX($A$38:$A44)+1)</f>
        <v>6</v>
      </c>
      <c r="B45" s="417">
        <v>303.01</v>
      </c>
      <c r="C45" s="137" t="s">
        <v>547</v>
      </c>
      <c r="E45" s="298">
        <f>Functional!$E45</f>
        <v>500000</v>
      </c>
      <c r="F45" s="418">
        <f>'Class Allocations'!E$144*Functional!$F45+'Class Allocations'!E$148*Functional!$G45+'Class Allocations'!E$152*Functional!$I45+'Class Allocations'!E$156*Functional!$H45+'Class Allocations'!E$160*Functional!$J45+'Class Allocations'!E$166*Functional!$K45+'Class Allocations'!E$172*Functional!$L45+'Class Allocations'!E$178*Functional!$M45+'Class Allocations'!E$184*Functional!$N45+Functional!$O45</f>
        <v>323081.34972043819</v>
      </c>
      <c r="G45" s="418">
        <f>'Class Allocations'!F$144*Functional!$F45+'Class Allocations'!F$148*Functional!$G45+'Class Allocations'!F$152*Functional!$I45+'Class Allocations'!F$156*Functional!$H45+'Class Allocations'!F$160*Functional!$J45+'Class Allocations'!F$166*Functional!$K45+'Class Allocations'!F$172*Functional!$L45+'Class Allocations'!F$178*Functional!$M45+'Class Allocations'!F$184*Functional!$N45</f>
        <v>112890.38829162055</v>
      </c>
      <c r="H45" s="418">
        <f t="shared" si="13"/>
        <v>435971.73801205872</v>
      </c>
      <c r="I45" s="322">
        <f>'Class Allocations'!H$144*Functional!$F45+'Class Allocations'!H$148*Functional!$G45+'Class Allocations'!H$152*Functional!$I45+'Class Allocations'!H$156*Functional!$H45+'Class Allocations'!H$160*Functional!$J45+'Class Allocations'!H$166*Functional!$K45+'Class Allocations'!H$172*Functional!$L45+'Class Allocations'!H$178*Functional!$M45+'Class Allocations'!H$184*Functional!$N45</f>
        <v>23589.145336551341</v>
      </c>
      <c r="J45" s="322">
        <f>'Class Allocations'!I$144*Functional!$F45+'Class Allocations'!I$148*Functional!$G45+'Class Allocations'!I$152*Functional!$I45+'Class Allocations'!I$156*Functional!$H45+'Class Allocations'!I$160*Functional!$J45+'Class Allocations'!I$166*Functional!$K45+'Class Allocations'!I$172*Functional!$L45+'Class Allocations'!I$178*Functional!$M45+'Class Allocations'!I$184*Functional!$N45</f>
        <v>2603.6152575967781</v>
      </c>
      <c r="K45" s="322">
        <f>'Class Allocations'!J$144*Functional!$F45+'Class Allocations'!J$148*Functional!$G45+'Class Allocations'!J$152*Functional!$I45+'Class Allocations'!J$156*Functional!$H45+'Class Allocations'!J$160*Functional!$J45+'Class Allocations'!J$166*Functional!$K45+'Class Allocations'!J$172*Functional!$L45+'Class Allocations'!J$178*Functional!$M45+'Class Allocations'!J$184*Functional!$N45</f>
        <v>2583.6773017443993</v>
      </c>
      <c r="L45" s="322">
        <f>'Class Allocations'!K$144*Functional!$F45+'Class Allocations'!K$148*Functional!$G45+'Class Allocations'!K$152*Functional!$I45+'Class Allocations'!K$156*Functional!$H45+'Class Allocations'!K$160*Functional!$J45+'Class Allocations'!K$166*Functional!$K45+'Class Allocations'!K$172*Functional!$L45+'Class Allocations'!K$178*Functional!$M45+'Class Allocations'!K$184*Functional!$N45</f>
        <v>27008.488106729088</v>
      </c>
      <c r="M45" s="322">
        <f>'Class Allocations'!L$144*Functional!$F45+'Class Allocations'!L$148*Functional!$G45+'Class Allocations'!L$152*Functional!$I45+'Class Allocations'!L$156*Functional!$H45+'Class Allocations'!L$160*Functional!$J45+'Class Allocations'!L$166*Functional!$K45+'Class Allocations'!L$172*Functional!$L45+'Class Allocations'!L$178*Functional!$M45+'Class Allocations'!L$184*Functional!$N45</f>
        <v>3750.0895587917394</v>
      </c>
      <c r="N45" s="322">
        <f>'Class Allocations'!M$144*Functional!$F45+'Class Allocations'!M$148*Functional!$G45+'Class Allocations'!M$152*Functional!$I45+'Class Allocations'!M$156*Functional!$H45+'Class Allocations'!M$160*Functional!$J45+'Class Allocations'!M$166*Functional!$K45+'Class Allocations'!M$172*Functional!$L45+'Class Allocations'!M$178*Functional!$M45+'Class Allocations'!M$184*Functional!$N45+Functional!$P45</f>
        <v>2257.2044193708402</v>
      </c>
      <c r="O45" s="322">
        <f>'Class Allocations'!N$144*Functional!$F45+'Class Allocations'!N$148*Functional!$G45+'Class Allocations'!N$152*Functional!$I45+'Class Allocations'!N$156*Functional!$H45+'Class Allocations'!N$160*Functional!$J45+'Class Allocations'!N$166*Functional!$K45+'Class Allocations'!N$172*Functional!$L45+'Class Allocations'!N$178*Functional!$M45+'Class Allocations'!N$184*Functional!$N45+Functional!$Q45</f>
        <v>2236.0420071571612</v>
      </c>
      <c r="P45" s="5">
        <f>SUM(I45:O45)</f>
        <v>64028.261987941354</v>
      </c>
      <c r="R45" s="124">
        <f>SUM(F45:G45,I45:O45)-E45</f>
        <v>0</v>
      </c>
      <c r="S45" s="124">
        <f>E45-H45-P45</f>
        <v>-7.2759576141834259E-11</v>
      </c>
    </row>
    <row r="46" spans="1:19">
      <c r="A46" s="117">
        <f>IF(ISBLANK(C46),"",MAX($A$38:$A45)+1)</f>
        <v>7</v>
      </c>
      <c r="B46" s="138"/>
      <c r="C46" s="149" t="str">
        <f>Functional!$C46</f>
        <v>Total Intangible Plant</v>
      </c>
      <c r="E46" s="135">
        <f t="shared" ref="E46:N46" si="14">SUM(E42:E45)</f>
        <v>1364199.43</v>
      </c>
      <c r="F46" s="135">
        <f t="shared" si="14"/>
        <v>881494.78626450477</v>
      </c>
      <c r="G46" s="135">
        <f t="shared" si="14"/>
        <v>308010.00671981485</v>
      </c>
      <c r="H46" s="135">
        <f t="shared" si="14"/>
        <v>1189504.7929843196</v>
      </c>
      <c r="I46" s="4">
        <f t="shared" si="14"/>
        <v>64360.597244620993</v>
      </c>
      <c r="J46" s="4">
        <f>SUM(J42:J45)</f>
        <v>7103.7009007056549</v>
      </c>
      <c r="K46" s="4">
        <f t="shared" si="14"/>
        <v>7049.3022046872948</v>
      </c>
      <c r="L46" s="4">
        <f t="shared" si="14"/>
        <v>73689.928160723182</v>
      </c>
      <c r="M46" s="4">
        <f t="shared" si="14"/>
        <v>10231.740077105283</v>
      </c>
      <c r="N46" s="4">
        <f t="shared" si="14"/>
        <v>6158.5539645983627</v>
      </c>
      <c r="O46" s="4">
        <f>SUM(O42:O45)</f>
        <v>6100.8144632397089</v>
      </c>
      <c r="P46" s="4">
        <f>SUM(P42:P45)</f>
        <v>174694.63701568049</v>
      </c>
      <c r="R46" s="124">
        <f>SUM(F46:G46,I46:O46)-E46</f>
        <v>0</v>
      </c>
      <c r="S46" s="124">
        <f>E46-H46-P46</f>
        <v>0</v>
      </c>
    </row>
    <row r="47" spans="1:19">
      <c r="A47" s="117" t="str">
        <f>IF(ISBLANK(C47),"",MAX($A$38:$A46)+1)</f>
        <v/>
      </c>
      <c r="B47" s="138"/>
      <c r="C47" s="138"/>
      <c r="E47" s="135"/>
      <c r="F47" s="135"/>
      <c r="G47" s="135"/>
      <c r="H47" s="135"/>
      <c r="I47" s="4"/>
      <c r="J47" s="4"/>
      <c r="K47" s="4"/>
      <c r="L47" s="4"/>
      <c r="M47" s="4"/>
      <c r="N47" s="4"/>
      <c r="O47" s="4"/>
      <c r="P47" s="4"/>
      <c r="R47" s="124"/>
      <c r="S47" s="124"/>
    </row>
    <row r="48" spans="1:19">
      <c r="A48" s="117">
        <f>IF(ISBLANK(C48),"",MAX($A$38:$A47)+1)</f>
        <v>8</v>
      </c>
      <c r="B48" s="138"/>
      <c r="C48" s="138" t="s">
        <v>99</v>
      </c>
      <c r="E48" s="135"/>
      <c r="F48" s="135"/>
      <c r="G48" s="135"/>
      <c r="H48" s="135"/>
      <c r="I48" s="4"/>
      <c r="J48" s="4"/>
      <c r="K48" s="4"/>
      <c r="L48" s="4"/>
      <c r="M48" s="4"/>
      <c r="N48" s="4"/>
      <c r="O48" s="4"/>
      <c r="P48" s="4"/>
      <c r="R48" s="124"/>
      <c r="S48" s="124"/>
    </row>
    <row r="49" spans="1:19">
      <c r="A49" s="117">
        <f>IF(ISBLANK(C49),"",MAX($A$38:$A48)+1)</f>
        <v>9</v>
      </c>
      <c r="B49" s="148">
        <f>Functional!$B49</f>
        <v>365.03</v>
      </c>
      <c r="C49" s="137" t="str">
        <f>Functional!$C49</f>
        <v xml:space="preserve">Right-of-Way </v>
      </c>
      <c r="E49" s="135">
        <f>Functional!$E49</f>
        <v>170272.49</v>
      </c>
      <c r="F49" s="135">
        <f>'Class Allocations'!E$144*Functional!$F49+'Class Allocations'!E$148*Functional!$G49+'Class Allocations'!E$152*Functional!$I49+'Class Allocations'!E$156*Functional!$H49+'Class Allocations'!E$160*Functional!$J49+'Class Allocations'!E$166*Functional!$K49+'Class Allocations'!E$172*Functional!$L49+'Class Allocations'!E$178*Functional!$M49+'Class Allocations'!E$184*Functional!$N49+Functional!$O49</f>
        <v>49277.789338431598</v>
      </c>
      <c r="G49" s="135">
        <f>'Class Allocations'!F$144*Functional!$F49+'Class Allocations'!F$148*Functional!$G49+'Class Allocations'!F$152*Functional!$I49+'Class Allocations'!F$156*Functional!$H49+'Class Allocations'!F$160*Functional!$J49+'Class Allocations'!F$166*Functional!$K49+'Class Allocations'!F$172*Functional!$L49+'Class Allocations'!F$178*Functional!$M49+'Class Allocations'!F$184*Functional!$N49</f>
        <v>34033.642150411943</v>
      </c>
      <c r="H49" s="135">
        <f t="shared" ref="H49:H52" si="15">SUM(F49:G49)</f>
        <v>83311.431488843547</v>
      </c>
      <c r="I49" s="4">
        <f>'Class Allocations'!H$144*Functional!$F49+'Class Allocations'!H$148*Functional!$G49+'Class Allocations'!H$152*Functional!$I49+'Class Allocations'!H$156*Functional!$H49+'Class Allocations'!H$160*Functional!$J49+'Class Allocations'!H$166*Functional!$K49+'Class Allocations'!H$172*Functional!$L49+'Class Allocations'!H$178*Functional!$M49+'Class Allocations'!H$184*Functional!$N49</f>
        <v>6246.8063353151538</v>
      </c>
      <c r="J49" s="4">
        <f>'Class Allocations'!I$144*Functional!$F49+'Class Allocations'!I$148*Functional!$G49+'Class Allocations'!I$152*Functional!$I49+'Class Allocations'!I$156*Functional!$H49+'Class Allocations'!I$160*Functional!$J49+'Class Allocations'!I$166*Functional!$K49+'Class Allocations'!I$172*Functional!$L49+'Class Allocations'!I$178*Functional!$M49+'Class Allocations'!I$184*Functional!$N49</f>
        <v>2040.253894588574</v>
      </c>
      <c r="K49" s="4">
        <f>'Class Allocations'!J$144*Functional!$F49+'Class Allocations'!J$148*Functional!$G49+'Class Allocations'!J$152*Functional!$I49+'Class Allocations'!J$156*Functional!$H49+'Class Allocations'!J$160*Functional!$J49+'Class Allocations'!J$166*Functional!$K49+'Class Allocations'!J$172*Functional!$L49+'Class Allocations'!J$178*Functional!$M49+'Class Allocations'!J$184*Functional!$N49</f>
        <v>1396.7209811043663</v>
      </c>
      <c r="L49" s="4">
        <f>'Class Allocations'!K$144*Functional!$F49+'Class Allocations'!K$148*Functional!$G49+'Class Allocations'!K$152*Functional!$I49+'Class Allocations'!K$156*Functional!$H49+'Class Allocations'!K$160*Functional!$J49+'Class Allocations'!K$166*Functional!$K49+'Class Allocations'!K$172*Functional!$L49+'Class Allocations'!K$178*Functional!$M49+'Class Allocations'!K$184*Functional!$N49</f>
        <v>21856.929384508148</v>
      </c>
      <c r="M49" s="4">
        <f>'Class Allocations'!L$144*Functional!$F49+'Class Allocations'!L$148*Functional!$G49+'Class Allocations'!L$152*Functional!$I49+'Class Allocations'!L$156*Functional!$H49+'Class Allocations'!L$160*Functional!$J49+'Class Allocations'!L$166*Functional!$K49+'Class Allocations'!L$172*Functional!$L49+'Class Allocations'!L$178*Functional!$M49+'Class Allocations'!L$184*Functional!$N49</f>
        <v>13878.347915640205</v>
      </c>
      <c r="N49" s="4">
        <f>'Class Allocations'!M$144*Functional!$F49+'Class Allocations'!M$148*Functional!$G49+'Class Allocations'!M$152*Functional!$I49+'Class Allocations'!M$156*Functional!$H49+'Class Allocations'!M$160*Functional!$J49+'Class Allocations'!M$166*Functional!$K49+'Class Allocations'!M$172*Functional!$L49+'Class Allocations'!M$178*Functional!$M49+'Class Allocations'!M$184*Functional!$N49+Functional!$P49</f>
        <v>41542</v>
      </c>
      <c r="O49" s="4">
        <f>'Class Allocations'!N$144*Functional!$F49+'Class Allocations'!N$148*Functional!$G49+'Class Allocations'!N$152*Functional!$I49+'Class Allocations'!N$156*Functional!$H49+'Class Allocations'!N$160*Functional!$J49+'Class Allocations'!N$166*Functional!$K49+'Class Allocations'!N$172*Functional!$L49+'Class Allocations'!N$178*Functional!$M49+'Class Allocations'!N$184*Functional!$N49+Functional!$Q49</f>
        <v>0</v>
      </c>
      <c r="P49" s="4">
        <f t="shared" ref="P49:P52" si="16">SUM(I49:O49)</f>
        <v>86961.058511156443</v>
      </c>
      <c r="R49" s="124">
        <f t="shared" ref="R49:R53" si="17">SUM(F49:G49,I49:O49)-E49</f>
        <v>0</v>
      </c>
      <c r="S49" s="124">
        <f t="shared" ref="S49:S53" si="18">E49-H49-P49</f>
        <v>0</v>
      </c>
    </row>
    <row r="50" spans="1:19">
      <c r="A50" s="117">
        <f>IF(ISBLANK(C50),"",MAX($A$38:$A49)+1)</f>
        <v>10</v>
      </c>
      <c r="B50" s="148">
        <f>Functional!$B50</f>
        <v>366.01</v>
      </c>
      <c r="C50" s="137" t="str">
        <f>Functional!$C50</f>
        <v>Structures and Improvements</v>
      </c>
      <c r="E50" s="135">
        <f>Functional!$E50</f>
        <v>8173.65</v>
      </c>
      <c r="F50" s="135">
        <f>'Class Allocations'!E$144*Functional!$F50+'Class Allocations'!E$148*Functional!$G50+'Class Allocations'!E$152*Functional!$I50+'Class Allocations'!E$156*Functional!$H50+'Class Allocations'!E$160*Functional!$J50+'Class Allocations'!E$166*Functional!$K50+'Class Allocations'!E$172*Functional!$L50+'Class Allocations'!E$178*Functional!$M50+'Class Allocations'!E$184*Functional!$N50+Functional!$O50</f>
        <v>2306.9902795869011</v>
      </c>
      <c r="G50" s="135">
        <f>'Class Allocations'!F$144*Functional!$F50+'Class Allocations'!F$148*Functional!$G50+'Class Allocations'!F$152*Functional!$I50+'Class Allocations'!F$156*Functional!$H50+'Class Allocations'!F$160*Functional!$J50+'Class Allocations'!F$166*Functional!$K50+'Class Allocations'!F$172*Functional!$L50+'Class Allocations'!F$178*Functional!$M50+'Class Allocations'!F$184*Functional!$N50</f>
        <v>1593.3198845571096</v>
      </c>
      <c r="H50" s="135">
        <f t="shared" si="15"/>
        <v>3900.3101641440107</v>
      </c>
      <c r="I50" s="4">
        <f>'Class Allocations'!H$144*Functional!$F50+'Class Allocations'!H$148*Functional!$G50+'Class Allocations'!H$152*Functional!$I50+'Class Allocations'!H$156*Functional!$H50+'Class Allocations'!H$160*Functional!$J50+'Class Allocations'!H$166*Functional!$K50+'Class Allocations'!H$172*Functional!$L50+'Class Allocations'!H$178*Functional!$M50+'Class Allocations'!H$184*Functional!$N50</f>
        <v>292.45064942056126</v>
      </c>
      <c r="J50" s="4">
        <f>'Class Allocations'!I$144*Functional!$F50+'Class Allocations'!I$148*Functional!$G50+'Class Allocations'!I$152*Functional!$I50+'Class Allocations'!I$156*Functional!$H50+'Class Allocations'!I$160*Functional!$J50+'Class Allocations'!I$166*Functional!$K50+'Class Allocations'!I$172*Functional!$L50+'Class Allocations'!I$178*Functional!$M50+'Class Allocations'!I$184*Functional!$N50</f>
        <v>95.516579901328953</v>
      </c>
      <c r="K50" s="4">
        <f>'Class Allocations'!J$144*Functional!$F50+'Class Allocations'!J$148*Functional!$G50+'Class Allocations'!J$152*Functional!$I50+'Class Allocations'!J$156*Functional!$H50+'Class Allocations'!J$160*Functional!$J50+'Class Allocations'!J$166*Functional!$K50+'Class Allocations'!J$172*Functional!$L50+'Class Allocations'!J$178*Functional!$M50+'Class Allocations'!J$184*Functional!$N50</f>
        <v>65.388926125991048</v>
      </c>
      <c r="L50" s="4">
        <f>'Class Allocations'!K$144*Functional!$F50+'Class Allocations'!K$148*Functional!$G50+'Class Allocations'!K$152*Functional!$I50+'Class Allocations'!K$156*Functional!$H50+'Class Allocations'!K$160*Functional!$J50+'Class Allocations'!K$166*Functional!$K50+'Class Allocations'!K$172*Functional!$L50+'Class Allocations'!K$178*Functional!$M50+'Class Allocations'!K$184*Functional!$N50</f>
        <v>1023.2545799767097</v>
      </c>
      <c r="M50" s="4">
        <f>'Class Allocations'!L$144*Functional!$F50+'Class Allocations'!L$148*Functional!$G50+'Class Allocations'!L$152*Functional!$I50+'Class Allocations'!L$156*Functional!$H50+'Class Allocations'!L$160*Functional!$J50+'Class Allocations'!L$166*Functional!$K50+'Class Allocations'!L$172*Functional!$L50+'Class Allocations'!L$178*Functional!$M50+'Class Allocations'!L$184*Functional!$N50</f>
        <v>649.72910043139768</v>
      </c>
      <c r="N50" s="4">
        <f>'Class Allocations'!M$144*Functional!$F50+'Class Allocations'!M$148*Functional!$G50+'Class Allocations'!M$152*Functional!$I50+'Class Allocations'!M$156*Functional!$H50+'Class Allocations'!M$160*Functional!$J50+'Class Allocations'!M$166*Functional!$K50+'Class Allocations'!M$172*Functional!$L50+'Class Allocations'!M$178*Functional!$M50+'Class Allocations'!M$184*Functional!$N50+Functional!$P50</f>
        <v>2147</v>
      </c>
      <c r="O50" s="4">
        <f>'Class Allocations'!N$144*Functional!$F50+'Class Allocations'!N$148*Functional!$G50+'Class Allocations'!N$152*Functional!$I50+'Class Allocations'!N$156*Functional!$H50+'Class Allocations'!N$160*Functional!$J50+'Class Allocations'!N$166*Functional!$K50+'Class Allocations'!N$172*Functional!$L50+'Class Allocations'!N$178*Functional!$M50+'Class Allocations'!N$184*Functional!$N50+Functional!$Q50</f>
        <v>0</v>
      </c>
      <c r="P50" s="4">
        <f t="shared" si="16"/>
        <v>4273.3398358559889</v>
      </c>
      <c r="R50" s="124">
        <f t="shared" si="17"/>
        <v>0</v>
      </c>
      <c r="S50" s="124">
        <f t="shared" si="18"/>
        <v>0</v>
      </c>
    </row>
    <row r="51" spans="1:19">
      <c r="A51" s="117">
        <f>IF(ISBLANK(C51),"",MAX($A$38:$A50)+1)</f>
        <v>11</v>
      </c>
      <c r="B51" s="148">
        <f>Functional!$B51</f>
        <v>367</v>
      </c>
      <c r="C51" s="137" t="str">
        <f>Functional!$C51</f>
        <v xml:space="preserve">Mains </v>
      </c>
      <c r="E51" s="135">
        <f>Functional!$E51</f>
        <v>5361146.8400000008</v>
      </c>
      <c r="F51" s="135">
        <f>'Class Allocations'!E$144*Functional!$F51+'Class Allocations'!E$148*Functional!$G51+'Class Allocations'!E$152*Functional!$I51+'Class Allocations'!E$156*Functional!$H51+'Class Allocations'!E$160*Functional!$J51+'Class Allocations'!E$166*Functional!$K51+'Class Allocations'!E$172*Functional!$L51+'Class Allocations'!E$178*Functional!$M51+'Class Allocations'!E$184*Functional!$N51+Functional!$O51</f>
        <v>1751952.469524065</v>
      </c>
      <c r="G51" s="135">
        <f>'Class Allocations'!F$144*Functional!$F51+'Class Allocations'!F$148*Functional!$G51+'Class Allocations'!F$152*Functional!$I51+'Class Allocations'!F$156*Functional!$H51+'Class Allocations'!F$160*Functional!$J51+'Class Allocations'!F$166*Functional!$K51+'Class Allocations'!F$172*Functional!$L51+'Class Allocations'!F$178*Functional!$M51+'Class Allocations'!F$184*Functional!$N51</f>
        <v>1209983.7312671598</v>
      </c>
      <c r="H51" s="135">
        <f t="shared" si="15"/>
        <v>2961936.2007912248</v>
      </c>
      <c r="I51" s="4">
        <f>'Class Allocations'!H$144*Functional!$F51+'Class Allocations'!H$148*Functional!$G51+'Class Allocations'!H$152*Functional!$I51+'Class Allocations'!H$156*Functional!$H51+'Class Allocations'!H$160*Functional!$J51+'Class Allocations'!H$166*Functional!$K51+'Class Allocations'!H$172*Functional!$L51+'Class Allocations'!H$178*Functional!$M51+'Class Allocations'!H$184*Functional!$N51</f>
        <v>222090.07207347843</v>
      </c>
      <c r="J51" s="4">
        <f>'Class Allocations'!I$144*Functional!$F51+'Class Allocations'!I$148*Functional!$G51+'Class Allocations'!I$152*Functional!$I51+'Class Allocations'!I$156*Functional!$H51+'Class Allocations'!I$160*Functional!$J51+'Class Allocations'!I$166*Functional!$K51+'Class Allocations'!I$172*Functional!$L51+'Class Allocations'!I$178*Functional!$M51+'Class Allocations'!I$184*Functional!$N51</f>
        <v>72536.286571866542</v>
      </c>
      <c r="K51" s="4">
        <f>'Class Allocations'!J$144*Functional!$F51+'Class Allocations'!J$148*Functional!$G51+'Class Allocations'!J$152*Functional!$I51+'Class Allocations'!J$156*Functional!$H51+'Class Allocations'!J$160*Functional!$J51+'Class Allocations'!J$166*Functional!$K51+'Class Allocations'!J$172*Functional!$L51+'Class Allocations'!J$178*Functional!$M51+'Class Allocations'!J$184*Functional!$N51</f>
        <v>49657.032203217575</v>
      </c>
      <c r="L51" s="4">
        <f>'Class Allocations'!K$144*Functional!$F51+'Class Allocations'!K$148*Functional!$G51+'Class Allocations'!K$152*Functional!$I51+'Class Allocations'!K$156*Functional!$H51+'Class Allocations'!K$160*Functional!$J51+'Class Allocations'!K$166*Functional!$K51+'Class Allocations'!K$172*Functional!$L51+'Class Allocations'!K$178*Functional!$M51+'Class Allocations'!K$184*Functional!$N51</f>
        <v>777070.19583238708</v>
      </c>
      <c r="M51" s="4">
        <f>'Class Allocations'!L$144*Functional!$F51+'Class Allocations'!L$148*Functional!$G51+'Class Allocations'!L$152*Functional!$I51+'Class Allocations'!L$156*Functional!$H51+'Class Allocations'!L$160*Functional!$J51+'Class Allocations'!L$166*Functional!$K51+'Class Allocations'!L$172*Functional!$L51+'Class Allocations'!L$178*Functional!$M51+'Class Allocations'!L$184*Functional!$N51</f>
        <v>493411.0525278261</v>
      </c>
      <c r="N51" s="4">
        <f>'Class Allocations'!M$144*Functional!$F51+'Class Allocations'!M$148*Functional!$G51+'Class Allocations'!M$152*Functional!$I51+'Class Allocations'!M$156*Functional!$H51+'Class Allocations'!M$160*Functional!$J51+'Class Allocations'!M$166*Functional!$K51+'Class Allocations'!M$172*Functional!$L51+'Class Allocations'!M$178*Functional!$M51+'Class Allocations'!M$184*Functional!$N51+Functional!$P51</f>
        <v>784446</v>
      </c>
      <c r="O51" s="4">
        <f>'Class Allocations'!N$144*Functional!$F51+'Class Allocations'!N$148*Functional!$G51+'Class Allocations'!N$152*Functional!$I51+'Class Allocations'!N$156*Functional!$H51+'Class Allocations'!N$160*Functional!$J51+'Class Allocations'!N$166*Functional!$K51+'Class Allocations'!N$172*Functional!$L51+'Class Allocations'!N$178*Functional!$M51+'Class Allocations'!N$184*Functional!$N51+Functional!$Q51</f>
        <v>0</v>
      </c>
      <c r="P51" s="4">
        <f t="shared" si="16"/>
        <v>2399210.6392087759</v>
      </c>
      <c r="R51" s="124">
        <f t="shared" si="17"/>
        <v>0</v>
      </c>
      <c r="S51" s="124">
        <f t="shared" si="18"/>
        <v>0</v>
      </c>
    </row>
    <row r="52" spans="1:19">
      <c r="A52" s="117">
        <f>IF(ISBLANK(C52),"",MAX($A$38:$A51)+1)</f>
        <v>12</v>
      </c>
      <c r="B52" s="148">
        <f>Functional!$B52</f>
        <v>369.03</v>
      </c>
      <c r="C52" s="137" t="str">
        <f>Functional!$C52</f>
        <v xml:space="preserve">Meas. &amp; Reg. Sta. Equip. </v>
      </c>
      <c r="E52" s="298">
        <f>Functional!$E52</f>
        <v>624131.56999999995</v>
      </c>
      <c r="F52" s="298">
        <f>'Class Allocations'!E$144*Functional!$F52+'Class Allocations'!E$148*Functional!$G52+'Class Allocations'!E$152*Functional!$I52+'Class Allocations'!E$156*Functional!$H52+'Class Allocations'!E$160*Functional!$J52+'Class Allocations'!E$166*Functional!$K52+'Class Allocations'!E$172*Functional!$L52+'Class Allocations'!E$178*Functional!$M52+'Class Allocations'!E$184*Functional!$N52+Functional!$O52</f>
        <v>226769.05787314347</v>
      </c>
      <c r="G52" s="298">
        <f>'Class Allocations'!F$144*Functional!$F52+'Class Allocations'!F$148*Functional!$G52+'Class Allocations'!F$152*Functional!$I52+'Class Allocations'!F$156*Functional!$H52+'Class Allocations'!F$160*Functional!$J52+'Class Allocations'!F$166*Functional!$K52+'Class Allocations'!F$172*Functional!$L52+'Class Allocations'!F$178*Functional!$M52+'Class Allocations'!F$184*Functional!$N52</f>
        <v>156617.75964494317</v>
      </c>
      <c r="H52" s="298">
        <f t="shared" si="15"/>
        <v>383386.81751808664</v>
      </c>
      <c r="I52" s="5">
        <f>'Class Allocations'!H$144*Functional!$F52+'Class Allocations'!H$148*Functional!$G52+'Class Allocations'!H$152*Functional!$I52+'Class Allocations'!H$156*Functional!$H52+'Class Allocations'!H$160*Functional!$J52+'Class Allocations'!H$166*Functional!$K52+'Class Allocations'!H$172*Functional!$L52+'Class Allocations'!H$178*Functional!$M52+'Class Allocations'!H$184*Functional!$N52</f>
        <v>28746.873721273318</v>
      </c>
      <c r="J52" s="5">
        <f>'Class Allocations'!I$144*Functional!$F52+'Class Allocations'!I$148*Functional!$G52+'Class Allocations'!I$152*Functional!$I52+'Class Allocations'!I$156*Functional!$H52+'Class Allocations'!I$160*Functional!$J52+'Class Allocations'!I$166*Functional!$K52+'Class Allocations'!I$172*Functional!$L52+'Class Allocations'!I$178*Functional!$M52+'Class Allocations'!I$184*Functional!$N52</f>
        <v>9388.9449934603836</v>
      </c>
      <c r="K52" s="5">
        <f>'Class Allocations'!J$144*Functional!$F52+'Class Allocations'!J$148*Functional!$G52+'Class Allocations'!J$152*Functional!$I52+'Class Allocations'!J$156*Functional!$H52+'Class Allocations'!J$160*Functional!$J52+'Class Allocations'!J$166*Functional!$K52+'Class Allocations'!J$172*Functional!$L52+'Class Allocations'!J$178*Functional!$M52+'Class Allocations'!J$184*Functional!$N52</f>
        <v>6427.5022327284205</v>
      </c>
      <c r="L52" s="5">
        <f>'Class Allocations'!K$144*Functional!$F52+'Class Allocations'!K$148*Functional!$G52+'Class Allocations'!K$152*Functional!$I52+'Class Allocations'!K$156*Functional!$H52+'Class Allocations'!K$160*Functional!$J52+'Class Allocations'!K$166*Functional!$K52+'Class Allocations'!K$172*Functional!$L52+'Class Allocations'!K$178*Functional!$M52+'Class Allocations'!K$184*Functional!$N52</f>
        <v>100582.33843414724</v>
      </c>
      <c r="M52" s="5">
        <f>'Class Allocations'!L$144*Functional!$F52+'Class Allocations'!L$148*Functional!$G52+'Class Allocations'!L$152*Functional!$I52+'Class Allocations'!L$156*Functional!$H52+'Class Allocations'!L$160*Functional!$J52+'Class Allocations'!L$166*Functional!$K52+'Class Allocations'!L$172*Functional!$L52+'Class Allocations'!L$178*Functional!$M52+'Class Allocations'!L$184*Functional!$N52</f>
        <v>63866.093100303879</v>
      </c>
      <c r="N52" s="5">
        <f>'Class Allocations'!M$144*Functional!$F52+'Class Allocations'!M$148*Functional!$G52+'Class Allocations'!M$152*Functional!$I52+'Class Allocations'!M$156*Functional!$H52+'Class Allocations'!M$160*Functional!$J52+'Class Allocations'!M$166*Functional!$K52+'Class Allocations'!M$172*Functional!$L52+'Class Allocations'!M$178*Functional!$M52+'Class Allocations'!M$184*Functional!$N52+Functional!$P52</f>
        <v>31733</v>
      </c>
      <c r="O52" s="5">
        <f>'Class Allocations'!N$144*Functional!$F52+'Class Allocations'!N$148*Functional!$G52+'Class Allocations'!N$152*Functional!$I52+'Class Allocations'!N$156*Functional!$H52+'Class Allocations'!N$160*Functional!$J52+'Class Allocations'!N$166*Functional!$K52+'Class Allocations'!N$172*Functional!$L52+'Class Allocations'!N$178*Functional!$M52+'Class Allocations'!N$184*Functional!$N52+Functional!$Q52</f>
        <v>0</v>
      </c>
      <c r="P52" s="5">
        <f t="shared" si="16"/>
        <v>240744.75248191322</v>
      </c>
      <c r="R52" s="124">
        <f t="shared" si="17"/>
        <v>0</v>
      </c>
      <c r="S52" s="124">
        <f t="shared" si="18"/>
        <v>0</v>
      </c>
    </row>
    <row r="53" spans="1:19">
      <c r="A53" s="117">
        <f>IF(ISBLANK(C53),"",MAX($A$38:$A52)+1)</f>
        <v>13</v>
      </c>
      <c r="B53" s="148"/>
      <c r="C53" s="149" t="str">
        <f>Functional!$C53</f>
        <v>Total Transmission Plant</v>
      </c>
      <c r="E53" s="135">
        <f t="shared" ref="E53:P53" si="19">SUM(E49:E52)</f>
        <v>6163724.5500000007</v>
      </c>
      <c r="F53" s="135">
        <f t="shared" si="19"/>
        <v>2030306.3070152272</v>
      </c>
      <c r="G53" s="135">
        <f t="shared" si="19"/>
        <v>1402228.4529470722</v>
      </c>
      <c r="H53" s="135">
        <f t="shared" si="19"/>
        <v>3432534.7599622989</v>
      </c>
      <c r="I53" s="4">
        <f t="shared" si="19"/>
        <v>257376.20277948747</v>
      </c>
      <c r="J53" s="4">
        <f t="shared" si="19"/>
        <v>84061.002039816842</v>
      </c>
      <c r="K53" s="4">
        <f t="shared" si="19"/>
        <v>57546.644343176347</v>
      </c>
      <c r="L53" s="4">
        <f t="shared" si="19"/>
        <v>900532.7182310191</v>
      </c>
      <c r="M53" s="4">
        <f t="shared" si="19"/>
        <v>571805.2226442016</v>
      </c>
      <c r="N53" s="4">
        <f t="shared" si="19"/>
        <v>859868</v>
      </c>
      <c r="O53" s="4">
        <f t="shared" si="19"/>
        <v>0</v>
      </c>
      <c r="P53" s="4">
        <f t="shared" si="19"/>
        <v>2731189.7900377014</v>
      </c>
      <c r="R53" s="124">
        <f t="shared" si="17"/>
        <v>0</v>
      </c>
      <c r="S53" s="124">
        <f t="shared" si="18"/>
        <v>0</v>
      </c>
    </row>
    <row r="54" spans="1:19">
      <c r="A54" s="117" t="str">
        <f>IF(ISBLANK(C54),"",MAX($A$38:$A53)+1)</f>
        <v/>
      </c>
      <c r="B54" s="138"/>
      <c r="C54" s="138"/>
      <c r="E54" s="491"/>
      <c r="F54" s="491"/>
      <c r="G54" s="135"/>
      <c r="H54" s="135"/>
      <c r="I54" s="4"/>
      <c r="J54" s="4"/>
      <c r="K54" s="4"/>
      <c r="L54" s="4"/>
      <c r="M54" s="4"/>
      <c r="N54" s="4"/>
      <c r="O54" s="4"/>
      <c r="P54" s="4"/>
      <c r="R54" s="124"/>
      <c r="S54" s="124"/>
    </row>
    <row r="55" spans="1:19">
      <c r="A55" s="117">
        <f>IF(ISBLANK(C55),"",MAX($A$38:$A54)+1)</f>
        <v>14</v>
      </c>
      <c r="B55" s="138"/>
      <c r="C55" s="138" t="str">
        <f>Functional!$C55</f>
        <v>Distribution Plant</v>
      </c>
      <c r="E55" s="135"/>
      <c r="F55" s="135"/>
      <c r="G55" s="135"/>
      <c r="H55" s="135"/>
      <c r="I55" s="4"/>
      <c r="J55" s="4"/>
      <c r="K55" s="4"/>
      <c r="L55" s="4"/>
      <c r="M55" s="4"/>
      <c r="N55" s="419"/>
      <c r="O55" s="4"/>
      <c r="P55" s="4"/>
      <c r="R55" s="124"/>
      <c r="S55" s="124"/>
    </row>
    <row r="56" spans="1:19">
      <c r="A56" s="117">
        <f>IF(ISBLANK(C56),"",MAX($A$38:$A55)+1)</f>
        <v>15</v>
      </c>
      <c r="B56" s="307">
        <f>Functional!$B56</f>
        <v>374.01</v>
      </c>
      <c r="C56" s="137" t="str">
        <f>Functional!$C56</f>
        <v>Land</v>
      </c>
      <c r="E56" s="135">
        <f>Functional!$E56</f>
        <v>608493.55000000005</v>
      </c>
      <c r="F56" s="135">
        <f>'Class Allocations'!E$144*Functional!$F56+'Class Allocations'!E$148*Functional!$G56+'Class Allocations'!E$152*Functional!$I56+'Class Allocations'!E$156*Functional!$H56+'Class Allocations'!E$160*Functional!$J56+'Class Allocations'!E$166*Functional!$K56+'Class Allocations'!E$172*Functional!$L56+'Class Allocations'!E$178*Functional!$M56+'Class Allocations'!E$184*Functional!$N56+Functional!$O56</f>
        <v>242555.90698452026</v>
      </c>
      <c r="G56" s="135">
        <f>'Class Allocations'!F$144*Functional!$F56+'Class Allocations'!F$148*Functional!$G56+'Class Allocations'!F$152*Functional!$I56+'Class Allocations'!F$156*Functional!$H56+'Class Allocations'!F$160*Functional!$J56+'Class Allocations'!F$166*Functional!$K56+'Class Allocations'!F$172*Functional!$L56+'Class Allocations'!F$178*Functional!$M56+'Class Allocations'!F$184*Functional!$N56</f>
        <v>167639.3457418895</v>
      </c>
      <c r="H56" s="135">
        <f t="shared" ref="H56:H71" si="20">SUM(F56:G56)</f>
        <v>410195.25272640976</v>
      </c>
      <c r="I56" s="4">
        <f>'Class Allocations'!H$144*Functional!$F56+'Class Allocations'!H$148*Functional!$G56+'Class Allocations'!H$152*Functional!$I56+'Class Allocations'!H$156*Functional!$H56+'Class Allocations'!H$160*Functional!$J56+'Class Allocations'!H$166*Functional!$K56+'Class Allocations'!H$172*Functional!$L56+'Class Allocations'!H$178*Functional!$M56+'Class Allocations'!H$184*Functional!$N56</f>
        <v>31466.798314591229</v>
      </c>
      <c r="J56" s="4">
        <f>'Class Allocations'!I$144*Functional!$F56+'Class Allocations'!I$148*Functional!$G56+'Class Allocations'!I$152*Functional!$I56+'Class Allocations'!I$156*Functional!$H56+'Class Allocations'!I$160*Functional!$J56+'Class Allocations'!I$166*Functional!$K56+'Class Allocations'!I$172*Functional!$L56+'Class Allocations'!I$178*Functional!$M56+'Class Allocations'!I$184*Functional!$N56</f>
        <v>10190.973492813171</v>
      </c>
      <c r="K56" s="4">
        <f>'Class Allocations'!J$144*Functional!$F56+'Class Allocations'!J$148*Functional!$G56+'Class Allocations'!J$152*Functional!$I56+'Class Allocations'!J$156*Functional!$H56+'Class Allocations'!J$160*Functional!$J56+'Class Allocations'!J$166*Functional!$K56+'Class Allocations'!J$172*Functional!$L56+'Class Allocations'!J$178*Functional!$M56+'Class Allocations'!J$184*Functional!$N56</f>
        <v>7035.6491069210915</v>
      </c>
      <c r="L56" s="4">
        <f>'Class Allocations'!K$144*Functional!$F56+'Class Allocations'!K$148*Functional!$G56+'Class Allocations'!K$152*Functional!$I56+'Class Allocations'!K$156*Functional!$H56+'Class Allocations'!K$160*Functional!$J56+'Class Allocations'!K$166*Functional!$K56+'Class Allocations'!K$172*Functional!$L56+'Class Allocations'!K$178*Functional!$M56+'Class Allocations'!K$184*Functional!$N56</f>
        <v>109020.77082353245</v>
      </c>
      <c r="M56" s="4">
        <f>'Class Allocations'!L$144*Functional!$F56+'Class Allocations'!L$148*Functional!$G56+'Class Allocations'!L$152*Functional!$I56+'Class Allocations'!L$156*Functional!$H56+'Class Allocations'!L$160*Functional!$J56+'Class Allocations'!L$166*Functional!$K56+'Class Allocations'!L$172*Functional!$L56+'Class Allocations'!L$178*Functional!$M56+'Class Allocations'!L$184*Functional!$N56</f>
        <v>7915.1055357323457</v>
      </c>
      <c r="N56" s="4">
        <f>'Class Allocations'!M$144*Functional!$F56+'Class Allocations'!M$148*Functional!$G56+'Class Allocations'!M$152*Functional!$I56+'Class Allocations'!M$156*Functional!$H56+'Class Allocations'!M$160*Functional!$J56+'Class Allocations'!M$166*Functional!$K56+'Class Allocations'!M$172*Functional!$L56+'Class Allocations'!M$178*Functional!$M56+'Class Allocations'!M$184*Functional!$N56+Functional!$P56</f>
        <v>2</v>
      </c>
      <c r="O56" s="4">
        <f>'Class Allocations'!N$144*Functional!$F56+'Class Allocations'!N$148*Functional!$G56+'Class Allocations'!N$152*Functional!$I56+'Class Allocations'!N$156*Functional!$H56+'Class Allocations'!N$160*Functional!$J56+'Class Allocations'!N$166*Functional!$K56+'Class Allocations'!N$172*Functional!$L56+'Class Allocations'!N$178*Functional!$M56+'Class Allocations'!N$184*Functional!$N56+Functional!$Q56</f>
        <v>32667</v>
      </c>
      <c r="P56" s="4">
        <f>SUM(I56:O56)</f>
        <v>198298.29727359029</v>
      </c>
      <c r="R56" s="124">
        <f>SUM(F56:G56,I56:O56)-E56</f>
        <v>0</v>
      </c>
      <c r="S56" s="124">
        <f>E56-H56-P56</f>
        <v>0</v>
      </c>
    </row>
    <row r="57" spans="1:19">
      <c r="A57" s="117">
        <f>IF(ISBLANK(C57),"",MAX($A$38:$A56)+1)</f>
        <v>16</v>
      </c>
      <c r="B57" s="307">
        <f>Functional!$B57</f>
        <v>374.02</v>
      </c>
      <c r="C57" s="137" t="str">
        <f>Functional!$C57</f>
        <v>Land Rights (Non-Depreciable)</v>
      </c>
      <c r="E57" s="135">
        <f>Functional!$E57</f>
        <v>1693103.5573682757</v>
      </c>
      <c r="F57" s="135">
        <f>'Class Allocations'!E$144*Functional!$F57+'Class Allocations'!E$148*Functional!$G57+'Class Allocations'!E$152*Functional!$I57+'Class Allocations'!E$156*Functional!$H57+'Class Allocations'!E$160*Functional!$J57+'Class Allocations'!E$166*Functional!$K57+'Class Allocations'!E$172*Functional!$L57+'Class Allocations'!E$178*Functional!$M57+'Class Allocations'!E$184*Functional!$N57+Functional!$O57</f>
        <v>713189.92734189576</v>
      </c>
      <c r="G57" s="135">
        <f>'Class Allocations'!F$144*Functional!$F57+'Class Allocations'!F$148*Functional!$G57+'Class Allocations'!F$152*Functional!$I57+'Class Allocations'!F$156*Functional!$H57+'Class Allocations'!F$160*Functional!$J57+'Class Allocations'!F$166*Functional!$K57+'Class Allocations'!F$172*Functional!$L57+'Class Allocations'!F$178*Functional!$M57+'Class Allocations'!F$184*Functional!$N57</f>
        <v>492911.89934587432</v>
      </c>
      <c r="H57" s="135">
        <f t="shared" si="20"/>
        <v>1206101.82668777</v>
      </c>
      <c r="I57" s="4">
        <f>'Class Allocations'!H$144*Functional!$F57+'Class Allocations'!H$148*Functional!$G57+'Class Allocations'!H$152*Functional!$I57+'Class Allocations'!H$156*Functional!$H57+'Class Allocations'!H$160*Functional!$J57+'Class Allocations'!H$166*Functional!$K57+'Class Allocations'!H$172*Functional!$L57+'Class Allocations'!H$178*Functional!$M57+'Class Allocations'!H$184*Functional!$N57</f>
        <v>92522.189554829616</v>
      </c>
      <c r="J57" s="4">
        <f>'Class Allocations'!I$144*Functional!$F57+'Class Allocations'!I$148*Functional!$G57+'Class Allocations'!I$152*Functional!$I57+'Class Allocations'!I$156*Functional!$H57+'Class Allocations'!I$160*Functional!$J57+'Class Allocations'!I$166*Functional!$K57+'Class Allocations'!I$172*Functional!$L57+'Class Allocations'!I$178*Functional!$M57+'Class Allocations'!I$184*Functional!$N57</f>
        <v>29964.636752163104</v>
      </c>
      <c r="K57" s="4">
        <f>'Class Allocations'!J$144*Functional!$F57+'Class Allocations'!J$148*Functional!$G57+'Class Allocations'!J$152*Functional!$I57+'Class Allocations'!J$156*Functional!$H57+'Class Allocations'!J$160*Functional!$J57+'Class Allocations'!J$166*Functional!$K57+'Class Allocations'!J$172*Functional!$L57+'Class Allocations'!J$178*Functional!$M57+'Class Allocations'!J$184*Functional!$N57</f>
        <v>20687.000113703092</v>
      </c>
      <c r="L57" s="4">
        <f>'Class Allocations'!K$144*Functional!$F57+'Class Allocations'!K$148*Functional!$G57+'Class Allocations'!K$152*Functional!$I57+'Class Allocations'!K$156*Functional!$H57+'Class Allocations'!K$160*Functional!$J57+'Class Allocations'!K$166*Functional!$K57+'Class Allocations'!K$172*Functional!$L57+'Class Allocations'!K$178*Functional!$M57+'Class Allocations'!K$184*Functional!$N57</f>
        <v>320555.0282778918</v>
      </c>
      <c r="M57" s="4">
        <f>'Class Allocations'!L$144*Functional!$F57+'Class Allocations'!L$148*Functional!$G57+'Class Allocations'!L$152*Functional!$I57+'Class Allocations'!L$156*Functional!$H57+'Class Allocations'!L$160*Functional!$J57+'Class Allocations'!L$166*Functional!$K57+'Class Allocations'!L$172*Functional!$L57+'Class Allocations'!L$178*Functional!$M57+'Class Allocations'!L$184*Functional!$N57</f>
        <v>23272.875981918041</v>
      </c>
      <c r="N57" s="4">
        <f>'Class Allocations'!M$144*Functional!$F57+'Class Allocations'!M$148*Functional!$G57+'Class Allocations'!M$152*Functional!$I57+'Class Allocations'!M$156*Functional!$H57+'Class Allocations'!M$160*Functional!$J57+'Class Allocations'!M$166*Functional!$K57+'Class Allocations'!M$172*Functional!$L57+'Class Allocations'!M$178*Functional!$M57+'Class Allocations'!M$184*Functional!$N57+Functional!$P57</f>
        <v>0</v>
      </c>
      <c r="O57" s="4">
        <f>'Class Allocations'!N$144*Functional!$F57+'Class Allocations'!N$148*Functional!$G57+'Class Allocations'!N$152*Functional!$I57+'Class Allocations'!N$156*Functional!$H57+'Class Allocations'!N$160*Functional!$J57+'Class Allocations'!N$166*Functional!$K57+'Class Allocations'!N$172*Functional!$L57+'Class Allocations'!N$178*Functional!$M57+'Class Allocations'!N$184*Functional!$N57+Functional!$Q57</f>
        <v>0</v>
      </c>
      <c r="P57" s="4">
        <f t="shared" ref="P57:P58" si="21">SUM(I57:O57)</f>
        <v>487001.73068050563</v>
      </c>
      <c r="R57" s="124">
        <f t="shared" ref="R57:R58" si="22">SUM(F57:G57,I57:O57)-E57</f>
        <v>0</v>
      </c>
      <c r="S57" s="124">
        <f t="shared" ref="S57:S58" si="23">E57-H57-P57</f>
        <v>0</v>
      </c>
    </row>
    <row r="58" spans="1:19">
      <c r="A58" s="117">
        <f>IF(ISBLANK(C58),"",MAX($A$38:$A57)+1)</f>
        <v>17</v>
      </c>
      <c r="B58" s="307">
        <f>Functional!$B58</f>
        <v>374.03</v>
      </c>
      <c r="C58" s="137" t="str">
        <f>Functional!$C58</f>
        <v>Land Rights - Right of Way (Depreciable)</v>
      </c>
      <c r="E58" s="135">
        <f>Functional!$E58</f>
        <v>6797135.5700000003</v>
      </c>
      <c r="F58" s="135">
        <f>'Class Allocations'!E$144*Functional!$F58+'Class Allocations'!E$148*Functional!$G58+'Class Allocations'!E$152*Functional!$I58+'Class Allocations'!E$156*Functional!$H58+'Class Allocations'!E$160*Functional!$J58+'Class Allocations'!E$166*Functional!$K58+'Class Allocations'!E$172*Functional!$L58+'Class Allocations'!E$178*Functional!$M58+'Class Allocations'!E$184*Functional!$N58+Functional!$O58</f>
        <v>2863173.1368141458</v>
      </c>
      <c r="G58" s="135">
        <f>'Class Allocations'!F$144*Functional!$F58+'Class Allocations'!F$148*Functional!$G58+'Class Allocations'!F$152*Functional!$I58+'Class Allocations'!F$156*Functional!$H58+'Class Allocations'!F$160*Functional!$J58+'Class Allocations'!F$166*Functional!$K58+'Class Allocations'!F$172*Functional!$L58+'Class Allocations'!F$178*Functional!$M58+'Class Allocations'!F$184*Functional!$N58</f>
        <v>1978844.7016955516</v>
      </c>
      <c r="H58" s="135">
        <f t="shared" si="20"/>
        <v>4842017.8385096975</v>
      </c>
      <c r="I58" s="4">
        <f>'Class Allocations'!H$144*Functional!$F58+'Class Allocations'!H$148*Functional!$G58+'Class Allocations'!H$152*Functional!$I58+'Class Allocations'!H$156*Functional!$H58+'Class Allocations'!H$160*Functional!$J58+'Class Allocations'!H$166*Functional!$K58+'Class Allocations'!H$172*Functional!$L58+'Class Allocations'!H$178*Functional!$M58+'Class Allocations'!H$184*Functional!$N58</f>
        <v>371439.69304213254</v>
      </c>
      <c r="J58" s="4">
        <f>'Class Allocations'!I$144*Functional!$F58+'Class Allocations'!I$148*Functional!$G58+'Class Allocations'!I$152*Functional!$I58+'Class Allocations'!I$156*Functional!$H58+'Class Allocations'!I$160*Functional!$J58+'Class Allocations'!I$166*Functional!$K58+'Class Allocations'!I$172*Functional!$L58+'Class Allocations'!I$178*Functional!$M58+'Class Allocations'!I$184*Functional!$N58</f>
        <v>120296.06660731562</v>
      </c>
      <c r="K58" s="4">
        <f>'Class Allocations'!J$144*Functional!$F58+'Class Allocations'!J$148*Functional!$G58+'Class Allocations'!J$152*Functional!$I58+'Class Allocations'!J$156*Functional!$H58+'Class Allocations'!J$160*Functional!$J58+'Class Allocations'!J$166*Functional!$K58+'Class Allocations'!J$172*Functional!$L58+'Class Allocations'!J$178*Functional!$M58+'Class Allocations'!J$184*Functional!$N58</f>
        <v>83050.05544256854</v>
      </c>
      <c r="L58" s="4">
        <f>'Class Allocations'!K$144*Functional!$F58+'Class Allocations'!K$148*Functional!$G58+'Class Allocations'!K$152*Functional!$I58+'Class Allocations'!K$156*Functional!$H58+'Class Allocations'!K$160*Functional!$J58+'Class Allocations'!K$166*Functional!$K58+'Class Allocations'!K$172*Functional!$L58+'Class Allocations'!K$178*Functional!$M58+'Class Allocations'!K$184*Functional!$N58</f>
        <v>1286900.600596919</v>
      </c>
      <c r="M58" s="4">
        <f>'Class Allocations'!L$144*Functional!$F58+'Class Allocations'!L$148*Functional!$G58+'Class Allocations'!L$152*Functional!$I58+'Class Allocations'!L$156*Functional!$H58+'Class Allocations'!L$160*Functional!$J58+'Class Allocations'!L$166*Functional!$K58+'Class Allocations'!L$172*Functional!$L58+'Class Allocations'!L$178*Functional!$M58+'Class Allocations'!L$184*Functional!$N58</f>
        <v>93431.315801367338</v>
      </c>
      <c r="N58" s="4">
        <f>'Class Allocations'!M$144*Functional!$F58+'Class Allocations'!M$148*Functional!$G58+'Class Allocations'!M$152*Functional!$I58+'Class Allocations'!M$156*Functional!$H58+'Class Allocations'!M$160*Functional!$J58+'Class Allocations'!M$166*Functional!$K58+'Class Allocations'!M$172*Functional!$L58+'Class Allocations'!M$178*Functional!$M58+'Class Allocations'!M$184*Functional!$N58+Functional!$P58</f>
        <v>0</v>
      </c>
      <c r="O58" s="4">
        <f>'Class Allocations'!N$144*Functional!$F58+'Class Allocations'!N$148*Functional!$G58+'Class Allocations'!N$152*Functional!$I58+'Class Allocations'!N$156*Functional!$H58+'Class Allocations'!N$160*Functional!$J58+'Class Allocations'!N$166*Functional!$K58+'Class Allocations'!N$172*Functional!$L58+'Class Allocations'!N$178*Functional!$M58+'Class Allocations'!N$184*Functional!$N58+Functional!$Q58</f>
        <v>0</v>
      </c>
      <c r="P58" s="4">
        <f t="shared" si="21"/>
        <v>1955117.7314903031</v>
      </c>
      <c r="R58" s="124">
        <f t="shared" si="22"/>
        <v>0</v>
      </c>
      <c r="S58" s="124">
        <f t="shared" si="23"/>
        <v>0</v>
      </c>
    </row>
    <row r="59" spans="1:19">
      <c r="A59" s="117">
        <f>IF(ISBLANK(C59),"",MAX($A$38:$A58)+1)</f>
        <v>18</v>
      </c>
      <c r="B59" s="148">
        <f>Functional!$B59</f>
        <v>375.01</v>
      </c>
      <c r="C59" s="137" t="str">
        <f>Functional!$C59</f>
        <v>Structures and Improvements</v>
      </c>
      <c r="E59" s="135">
        <f>Functional!$E59</f>
        <v>3462086.8492294252</v>
      </c>
      <c r="F59" s="135">
        <f>'Class Allocations'!E$144*Functional!$F59+'Class Allocations'!E$148*Functional!$G59+'Class Allocations'!E$152*Functional!$I59+'Class Allocations'!E$156*Functional!$H59+'Class Allocations'!E$160*Functional!$J59+'Class Allocations'!E$166*Functional!$K59+'Class Allocations'!E$172*Functional!$L59+'Class Allocations'!E$178*Functional!$M59+'Class Allocations'!E$184*Functional!$N59+Functional!$O59</f>
        <v>1377429.5994658228</v>
      </c>
      <c r="G59" s="135">
        <f>'Class Allocations'!F$144*Functional!$F59+'Class Allocations'!F$148*Functional!$G59+'Class Allocations'!F$152*Functional!$I59+'Class Allocations'!F$156*Functional!$H59+'Class Allocations'!F$160*Functional!$J59+'Class Allocations'!F$166*Functional!$K59+'Class Allocations'!F$172*Functional!$L59+'Class Allocations'!F$178*Functional!$M59+'Class Allocations'!F$184*Functional!$N59</f>
        <v>951992.46940912493</v>
      </c>
      <c r="H59" s="135">
        <f t="shared" si="20"/>
        <v>2329422.0688749477</v>
      </c>
      <c r="I59" s="4">
        <f>'Class Allocations'!H$144*Functional!$F59+'Class Allocations'!H$148*Functional!$G59+'Class Allocations'!H$152*Functional!$I59+'Class Allocations'!H$156*Functional!$H59+'Class Allocations'!H$160*Functional!$J59+'Class Allocations'!H$166*Functional!$K59+'Class Allocations'!H$172*Functional!$L59+'Class Allocations'!H$178*Functional!$M59+'Class Allocations'!H$184*Functional!$N59</f>
        <v>178694.05836282257</v>
      </c>
      <c r="J59" s="4">
        <f>'Class Allocations'!I$144*Functional!$F59+'Class Allocations'!I$148*Functional!$G59+'Class Allocations'!I$152*Functional!$I59+'Class Allocations'!I$156*Functional!$H59+'Class Allocations'!I$160*Functional!$J59+'Class Allocations'!I$166*Functional!$K59+'Class Allocations'!I$172*Functional!$L59+'Class Allocations'!I$178*Functional!$M59+'Class Allocations'!I$184*Functional!$N59</f>
        <v>57872.631142593935</v>
      </c>
      <c r="K59" s="4">
        <f>'Class Allocations'!J$144*Functional!$F59+'Class Allocations'!J$148*Functional!$G59+'Class Allocations'!J$152*Functional!$I59+'Class Allocations'!J$156*Functional!$H59+'Class Allocations'!J$160*Functional!$J59+'Class Allocations'!J$166*Functional!$K59+'Class Allocations'!J$172*Functional!$L59+'Class Allocations'!J$178*Functional!$M59+'Class Allocations'!J$184*Functional!$N59</f>
        <v>39954.134499585169</v>
      </c>
      <c r="L59" s="4">
        <f>'Class Allocations'!K$144*Functional!$F59+'Class Allocations'!K$148*Functional!$G59+'Class Allocations'!K$152*Functional!$I59+'Class Allocations'!K$156*Functional!$H59+'Class Allocations'!K$160*Functional!$J59+'Class Allocations'!K$166*Functional!$K59+'Class Allocations'!K$172*Functional!$L59+'Class Allocations'!K$178*Functional!$M59+'Class Allocations'!K$184*Functional!$N59</f>
        <v>619108.55338805332</v>
      </c>
      <c r="M59" s="4">
        <f>'Class Allocations'!L$144*Functional!$F59+'Class Allocations'!L$148*Functional!$G59+'Class Allocations'!L$152*Functional!$I59+'Class Allocations'!L$156*Functional!$H59+'Class Allocations'!L$160*Functional!$J59+'Class Allocations'!L$166*Functional!$K59+'Class Allocations'!L$172*Functional!$L59+'Class Allocations'!L$178*Functional!$M59+'Class Allocations'!L$184*Functional!$N59</f>
        <v>44948.402961422464</v>
      </c>
      <c r="N59" s="4">
        <f>'Class Allocations'!M$144*Functional!$F59+'Class Allocations'!M$148*Functional!$G59+'Class Allocations'!M$152*Functional!$I59+'Class Allocations'!M$156*Functional!$H59+'Class Allocations'!M$160*Functional!$J59+'Class Allocations'!M$166*Functional!$K59+'Class Allocations'!M$172*Functional!$L59+'Class Allocations'!M$178*Functional!$M59+'Class Allocations'!M$184*Functional!$N59+Functional!$P59</f>
        <v>0</v>
      </c>
      <c r="O59" s="4">
        <f>'Class Allocations'!N$144*Functional!$F59+'Class Allocations'!N$148*Functional!$G59+'Class Allocations'!N$152*Functional!$I59+'Class Allocations'!N$156*Functional!$H59+'Class Allocations'!N$160*Functional!$J59+'Class Allocations'!N$166*Functional!$K59+'Class Allocations'!N$172*Functional!$L59+'Class Allocations'!N$178*Functional!$M59+'Class Allocations'!N$184*Functional!$N59+Functional!$Q59</f>
        <v>192087</v>
      </c>
      <c r="P59" s="4">
        <f t="shared" ref="P59:P71" si="24">SUM(I59:O59)</f>
        <v>1132664.7803544775</v>
      </c>
      <c r="R59" s="124">
        <f>SUM(F59:G59,I59:O59)-E59</f>
        <v>0</v>
      </c>
      <c r="S59" s="124">
        <f>E59-H59-P59</f>
        <v>0</v>
      </c>
    </row>
    <row r="60" spans="1:19">
      <c r="A60" s="117">
        <f>IF(ISBLANK(C60),"",MAX($A$38:$A59)+1)</f>
        <v>19</v>
      </c>
      <c r="B60" s="148">
        <v>375.2</v>
      </c>
      <c r="C60" s="137" t="s">
        <v>544</v>
      </c>
      <c r="E60" s="135">
        <f>Functional!$E60</f>
        <v>12119.44</v>
      </c>
      <c r="F60" s="135">
        <f>'Class Allocations'!E$144*Functional!$F60+'Class Allocations'!E$148*Functional!$G60+'Class Allocations'!E$152*Functional!$I60+'Class Allocations'!E$156*Functional!$H60+'Class Allocations'!E$160*Functional!$J60+'Class Allocations'!E$166*Functional!$K60+'Class Allocations'!E$172*Functional!$L60+'Class Allocations'!E$178*Functional!$M60+'Class Allocations'!E$184*Functional!$N60+Functional!$O60</f>
        <v>5105.0997414828435</v>
      </c>
      <c r="G60" s="135">
        <f>'Class Allocations'!F$144*Functional!$F60+'Class Allocations'!F$148*Functional!$G60+'Class Allocations'!F$152*Functional!$I60+'Class Allocations'!F$156*Functional!$H60+'Class Allocations'!F$160*Functional!$J60+'Class Allocations'!F$166*Functional!$K60+'Class Allocations'!F$172*Functional!$L60+'Class Allocations'!F$178*Functional!$M60+'Class Allocations'!F$184*Functional!$N60</f>
        <v>3528.3229802516853</v>
      </c>
      <c r="H60" s="135">
        <f t="shared" si="20"/>
        <v>8633.4227217345287</v>
      </c>
      <c r="I60" s="4">
        <f>'Class Allocations'!H$144*Functional!$F60+'Class Allocations'!H$148*Functional!$G60+'Class Allocations'!H$152*Functional!$I60+'Class Allocations'!H$156*Functional!$H60+'Class Allocations'!H$160*Functional!$J60+'Class Allocations'!H$166*Functional!$K60+'Class Allocations'!H$172*Functional!$L60+'Class Allocations'!H$178*Functional!$M60+'Class Allocations'!H$184*Functional!$N60</f>
        <v>662.28502095957788</v>
      </c>
      <c r="J60" s="4">
        <f>'Class Allocations'!I$144*Functional!$F60+'Class Allocations'!I$148*Functional!$G60+'Class Allocations'!I$152*Functional!$I60+'Class Allocations'!I$156*Functional!$H60+'Class Allocations'!I$160*Functional!$J60+'Class Allocations'!I$166*Functional!$K60+'Class Allocations'!I$172*Functional!$L60+'Class Allocations'!I$178*Functional!$M60+'Class Allocations'!I$184*Functional!$N60</f>
        <v>214.4904933069277</v>
      </c>
      <c r="K60" s="4">
        <f>'Class Allocations'!J$144*Functional!$F60+'Class Allocations'!J$148*Functional!$G60+'Class Allocations'!J$152*Functional!$I60+'Class Allocations'!J$156*Functional!$H60+'Class Allocations'!J$160*Functional!$J60+'Class Allocations'!J$166*Functional!$K60+'Class Allocations'!J$172*Functional!$L60+'Class Allocations'!J$178*Functional!$M60+'Class Allocations'!J$184*Functional!$N60</f>
        <v>148.08004836261975</v>
      </c>
      <c r="L60" s="4">
        <f>'Class Allocations'!K$144*Functional!$F60+'Class Allocations'!K$148*Functional!$G60+'Class Allocations'!K$152*Functional!$I60+'Class Allocations'!K$156*Functional!$H60+'Class Allocations'!K$160*Functional!$J60+'Class Allocations'!K$166*Functional!$K60+'Class Allocations'!K$172*Functional!$L60+'Class Allocations'!K$178*Functional!$M60+'Class Allocations'!K$184*Functional!$N60</f>
        <v>2294.5716551153509</v>
      </c>
      <c r="M60" s="4">
        <f>'Class Allocations'!L$144*Functional!$F60+'Class Allocations'!L$148*Functional!$G60+'Class Allocations'!L$152*Functional!$I60+'Class Allocations'!L$156*Functional!$H60+'Class Allocations'!L$160*Functional!$J60+'Class Allocations'!L$166*Functional!$K60+'Class Allocations'!L$172*Functional!$L60+'Class Allocations'!L$178*Functional!$M60+'Class Allocations'!L$184*Functional!$N60</f>
        <v>166.59006052099727</v>
      </c>
      <c r="N60" s="4">
        <f>'Class Allocations'!M$144*Functional!$F60+'Class Allocations'!M$148*Functional!$G60+'Class Allocations'!M$152*Functional!$I60+'Class Allocations'!M$156*Functional!$H60+'Class Allocations'!M$160*Functional!$J60+'Class Allocations'!M$166*Functional!$K60+'Class Allocations'!M$172*Functional!$L60+'Class Allocations'!M$178*Functional!$M60+'Class Allocations'!M$184*Functional!$N60+Functional!$P60</f>
        <v>0</v>
      </c>
      <c r="O60" s="4">
        <f>'Class Allocations'!N$144*Functional!$F60+'Class Allocations'!N$148*Functional!$G60+'Class Allocations'!N$152*Functional!$I60+'Class Allocations'!N$156*Functional!$H60+'Class Allocations'!N$160*Functional!$J60+'Class Allocations'!N$166*Functional!$K60+'Class Allocations'!N$172*Functional!$L60+'Class Allocations'!N$178*Functional!$M60+'Class Allocations'!N$184*Functional!$N60+Functional!$Q60</f>
        <v>0</v>
      </c>
      <c r="P60" s="4">
        <f t="shared" si="24"/>
        <v>3486.0172782654736</v>
      </c>
      <c r="R60" s="124"/>
      <c r="S60" s="124"/>
    </row>
    <row r="61" spans="1:19">
      <c r="A61" s="117">
        <f>IF(ISBLANK(C61),"",MAX($A$38:$A60)+1)</f>
        <v>20</v>
      </c>
      <c r="B61" s="148">
        <f>Functional!$B61</f>
        <v>376</v>
      </c>
      <c r="C61" s="137" t="str">
        <f>Functional!$C61</f>
        <v>Mains</v>
      </c>
      <c r="E61" s="135">
        <f>Functional!$E61</f>
        <v>444565701.90557998</v>
      </c>
      <c r="F61" s="135">
        <f>'Class Allocations'!E$144*Functional!$F61+'Class Allocations'!E$148*Functional!$G61+'Class Allocations'!E$152*Functional!$I61+'Class Allocations'!E$156*Functional!$H61+'Class Allocations'!E$160*Functional!$J61+'Class Allocations'!E$166*Functional!$K61+'Class Allocations'!E$172*Functional!$L61+'Class Allocations'!E$178*Functional!$M61+'Class Allocations'!E$184*Functional!$N61+Functional!$O61</f>
        <v>256861466.45594719</v>
      </c>
      <c r="G61" s="135">
        <f>'Class Allocations'!F$144*Functional!$F61+'Class Allocations'!F$148*Functional!$G61+'Class Allocations'!F$152*Functional!$I61+'Class Allocations'!F$156*Functional!$H61+'Class Allocations'!F$160*Functional!$J61+'Class Allocations'!F$166*Functional!$K61+'Class Allocations'!F$172*Functional!$L61+'Class Allocations'!F$178*Functional!$M61+'Class Allocations'!F$184*Functional!$N61</f>
        <v>111756674.84160671</v>
      </c>
      <c r="H61" s="135">
        <f t="shared" si="20"/>
        <v>368618141.2975539</v>
      </c>
      <c r="I61" s="4">
        <f>'Class Allocations'!H$144*Functional!$F61+'Class Allocations'!H$148*Functional!$G61+'Class Allocations'!H$152*Functional!$I61+'Class Allocations'!H$156*Functional!$H61+'Class Allocations'!H$160*Functional!$J61+'Class Allocations'!H$166*Functional!$K61+'Class Allocations'!H$172*Functional!$L61+'Class Allocations'!H$178*Functional!$M61+'Class Allocations'!H$184*Functional!$N61</f>
        <v>21812382.401326612</v>
      </c>
      <c r="J61" s="4">
        <f>'Class Allocations'!I$144*Functional!$F61+'Class Allocations'!I$148*Functional!$G61+'Class Allocations'!I$152*Functional!$I61+'Class Allocations'!I$156*Functional!$H61+'Class Allocations'!I$160*Functional!$J61+'Class Allocations'!I$166*Functional!$K61+'Class Allocations'!I$172*Functional!$L61+'Class Allocations'!I$178*Functional!$M61+'Class Allocations'!I$184*Functional!$N61</f>
        <v>3668092.5427500065</v>
      </c>
      <c r="K61" s="4">
        <f>'Class Allocations'!J$144*Functional!$F61+'Class Allocations'!J$148*Functional!$G61+'Class Allocations'!J$152*Functional!$I61+'Class Allocations'!J$156*Functional!$H61+'Class Allocations'!J$160*Functional!$J61+'Class Allocations'!J$166*Functional!$K61+'Class Allocations'!J$172*Functional!$L61+'Class Allocations'!J$178*Functional!$M61+'Class Allocations'!J$184*Functional!$N61</f>
        <v>2425187.0607130239</v>
      </c>
      <c r="L61" s="4">
        <f>'Class Allocations'!K$144*Functional!$F61+'Class Allocations'!K$148*Functional!$G61+'Class Allocations'!K$152*Functional!$I61+'Class Allocations'!K$156*Functional!$H61+'Class Allocations'!K$160*Functional!$J61+'Class Allocations'!K$166*Functional!$K61+'Class Allocations'!K$172*Functional!$L61+'Class Allocations'!K$178*Functional!$M61+'Class Allocations'!K$184*Functional!$N61</f>
        <v>39508177.484580532</v>
      </c>
      <c r="M61" s="4">
        <f>'Class Allocations'!L$144*Functional!$F61+'Class Allocations'!L$148*Functional!$G61+'Class Allocations'!L$152*Functional!$I61+'Class Allocations'!L$156*Functional!$H61+'Class Allocations'!L$160*Functional!$J61+'Class Allocations'!L$166*Functional!$K61+'Class Allocations'!L$172*Functional!$L61+'Class Allocations'!L$178*Functional!$M61+'Class Allocations'!L$184*Functional!$N61</f>
        <v>6077094.1186558688</v>
      </c>
      <c r="N61" s="4">
        <f>'Class Allocations'!M$144*Functional!$F61+'Class Allocations'!M$148*Functional!$G61+'Class Allocations'!M$152*Functional!$I61+'Class Allocations'!M$156*Functional!$H61+'Class Allocations'!M$160*Functional!$J61+'Class Allocations'!M$166*Functional!$K61+'Class Allocations'!M$172*Functional!$L61+'Class Allocations'!M$178*Functional!$M61+'Class Allocations'!M$184*Functional!$N61+Functional!$P61</f>
        <v>628260</v>
      </c>
      <c r="O61" s="4">
        <f>'Class Allocations'!N$144*Functional!$F61+'Class Allocations'!N$148*Functional!$G61+'Class Allocations'!N$152*Functional!$I61+'Class Allocations'!N$156*Functional!$H61+'Class Allocations'!N$160*Functional!$J61+'Class Allocations'!N$166*Functional!$K61+'Class Allocations'!N$172*Functional!$L61+'Class Allocations'!N$178*Functional!$M61+'Class Allocations'!N$184*Functional!$N61+Functional!$Q61</f>
        <v>1828367</v>
      </c>
      <c r="P61" s="4">
        <f t="shared" si="24"/>
        <v>75947560.608026043</v>
      </c>
      <c r="R61" s="124">
        <f>SUM(F61:G61,I61:O61)-E61</f>
        <v>0</v>
      </c>
      <c r="S61" s="124">
        <f>E61-H61-P61</f>
        <v>0</v>
      </c>
    </row>
    <row r="62" spans="1:19">
      <c r="A62" s="117">
        <f>IF(ISBLANK(C62),"",MAX($A$38:$A61)+1)</f>
        <v>21</v>
      </c>
      <c r="B62" s="148">
        <f>Functional!$B62</f>
        <v>378</v>
      </c>
      <c r="C62" s="137" t="str">
        <f>Functional!$C62</f>
        <v>Meas. &amp; Reg. Sta. Equip. - General</v>
      </c>
      <c r="E62" s="135">
        <f>Functional!$E62</f>
        <v>25439135.747249428</v>
      </c>
      <c r="F62" s="135">
        <f>'Class Allocations'!E$144*Functional!$F62+'Class Allocations'!E$148*Functional!$G62+'Class Allocations'!E$152*Functional!$I62+'Class Allocations'!E$156*Functional!$H62+'Class Allocations'!E$160*Functional!$J62+'Class Allocations'!E$166*Functional!$K62+'Class Allocations'!E$172*Functional!$L62+'Class Allocations'!E$178*Functional!$M62+'Class Allocations'!E$184*Functional!$N62+Functional!$O62</f>
        <v>10087143.096020807</v>
      </c>
      <c r="G62" s="135">
        <f>'Class Allocations'!F$144*Functional!$F62+'Class Allocations'!F$148*Functional!$G62+'Class Allocations'!F$152*Functional!$I62+'Class Allocations'!F$156*Functional!$H62+'Class Allocations'!F$160*Functional!$J62+'Class Allocations'!F$166*Functional!$K62+'Class Allocations'!F$172*Functional!$L62+'Class Allocations'!F$178*Functional!$M62+'Class Allocations'!F$184*Functional!$N62</f>
        <v>6971597.1465896498</v>
      </c>
      <c r="H62" s="135">
        <f t="shared" si="20"/>
        <v>17058740.242610455</v>
      </c>
      <c r="I62" s="4">
        <f>'Class Allocations'!H$144*Functional!$F62+'Class Allocations'!H$148*Functional!$G62+'Class Allocations'!H$152*Functional!$I62+'Class Allocations'!H$156*Functional!$H62+'Class Allocations'!H$160*Functional!$J62+'Class Allocations'!H$166*Functional!$K62+'Class Allocations'!H$172*Functional!$L62+'Class Allocations'!H$178*Functional!$M62+'Class Allocations'!H$184*Functional!$N62</f>
        <v>1308605.9264397339</v>
      </c>
      <c r="J62" s="4">
        <f>'Class Allocations'!I$144*Functional!$F62+'Class Allocations'!I$148*Functional!$G62+'Class Allocations'!I$152*Functional!$I62+'Class Allocations'!I$156*Functional!$H62+'Class Allocations'!I$160*Functional!$J62+'Class Allocations'!I$166*Functional!$K62+'Class Allocations'!I$172*Functional!$L62+'Class Allocations'!I$178*Functional!$M62+'Class Allocations'!I$184*Functional!$N62</f>
        <v>423810.77908080758</v>
      </c>
      <c r="K62" s="4">
        <f>'Class Allocations'!J$144*Functional!$F62+'Class Allocations'!J$148*Functional!$G62+'Class Allocations'!J$152*Functional!$I62+'Class Allocations'!J$156*Functional!$H62+'Class Allocations'!J$160*Functional!$J62+'Class Allocations'!J$166*Functional!$K62+'Class Allocations'!J$172*Functional!$L62+'Class Allocations'!J$178*Functional!$M62+'Class Allocations'!J$184*Functional!$N62</f>
        <v>292590.68639970606</v>
      </c>
      <c r="L62" s="4">
        <f>'Class Allocations'!K$144*Functional!$F62+'Class Allocations'!K$148*Functional!$G62+'Class Allocations'!K$152*Functional!$I62+'Class Allocations'!K$156*Functional!$H62+'Class Allocations'!K$160*Functional!$J62+'Class Allocations'!K$166*Functional!$K62+'Class Allocations'!K$172*Functional!$L62+'Class Allocations'!K$178*Functional!$M62+'Class Allocations'!K$184*Functional!$N62</f>
        <v>4533833.5784403086</v>
      </c>
      <c r="M62" s="4">
        <f>'Class Allocations'!L$144*Functional!$F62+'Class Allocations'!L$148*Functional!$G62+'Class Allocations'!L$152*Functional!$I62+'Class Allocations'!L$156*Functional!$H62+'Class Allocations'!L$160*Functional!$J62+'Class Allocations'!L$166*Functional!$K62+'Class Allocations'!L$172*Functional!$L62+'Class Allocations'!L$178*Functional!$M62+'Class Allocations'!L$184*Functional!$N62</f>
        <v>329164.53427841683</v>
      </c>
      <c r="N62" s="4">
        <f>'Class Allocations'!M$144*Functional!$F62+'Class Allocations'!M$148*Functional!$G62+'Class Allocations'!M$152*Functional!$I62+'Class Allocations'!M$156*Functional!$H62+'Class Allocations'!M$160*Functional!$J62+'Class Allocations'!M$166*Functional!$K62+'Class Allocations'!M$172*Functional!$L62+'Class Allocations'!M$178*Functional!$M62+'Class Allocations'!M$184*Functional!$N62+Functional!$P62</f>
        <v>551079</v>
      </c>
      <c r="O62" s="4">
        <f>'Class Allocations'!N$144*Functional!$F62+'Class Allocations'!N$148*Functional!$G62+'Class Allocations'!N$152*Functional!$I62+'Class Allocations'!N$156*Functional!$H62+'Class Allocations'!N$160*Functional!$J62+'Class Allocations'!N$166*Functional!$K62+'Class Allocations'!N$172*Functional!$L62+'Class Allocations'!N$178*Functional!$M62+'Class Allocations'!N$184*Functional!$N62+Functional!$Q62</f>
        <v>941311</v>
      </c>
      <c r="P62" s="4">
        <f t="shared" si="24"/>
        <v>8380395.5046389736</v>
      </c>
      <c r="R62" s="124">
        <f>SUM(F62:G62,I62:O62)-E62</f>
        <v>0</v>
      </c>
      <c r="S62" s="124">
        <f>E62-H62-P62</f>
        <v>0</v>
      </c>
    </row>
    <row r="63" spans="1:19">
      <c r="A63" s="117">
        <f>IF(ISBLANK(C63),"",MAX($A$38:$A62)+1)</f>
        <v>22</v>
      </c>
      <c r="B63" s="148">
        <f>Functional!$B63</f>
        <v>379</v>
      </c>
      <c r="C63" s="137" t="str">
        <f>Functional!$C63</f>
        <v>Measuring &amp; Regulating Station Equip.- City Gate Check Stn.</v>
      </c>
      <c r="E63" s="135">
        <f>Functional!$E63</f>
        <v>5022045.0347600002</v>
      </c>
      <c r="F63" s="135">
        <f>'Class Allocations'!E$144*Functional!$F63+'Class Allocations'!E$148*Functional!$G63+'Class Allocations'!E$152*Functional!$I63+'Class Allocations'!E$156*Functional!$H63+'Class Allocations'!E$160*Functional!$J63+'Class Allocations'!E$166*Functional!$K63+'Class Allocations'!E$172*Functional!$L63+'Class Allocations'!E$178*Functional!$M63+'Class Allocations'!E$184*Functional!$N63+Functional!$O63</f>
        <v>2115447.6451608711</v>
      </c>
      <c r="G63" s="135">
        <f>'Class Allocations'!F$144*Functional!$F63+'Class Allocations'!F$148*Functional!$G63+'Class Allocations'!F$152*Functional!$I63+'Class Allocations'!F$156*Functional!$H63+'Class Allocations'!F$160*Functional!$J63+'Class Allocations'!F$166*Functional!$K63+'Class Allocations'!F$172*Functional!$L63+'Class Allocations'!F$178*Functional!$M63+'Class Allocations'!F$184*Functional!$N63</f>
        <v>1462063.9983367696</v>
      </c>
      <c r="H63" s="135">
        <f t="shared" si="20"/>
        <v>3577511.6434976407</v>
      </c>
      <c r="I63" s="4">
        <f>'Class Allocations'!H$144*Functional!$F63+'Class Allocations'!H$148*Functional!$G63+'Class Allocations'!H$152*Functional!$I63+'Class Allocations'!H$156*Functional!$H63+'Class Allocations'!H$160*Functional!$J63+'Class Allocations'!H$166*Functional!$K63+'Class Allocations'!H$172*Functional!$L63+'Class Allocations'!H$178*Functional!$M63+'Class Allocations'!H$184*Functional!$N63</f>
        <v>274437.20181014726</v>
      </c>
      <c r="J63" s="4">
        <f>'Class Allocations'!I$144*Functional!$F63+'Class Allocations'!I$148*Functional!$G63+'Class Allocations'!I$152*Functional!$I63+'Class Allocations'!I$156*Functional!$H63+'Class Allocations'!I$160*Functional!$J63+'Class Allocations'!I$166*Functional!$K63+'Class Allocations'!I$172*Functional!$L63+'Class Allocations'!I$178*Functional!$M63+'Class Allocations'!I$184*Functional!$N63</f>
        <v>88880.419962909116</v>
      </c>
      <c r="K63" s="4">
        <f>'Class Allocations'!J$144*Functional!$F63+'Class Allocations'!J$148*Functional!$G63+'Class Allocations'!J$152*Functional!$I63+'Class Allocations'!J$156*Functional!$H63+'Class Allocations'!J$160*Functional!$J63+'Class Allocations'!J$166*Functional!$K63+'Class Allocations'!J$172*Functional!$L63+'Class Allocations'!J$178*Functional!$M63+'Class Allocations'!J$184*Functional!$N63</f>
        <v>61361.306432187892</v>
      </c>
      <c r="L63" s="4">
        <f>'Class Allocations'!K$144*Functional!$F63+'Class Allocations'!K$148*Functional!$G63+'Class Allocations'!K$152*Functional!$I63+'Class Allocations'!K$156*Functional!$H63+'Class Allocations'!K$160*Functional!$J63+'Class Allocations'!K$166*Functional!$K63+'Class Allocations'!K$172*Functional!$L63+'Class Allocations'!K$178*Functional!$M63+'Class Allocations'!K$184*Functional!$N63</f>
        <v>950822.99078778247</v>
      </c>
      <c r="M63" s="4">
        <f>'Class Allocations'!L$144*Functional!$F63+'Class Allocations'!L$148*Functional!$G63+'Class Allocations'!L$152*Functional!$I63+'Class Allocations'!L$156*Functional!$H63+'Class Allocations'!L$160*Functional!$J63+'Class Allocations'!L$166*Functional!$K63+'Class Allocations'!L$172*Functional!$L63+'Class Allocations'!L$178*Functional!$M63+'Class Allocations'!L$184*Functional!$N63</f>
        <v>69031.472269332764</v>
      </c>
      <c r="N63" s="4">
        <f>'Class Allocations'!M$144*Functional!$F63+'Class Allocations'!M$148*Functional!$G63+'Class Allocations'!M$152*Functional!$I63+'Class Allocations'!M$156*Functional!$H63+'Class Allocations'!M$160*Functional!$J63+'Class Allocations'!M$166*Functional!$K63+'Class Allocations'!M$172*Functional!$L63+'Class Allocations'!M$178*Functional!$M63+'Class Allocations'!M$184*Functional!$N63+Functional!$P63</f>
        <v>0</v>
      </c>
      <c r="O63" s="4">
        <f>'Class Allocations'!N$144*Functional!$F63+'Class Allocations'!N$148*Functional!$G63+'Class Allocations'!N$152*Functional!$I63+'Class Allocations'!N$156*Functional!$H63+'Class Allocations'!N$160*Functional!$J63+'Class Allocations'!N$166*Functional!$K63+'Class Allocations'!N$172*Functional!$L63+'Class Allocations'!N$178*Functional!$M63+'Class Allocations'!N$184*Functional!$N63+Functional!$Q63</f>
        <v>0</v>
      </c>
      <c r="P63" s="4">
        <f t="shared" si="24"/>
        <v>1444533.3912623595</v>
      </c>
      <c r="R63" s="124"/>
      <c r="S63" s="124"/>
    </row>
    <row r="64" spans="1:19">
      <c r="A64" s="117">
        <f>IF(ISBLANK(C64),"",MAX($A$38:$A63)+1)</f>
        <v>23</v>
      </c>
      <c r="B64" s="148">
        <f>Functional!$B64</f>
        <v>380</v>
      </c>
      <c r="C64" s="137" t="str">
        <f>Functional!$C64</f>
        <v>Services</v>
      </c>
      <c r="E64" s="135">
        <f>Functional!$E64</f>
        <v>159737814.73044708</v>
      </c>
      <c r="F64" s="135">
        <f>'Class Allocations'!E$144*Functional!$F64+'Class Allocations'!E$148*Functional!$G64+'Class Allocations'!E$152*Functional!$I64+'Class Allocations'!E$156*Functional!$H64+'Class Allocations'!E$160*Functional!$J64+'Class Allocations'!E$166*Functional!$K64+'Class Allocations'!E$172*Functional!$L64+'Class Allocations'!E$178*Functional!$M64+'Class Allocations'!E$184*Functional!$N64+Functional!$O64</f>
        <v>126580087.56977697</v>
      </c>
      <c r="G64" s="135">
        <f>'Class Allocations'!F$144*Functional!$F64+'Class Allocations'!F$148*Functional!$G64+'Class Allocations'!F$152*Functional!$I64+'Class Allocations'!F$156*Functional!$H64+'Class Allocations'!F$160*Functional!$J64+'Class Allocations'!F$166*Functional!$K64+'Class Allocations'!F$172*Functional!$L64+'Class Allocations'!F$178*Functional!$M64+'Class Allocations'!F$184*Functional!$N64</f>
        <v>32074005.402481131</v>
      </c>
      <c r="H64" s="135">
        <f t="shared" si="20"/>
        <v>158654092.97225809</v>
      </c>
      <c r="I64" s="4">
        <f>'Class Allocations'!H$144*Functional!$F64+'Class Allocations'!H$148*Functional!$G64+'Class Allocations'!H$152*Functional!$I64+'Class Allocations'!H$156*Functional!$H64+'Class Allocations'!H$160*Functional!$J64+'Class Allocations'!H$166*Functional!$K64+'Class Allocations'!H$172*Functional!$L64+'Class Allocations'!H$178*Functional!$M64+'Class Allocations'!H$184*Functional!$N64</f>
        <v>0</v>
      </c>
      <c r="J64" s="4">
        <f>'Class Allocations'!I$144*Functional!$F64+'Class Allocations'!I$148*Functional!$G64+'Class Allocations'!I$152*Functional!$I64+'Class Allocations'!I$156*Functional!$H64+'Class Allocations'!I$160*Functional!$J64+'Class Allocations'!I$166*Functional!$K64+'Class Allocations'!I$172*Functional!$L64+'Class Allocations'!I$178*Functional!$M64+'Class Allocations'!I$184*Functional!$N64</f>
        <v>96539.855115052967</v>
      </c>
      <c r="K64" s="4">
        <f>'Class Allocations'!J$144*Functional!$F64+'Class Allocations'!J$148*Functional!$G64+'Class Allocations'!J$152*Functional!$I64+'Class Allocations'!J$156*Functional!$H64+'Class Allocations'!J$160*Functional!$J64+'Class Allocations'!J$166*Functional!$K64+'Class Allocations'!J$172*Functional!$L64+'Class Allocations'!J$178*Functional!$M64+'Class Allocations'!J$184*Functional!$N64</f>
        <v>353484.39257511694</v>
      </c>
      <c r="L64" s="4">
        <f>'Class Allocations'!K$144*Functional!$F64+'Class Allocations'!K$148*Functional!$G64+'Class Allocations'!K$152*Functional!$I64+'Class Allocations'!K$156*Functional!$H64+'Class Allocations'!K$160*Functional!$J64+'Class Allocations'!K$166*Functional!$K64+'Class Allocations'!K$172*Functional!$L64+'Class Allocations'!K$178*Functional!$M64+'Class Allocations'!K$184*Functional!$N64</f>
        <v>633697.51049880916</v>
      </c>
      <c r="M64" s="4">
        <f>'Class Allocations'!L$144*Functional!$F64+'Class Allocations'!L$148*Functional!$G64+'Class Allocations'!L$152*Functional!$I64+'Class Allocations'!L$156*Functional!$H64+'Class Allocations'!L$160*Functional!$J64+'Class Allocations'!L$166*Functional!$K64+'Class Allocations'!L$172*Functional!$L64+'Class Allocations'!L$178*Functional!$M64+'Class Allocations'!L$184*Functional!$N64</f>
        <v>0</v>
      </c>
      <c r="N64" s="4">
        <f>'Class Allocations'!M$144*Functional!$F64+'Class Allocations'!M$148*Functional!$G64+'Class Allocations'!M$152*Functional!$I64+'Class Allocations'!M$156*Functional!$H64+'Class Allocations'!M$160*Functional!$J64+'Class Allocations'!M$166*Functional!$K64+'Class Allocations'!M$172*Functional!$L64+'Class Allocations'!M$178*Functional!$M64+'Class Allocations'!M$184*Functional!$N64+Functional!$P64</f>
        <v>0</v>
      </c>
      <c r="O64" s="4">
        <f>'Class Allocations'!N$144*Functional!$F64+'Class Allocations'!N$148*Functional!$G64+'Class Allocations'!N$152*Functional!$I64+'Class Allocations'!N$156*Functional!$H64+'Class Allocations'!N$160*Functional!$J64+'Class Allocations'!N$166*Functional!$K64+'Class Allocations'!N$172*Functional!$L64+'Class Allocations'!N$178*Functional!$M64+'Class Allocations'!N$184*Functional!$N64+Functional!$Q64</f>
        <v>0</v>
      </c>
      <c r="P64" s="4">
        <f t="shared" si="24"/>
        <v>1083721.758188979</v>
      </c>
      <c r="R64" s="124">
        <f t="shared" ref="R64:R69" si="25">SUM(F64:G64,I64:O64)-E64</f>
        <v>0</v>
      </c>
      <c r="S64" s="124">
        <f t="shared" ref="S64:S69" si="26">E64-H64-P64</f>
        <v>1.3737007975578308E-8</v>
      </c>
    </row>
    <row r="65" spans="1:19">
      <c r="A65" s="117">
        <f>IF(ISBLANK(C65),"",MAX($A$38:$A64)+1)</f>
        <v>24</v>
      </c>
      <c r="B65" s="148">
        <f>Functional!$B65</f>
        <v>381</v>
      </c>
      <c r="C65" s="137" t="str">
        <f>Functional!$C65</f>
        <v>Meters</v>
      </c>
      <c r="E65" s="135">
        <f>Functional!$E65</f>
        <v>46888273.993909426</v>
      </c>
      <c r="F65" s="135">
        <f>'Class Allocations'!E$144*Functional!$F65+'Class Allocations'!E$148*Functional!$G65+'Class Allocations'!E$152*Functional!$I65+'Class Allocations'!E$156*Functional!$H65+'Class Allocations'!E$160*Functional!$J65+'Class Allocations'!E$166*Functional!$K65+'Class Allocations'!E$172*Functional!$L65+'Class Allocations'!E$178*Functional!$M65+'Class Allocations'!E$184*Functional!$N65+Functional!$O65</f>
        <v>28229784.215723027</v>
      </c>
      <c r="G65" s="135">
        <f>'Class Allocations'!F$144*Functional!$F65+'Class Allocations'!F$148*Functional!$G65+'Class Allocations'!F$152*Functional!$I65+'Class Allocations'!F$156*Functional!$H65+'Class Allocations'!F$160*Functional!$J65+'Class Allocations'!F$166*Functional!$K65+'Class Allocations'!F$172*Functional!$L65+'Class Allocations'!F$178*Functional!$M65+'Class Allocations'!F$184*Functional!$N65</f>
        <v>12517955.789507529</v>
      </c>
      <c r="H65" s="135">
        <f t="shared" si="20"/>
        <v>40747740.005230553</v>
      </c>
      <c r="I65" s="4">
        <f>'Class Allocations'!H$144*Functional!$F65+'Class Allocations'!H$148*Functional!$G65+'Class Allocations'!H$152*Functional!$I65+'Class Allocations'!H$156*Functional!$H65+'Class Allocations'!H$160*Functional!$J65+'Class Allocations'!H$166*Functional!$K65+'Class Allocations'!H$172*Functional!$L65+'Class Allocations'!H$178*Functional!$M65+'Class Allocations'!H$184*Functional!$N65</f>
        <v>4879082.926543545</v>
      </c>
      <c r="J65" s="4">
        <f>'Class Allocations'!I$144*Functional!$F65+'Class Allocations'!I$148*Functional!$G65+'Class Allocations'!I$152*Functional!$I65+'Class Allocations'!I$156*Functional!$H65+'Class Allocations'!I$160*Functional!$J65+'Class Allocations'!I$166*Functional!$K65+'Class Allocations'!I$172*Functional!$L65+'Class Allocations'!I$178*Functional!$M65+'Class Allocations'!I$184*Functional!$N65</f>
        <v>86120.947786919322</v>
      </c>
      <c r="K65" s="4">
        <f>'Class Allocations'!J$144*Functional!$F65+'Class Allocations'!J$148*Functional!$G65+'Class Allocations'!J$152*Functional!$I65+'Class Allocations'!J$156*Functional!$H65+'Class Allocations'!J$160*Functional!$J65+'Class Allocations'!J$166*Functional!$K65+'Class Allocations'!J$172*Functional!$L65+'Class Allocations'!J$178*Functional!$M65+'Class Allocations'!J$184*Functional!$N65</f>
        <v>262779.30222162564</v>
      </c>
      <c r="L65" s="4">
        <f>'Class Allocations'!K$144*Functional!$F65+'Class Allocations'!K$148*Functional!$G65+'Class Allocations'!K$152*Functional!$I65+'Class Allocations'!K$156*Functional!$H65+'Class Allocations'!K$160*Functional!$J65+'Class Allocations'!K$166*Functional!$K65+'Class Allocations'!K$172*Functional!$L65+'Class Allocations'!K$178*Functional!$M65+'Class Allocations'!K$184*Functional!$N65</f>
        <v>635970.07596494281</v>
      </c>
      <c r="M65" s="4">
        <f>'Class Allocations'!L$144*Functional!$F65+'Class Allocations'!L$148*Functional!$G65+'Class Allocations'!L$152*Functional!$I65+'Class Allocations'!L$156*Functional!$H65+'Class Allocations'!L$160*Functional!$J65+'Class Allocations'!L$166*Functional!$K65+'Class Allocations'!L$172*Functional!$L65+'Class Allocations'!L$178*Functional!$M65+'Class Allocations'!L$184*Functional!$N65</f>
        <v>74527.743277141723</v>
      </c>
      <c r="N65" s="4">
        <f>'Class Allocations'!M$144*Functional!$F65+'Class Allocations'!M$148*Functional!$G65+'Class Allocations'!M$152*Functional!$I65+'Class Allocations'!M$156*Functional!$H65+'Class Allocations'!M$160*Functional!$J65+'Class Allocations'!M$166*Functional!$K65+'Class Allocations'!M$172*Functional!$L65+'Class Allocations'!M$178*Functional!$M65+'Class Allocations'!M$184*Functional!$N65+Functional!$P65</f>
        <v>198740.64873904461</v>
      </c>
      <c r="O65" s="4">
        <f>'Class Allocations'!N$144*Functional!$F65+'Class Allocations'!N$148*Functional!$G65+'Class Allocations'!N$152*Functional!$I65+'Class Allocations'!N$156*Functional!$H65+'Class Allocations'!N$160*Functional!$J65+'Class Allocations'!N$166*Functional!$K65+'Class Allocations'!N$172*Functional!$L65+'Class Allocations'!N$178*Functional!$M65+'Class Allocations'!N$184*Functional!$N65+Functional!$Q65</f>
        <v>3312.3441456507435</v>
      </c>
      <c r="P65" s="4">
        <f t="shared" si="24"/>
        <v>6140533.9886788707</v>
      </c>
      <c r="R65" s="124">
        <f t="shared" si="25"/>
        <v>0</v>
      </c>
      <c r="S65" s="124">
        <f t="shared" si="26"/>
        <v>0</v>
      </c>
    </row>
    <row r="66" spans="1:19">
      <c r="A66" s="117">
        <f>IF(ISBLANK(C66),"",MAX($A$38:$A65)+1)</f>
        <v>25</v>
      </c>
      <c r="B66" s="148">
        <f>Functional!$B66</f>
        <v>382.01</v>
      </c>
      <c r="C66" s="137" t="str">
        <f>Functional!$C66</f>
        <v>Meter Installations</v>
      </c>
      <c r="E66" s="135">
        <f>Functional!$E66</f>
        <v>12370833.00282</v>
      </c>
      <c r="F66" s="135">
        <f>'Class Allocations'!E$144*Functional!$F66+'Class Allocations'!E$148*Functional!$G66+'Class Allocations'!E$152*Functional!$I66+'Class Allocations'!E$156*Functional!$H66+'Class Allocations'!E$160*Functional!$J66+'Class Allocations'!E$166*Functional!$K66+'Class Allocations'!E$172*Functional!$L66+'Class Allocations'!E$178*Functional!$M66+'Class Allocations'!E$184*Functional!$N66+Functional!$O66</f>
        <v>7448044.3934386745</v>
      </c>
      <c r="G66" s="135">
        <f>'Class Allocations'!F$144*Functional!$F66+'Class Allocations'!F$148*Functional!$G66+'Class Allocations'!F$152*Functional!$I66+'Class Allocations'!F$156*Functional!$H66+'Class Allocations'!F$160*Functional!$J66+'Class Allocations'!F$166*Functional!$K66+'Class Allocations'!F$172*Functional!$L66+'Class Allocations'!F$178*Functional!$M66+'Class Allocations'!F$184*Functional!$N66</f>
        <v>3302692.2814176679</v>
      </c>
      <c r="H66" s="135">
        <f t="shared" si="20"/>
        <v>10750736.674856342</v>
      </c>
      <c r="I66" s="4">
        <f>'Class Allocations'!H$144*Functional!$F66+'Class Allocations'!H$148*Functional!$G66+'Class Allocations'!H$152*Functional!$I66+'Class Allocations'!H$156*Functional!$H66+'Class Allocations'!H$160*Functional!$J66+'Class Allocations'!H$166*Functional!$K66+'Class Allocations'!H$172*Functional!$L66+'Class Allocations'!H$178*Functional!$M66+'Class Allocations'!H$184*Functional!$N66</f>
        <v>1287279.6319826306</v>
      </c>
      <c r="J66" s="4">
        <f>'Class Allocations'!I$144*Functional!$F66+'Class Allocations'!I$148*Functional!$G66+'Class Allocations'!I$152*Functional!$I66+'Class Allocations'!I$156*Functional!$H66+'Class Allocations'!I$160*Functional!$J66+'Class Allocations'!I$166*Functional!$K66+'Class Allocations'!I$172*Functional!$L66+'Class Allocations'!I$178*Functional!$M66+'Class Allocations'!I$184*Functional!$N66</f>
        <v>22721.840075728716</v>
      </c>
      <c r="K66" s="4">
        <f>'Class Allocations'!J$144*Functional!$F66+'Class Allocations'!J$148*Functional!$G66+'Class Allocations'!J$152*Functional!$I66+'Class Allocations'!J$156*Functional!$H66+'Class Allocations'!J$160*Functional!$J66+'Class Allocations'!J$166*Functional!$K66+'Class Allocations'!J$172*Functional!$L66+'Class Allocations'!J$178*Functional!$M66+'Class Allocations'!J$184*Functional!$N66</f>
        <v>69330.742795172235</v>
      </c>
      <c r="L66" s="4">
        <f>'Class Allocations'!K$144*Functional!$F66+'Class Allocations'!K$148*Functional!$G66+'Class Allocations'!K$152*Functional!$I66+'Class Allocations'!K$156*Functional!$H66+'Class Allocations'!K$160*Functional!$J66+'Class Allocations'!K$166*Functional!$K66+'Class Allocations'!K$172*Functional!$L66+'Class Allocations'!K$178*Functional!$M66+'Class Allocations'!K$184*Functional!$N66</f>
        <v>167792.04978999667</v>
      </c>
      <c r="M66" s="4">
        <f>'Class Allocations'!L$144*Functional!$F66+'Class Allocations'!L$148*Functional!$G66+'Class Allocations'!L$152*Functional!$I66+'Class Allocations'!L$156*Functional!$H66+'Class Allocations'!L$160*Functional!$J66+'Class Allocations'!L$166*Functional!$K66+'Class Allocations'!L$172*Functional!$L66+'Class Allocations'!L$178*Functional!$M66+'Class Allocations'!L$184*Functional!$N66</f>
        <v>19663.130834765234</v>
      </c>
      <c r="N66" s="4">
        <f>'Class Allocations'!M$144*Functional!$F66+'Class Allocations'!M$148*Functional!$G66+'Class Allocations'!M$152*Functional!$I66+'Class Allocations'!M$156*Functional!$H66+'Class Allocations'!M$160*Functional!$J66+'Class Allocations'!M$166*Functional!$K66+'Class Allocations'!M$172*Functional!$L66+'Class Allocations'!M$178*Functional!$M66+'Class Allocations'!M$184*Functional!$N66+Functional!$P66</f>
        <v>52435.015559373955</v>
      </c>
      <c r="O66" s="4">
        <f>'Class Allocations'!N$144*Functional!$F66+'Class Allocations'!N$148*Functional!$G66+'Class Allocations'!N$152*Functional!$I66+'Class Allocations'!N$156*Functional!$H66+'Class Allocations'!N$160*Functional!$J66+'Class Allocations'!N$166*Functional!$K66+'Class Allocations'!N$172*Functional!$L66+'Class Allocations'!N$178*Functional!$M66+'Class Allocations'!N$184*Functional!$N66+Functional!$Q66</f>
        <v>873.91692598956604</v>
      </c>
      <c r="P66" s="4">
        <f t="shared" si="24"/>
        <v>1620096.3279636567</v>
      </c>
      <c r="R66" s="124">
        <f t="shared" si="25"/>
        <v>0</v>
      </c>
      <c r="S66" s="124">
        <f t="shared" si="26"/>
        <v>0</v>
      </c>
    </row>
    <row r="67" spans="1:19">
      <c r="A67" s="117">
        <f>IF(ISBLANK(C67),"",MAX($A$38:$A66)+1)</f>
        <v>26</v>
      </c>
      <c r="B67" s="148">
        <f>Functional!$B67</f>
        <v>383</v>
      </c>
      <c r="C67" s="137" t="str">
        <f>Functional!$C67</f>
        <v>House Regulators</v>
      </c>
      <c r="E67" s="135">
        <f>Functional!$E67</f>
        <v>75357179.16018942</v>
      </c>
      <c r="F67" s="135">
        <f>'Class Allocations'!E$144*Functional!$F67+'Class Allocations'!E$148*Functional!$G67+'Class Allocations'!E$152*Functional!$I67+'Class Allocations'!E$156*Functional!$H67+'Class Allocations'!E$160*Functional!$J67+'Class Allocations'!E$166*Functional!$K67+'Class Allocations'!E$172*Functional!$L67+'Class Allocations'!E$178*Functional!$M67+'Class Allocations'!E$184*Functional!$N67+Functional!$O67</f>
        <v>45369912.892806768</v>
      </c>
      <c r="G67" s="135">
        <f>'Class Allocations'!F$144*Functional!$F67+'Class Allocations'!F$148*Functional!$G67+'Class Allocations'!F$152*Functional!$I67+'Class Allocations'!F$156*Functional!$H67+'Class Allocations'!F$160*Functional!$J67+'Class Allocations'!F$166*Functional!$K67+'Class Allocations'!F$172*Functional!$L67+'Class Allocations'!F$178*Functional!$M67+'Class Allocations'!F$184*Functional!$N67</f>
        <v>20118416.755365789</v>
      </c>
      <c r="H67" s="135">
        <f t="shared" si="20"/>
        <v>65488329.648172557</v>
      </c>
      <c r="I67" s="4">
        <f>'Class Allocations'!H$144*Functional!$F67+'Class Allocations'!H$148*Functional!$G67+'Class Allocations'!H$152*Functional!$I67+'Class Allocations'!H$156*Functional!$H67+'Class Allocations'!H$160*Functional!$J67+'Class Allocations'!H$166*Functional!$K67+'Class Allocations'!H$172*Functional!$L67+'Class Allocations'!H$178*Functional!$M67+'Class Allocations'!H$184*Functional!$N67</f>
        <v>7841489.8846718566</v>
      </c>
      <c r="J67" s="4">
        <f>'Class Allocations'!I$144*Functional!$F67+'Class Allocations'!I$148*Functional!$G67+'Class Allocations'!I$152*Functional!$I67+'Class Allocations'!I$156*Functional!$H67+'Class Allocations'!I$160*Functional!$J67+'Class Allocations'!I$166*Functional!$K67+'Class Allocations'!I$172*Functional!$L67+'Class Allocations'!I$178*Functional!$M67+'Class Allocations'!I$184*Functional!$N67</f>
        <v>138410.54786250391</v>
      </c>
      <c r="K67" s="4">
        <f>'Class Allocations'!J$144*Functional!$F67+'Class Allocations'!J$148*Functional!$G67+'Class Allocations'!J$152*Functional!$I67+'Class Allocations'!J$156*Functional!$H67+'Class Allocations'!J$160*Functional!$J67+'Class Allocations'!J$166*Functional!$K67+'Class Allocations'!J$172*Functional!$L67+'Class Allocations'!J$178*Functional!$M67+'Class Allocations'!J$184*Functional!$N67</f>
        <v>422329.62040097348</v>
      </c>
      <c r="L67" s="4">
        <f>'Class Allocations'!K$144*Functional!$F67+'Class Allocations'!K$148*Functional!$G67+'Class Allocations'!K$152*Functional!$I67+'Class Allocations'!K$156*Functional!$H67+'Class Allocations'!K$160*Functional!$J67+'Class Allocations'!K$166*Functional!$K67+'Class Allocations'!K$172*Functional!$L67+'Class Allocations'!K$178*Functional!$M67+'Class Allocations'!K$184*Functional!$N67</f>
        <v>1022108.6611384905</v>
      </c>
      <c r="M67" s="4">
        <f>'Class Allocations'!L$144*Functional!$F67+'Class Allocations'!L$148*Functional!$G67+'Class Allocations'!L$152*Functional!$I67+'Class Allocations'!L$156*Functional!$H67+'Class Allocations'!L$160*Functional!$J67+'Class Allocations'!L$166*Functional!$K67+'Class Allocations'!L$172*Functional!$L67+'Class Allocations'!L$178*Functional!$M67+'Class Allocations'!L$184*Functional!$N67</f>
        <v>119778.35872716685</v>
      </c>
      <c r="N67" s="4">
        <f>'Class Allocations'!M$144*Functional!$F67+'Class Allocations'!M$148*Functional!$G67+'Class Allocations'!M$152*Functional!$I67+'Class Allocations'!M$156*Functional!$H67+'Class Allocations'!M$160*Functional!$J67+'Class Allocations'!M$166*Functional!$K67+'Class Allocations'!M$172*Functional!$L67+'Class Allocations'!M$178*Functional!$M67+'Class Allocations'!M$184*Functional!$N67+Functional!$P67</f>
        <v>319408.95660577825</v>
      </c>
      <c r="O67" s="4">
        <f>'Class Allocations'!N$144*Functional!$F67+'Class Allocations'!N$148*Functional!$G67+'Class Allocations'!N$152*Functional!$I67+'Class Allocations'!N$156*Functional!$H67+'Class Allocations'!N$160*Functional!$J67+'Class Allocations'!N$166*Functional!$K67+'Class Allocations'!N$172*Functional!$L67+'Class Allocations'!N$178*Functional!$M67+'Class Allocations'!N$184*Functional!$N67+Functional!$Q67</f>
        <v>5323.4826100963046</v>
      </c>
      <c r="P67" s="4">
        <f t="shared" si="24"/>
        <v>9868849.5120168664</v>
      </c>
      <c r="R67" s="124">
        <f t="shared" si="25"/>
        <v>0</v>
      </c>
      <c r="S67" s="124">
        <f t="shared" si="26"/>
        <v>0</v>
      </c>
    </row>
    <row r="68" spans="1:19">
      <c r="A68" s="117">
        <f>IF(ISBLANK(C68),"",MAX($A$38:$A67)+1)</f>
        <v>27</v>
      </c>
      <c r="B68" s="148">
        <f>Functional!$B68</f>
        <v>384.01</v>
      </c>
      <c r="C68" s="137" t="str">
        <f>Functional!$C68</f>
        <v>House regulator installations</v>
      </c>
      <c r="E68" s="135">
        <f>Functional!$E68</f>
        <v>1557089.8189999999</v>
      </c>
      <c r="F68" s="135">
        <f>'Class Allocations'!E$144*Functional!$F68+'Class Allocations'!E$148*Functional!$G68+'Class Allocations'!E$152*Functional!$I68+'Class Allocations'!E$156*Functional!$H68+'Class Allocations'!E$160*Functional!$J68+'Class Allocations'!E$166*Functional!$K68+'Class Allocations'!E$172*Functional!$L68+'Class Allocations'!E$178*Functional!$M68+'Class Allocations'!E$184*Functional!$N68+Functional!$O68</f>
        <v>937469.13355307013</v>
      </c>
      <c r="G68" s="135">
        <f>'Class Allocations'!F$144*Functional!$F68+'Class Allocations'!F$148*Functional!$G68+'Class Allocations'!F$152*Functional!$I68+'Class Allocations'!F$156*Functional!$H68+'Class Allocations'!F$160*Functional!$J68+'Class Allocations'!F$166*Functional!$K68+'Class Allocations'!F$172*Functional!$L68+'Class Allocations'!F$178*Functional!$M68+'Class Allocations'!F$184*Functional!$N68</f>
        <v>415702.68756461685</v>
      </c>
      <c r="H68" s="135">
        <f t="shared" si="20"/>
        <v>1353171.821117687</v>
      </c>
      <c r="I68" s="4">
        <f>'Class Allocations'!H$144*Functional!$F68+'Class Allocations'!H$148*Functional!$G68+'Class Allocations'!H$152*Functional!$I68+'Class Allocations'!H$156*Functional!$H68+'Class Allocations'!H$160*Functional!$J68+'Class Allocations'!H$166*Functional!$K68+'Class Allocations'!H$172*Functional!$L68+'Class Allocations'!H$178*Functional!$M68+'Class Allocations'!H$184*Functional!$N68</f>
        <v>162027.08489471197</v>
      </c>
      <c r="J68" s="4">
        <f>'Class Allocations'!I$144*Functional!$F68+'Class Allocations'!I$148*Functional!$G68+'Class Allocations'!I$152*Functional!$I68+'Class Allocations'!I$156*Functional!$H68+'Class Allocations'!I$160*Functional!$J68+'Class Allocations'!I$166*Functional!$K68+'Class Allocations'!I$172*Functional!$L68+'Class Allocations'!I$178*Functional!$M68+'Class Allocations'!I$184*Functional!$N68</f>
        <v>2859.9485453241759</v>
      </c>
      <c r="K68" s="4">
        <f>'Class Allocations'!J$144*Functional!$F68+'Class Allocations'!J$148*Functional!$G68+'Class Allocations'!J$152*Functional!$I68+'Class Allocations'!J$156*Functional!$H68+'Class Allocations'!J$160*Functional!$J68+'Class Allocations'!J$166*Functional!$K68+'Class Allocations'!J$172*Functional!$L68+'Class Allocations'!J$178*Functional!$M68+'Class Allocations'!J$184*Functional!$N68</f>
        <v>8726.5096639378698</v>
      </c>
      <c r="L68" s="4">
        <f>'Class Allocations'!K$144*Functional!$F68+'Class Allocations'!K$148*Functional!$G68+'Class Allocations'!K$152*Functional!$I68+'Class Allocations'!K$156*Functional!$H68+'Class Allocations'!K$160*Functional!$J68+'Class Allocations'!K$166*Functional!$K68+'Class Allocations'!K$172*Functional!$L68+'Class Allocations'!K$178*Functional!$M68+'Class Allocations'!K$184*Functional!$N68</f>
        <v>21119.620027009303</v>
      </c>
      <c r="M68" s="4">
        <f>'Class Allocations'!L$144*Functional!$F68+'Class Allocations'!L$148*Functional!$G68+'Class Allocations'!L$152*Functional!$I68+'Class Allocations'!L$156*Functional!$H68+'Class Allocations'!L$160*Functional!$J68+'Class Allocations'!L$166*Functional!$K68+'Class Allocations'!L$172*Functional!$L68+'Class Allocations'!L$178*Functional!$M68+'Class Allocations'!L$184*Functional!$N68</f>
        <v>2474.9554719151524</v>
      </c>
      <c r="N68" s="4">
        <f>'Class Allocations'!M$144*Functional!$F68+'Class Allocations'!M$148*Functional!$G68+'Class Allocations'!M$152*Functional!$I68+'Class Allocations'!M$156*Functional!$H68+'Class Allocations'!M$160*Functional!$J68+'Class Allocations'!M$166*Functional!$K68+'Class Allocations'!M$172*Functional!$L68+'Class Allocations'!M$178*Functional!$M68+'Class Allocations'!M$184*Functional!$N68+Functional!$P68</f>
        <v>6599.8812584404068</v>
      </c>
      <c r="O68" s="4">
        <f>'Class Allocations'!N$144*Functional!$F68+'Class Allocations'!N$148*Functional!$G68+'Class Allocations'!N$152*Functional!$I68+'Class Allocations'!N$156*Functional!$H68+'Class Allocations'!N$160*Functional!$J68+'Class Allocations'!N$166*Functional!$K68+'Class Allocations'!N$172*Functional!$L68+'Class Allocations'!N$178*Functional!$M68+'Class Allocations'!N$184*Functional!$N68+Functional!$Q68</f>
        <v>109.99802097400678</v>
      </c>
      <c r="P68" s="4">
        <f t="shared" si="24"/>
        <v>203917.99788231292</v>
      </c>
      <c r="R68" s="124">
        <f t="shared" si="25"/>
        <v>0</v>
      </c>
      <c r="S68" s="124">
        <f t="shared" si="26"/>
        <v>0</v>
      </c>
    </row>
    <row r="69" spans="1:19">
      <c r="A69" s="117">
        <f>IF(ISBLANK(C69),"",MAX($A$38:$A68)+1)</f>
        <v>28</v>
      </c>
      <c r="B69" s="148">
        <f>Functional!$B69</f>
        <v>385</v>
      </c>
      <c r="C69" s="137" t="str">
        <f>Functional!$C69</f>
        <v>Industrial Measuring &amp; Regulating Station Equipment</v>
      </c>
      <c r="E69" s="135">
        <f>Functional!$E69</f>
        <v>12527682.052389422</v>
      </c>
      <c r="F69" s="135">
        <f>'Class Allocations'!E$144*Functional!$F69+'Class Allocations'!E$148*Functional!$G69+'Class Allocations'!E$152*Functional!$I69+'Class Allocations'!E$156*Functional!$H69+'Class Allocations'!E$160*Functional!$J69+'Class Allocations'!E$166*Functional!$K69+'Class Allocations'!E$172*Functional!$L69+'Class Allocations'!E$178*Functional!$M69+'Class Allocations'!E$184*Functional!$N69+Functional!$O69</f>
        <v>7542477.7015267732</v>
      </c>
      <c r="G69" s="135">
        <f>'Class Allocations'!F$144*Functional!$F69+'Class Allocations'!F$148*Functional!$G69+'Class Allocations'!F$152*Functional!$I69+'Class Allocations'!F$156*Functional!$H69+'Class Allocations'!F$160*Functional!$J69+'Class Allocations'!F$166*Functional!$K69+'Class Allocations'!F$172*Functional!$L69+'Class Allocations'!F$178*Functional!$M69+'Class Allocations'!F$184*Functional!$N69</f>
        <v>3344566.9187393864</v>
      </c>
      <c r="H69" s="135">
        <f t="shared" si="20"/>
        <v>10887044.62026616</v>
      </c>
      <c r="I69" s="4">
        <f>'Class Allocations'!H$144*Functional!$F69+'Class Allocations'!H$148*Functional!$G69+'Class Allocations'!H$152*Functional!$I69+'Class Allocations'!H$156*Functional!$H69+'Class Allocations'!H$160*Functional!$J69+'Class Allocations'!H$166*Functional!$K69+'Class Allocations'!H$172*Functional!$L69+'Class Allocations'!H$178*Functional!$M69+'Class Allocations'!H$184*Functional!$N69</f>
        <v>1303600.9732181421</v>
      </c>
      <c r="J69" s="4">
        <f>'Class Allocations'!I$144*Functional!$F69+'Class Allocations'!I$148*Functional!$G69+'Class Allocations'!I$152*Functional!$I69+'Class Allocations'!I$156*Functional!$H69+'Class Allocations'!I$160*Functional!$J69+'Class Allocations'!I$166*Functional!$K69+'Class Allocations'!I$172*Functional!$L69+'Class Allocations'!I$178*Functional!$M69+'Class Allocations'!I$184*Functional!$N69</f>
        <v>23009.928923062929</v>
      </c>
      <c r="K69" s="4">
        <f>'Class Allocations'!J$144*Functional!$F69+'Class Allocations'!J$148*Functional!$G69+'Class Allocations'!J$152*Functional!$I69+'Class Allocations'!J$156*Functional!$H69+'Class Allocations'!J$160*Functional!$J69+'Class Allocations'!J$166*Functional!$K69+'Class Allocations'!J$172*Functional!$L69+'Class Allocations'!J$178*Functional!$M69+'Class Allocations'!J$184*Functional!$N69</f>
        <v>70209.783124217647</v>
      </c>
      <c r="L69" s="4">
        <f>'Class Allocations'!K$144*Functional!$F69+'Class Allocations'!K$148*Functional!$G69+'Class Allocations'!K$152*Functional!$I69+'Class Allocations'!K$156*Functional!$H69+'Class Allocations'!K$160*Functional!$J69+'Class Allocations'!K$166*Functional!$K69+'Class Allocations'!K$172*Functional!$L69+'Class Allocations'!K$178*Functional!$M69+'Class Allocations'!K$184*Functional!$N69</f>
        <v>169919.475124157</v>
      </c>
      <c r="M69" s="4">
        <f>'Class Allocations'!L$144*Functional!$F69+'Class Allocations'!L$148*Functional!$G69+'Class Allocations'!L$152*Functional!$I69+'Class Allocations'!L$156*Functional!$H69+'Class Allocations'!L$160*Functional!$J69+'Class Allocations'!L$166*Functional!$K69+'Class Allocations'!L$172*Functional!$L69+'Class Allocations'!L$178*Functional!$M69+'Class Allocations'!L$184*Functional!$N69</f>
        <v>19912.438491112149</v>
      </c>
      <c r="N69" s="4">
        <f>'Class Allocations'!M$144*Functional!$F69+'Class Allocations'!M$148*Functional!$G69+'Class Allocations'!M$152*Functional!$I69+'Class Allocations'!M$156*Functional!$H69+'Class Allocations'!M$160*Functional!$J69+'Class Allocations'!M$166*Functional!$K69+'Class Allocations'!M$172*Functional!$L69+'Class Allocations'!M$178*Functional!$M69+'Class Allocations'!M$184*Functional!$N69+Functional!$P69</f>
        <v>53099.835976299066</v>
      </c>
      <c r="O69" s="4">
        <f>'Class Allocations'!N$144*Functional!$F69+'Class Allocations'!N$148*Functional!$G69+'Class Allocations'!N$152*Functional!$I69+'Class Allocations'!N$156*Functional!$H69+'Class Allocations'!N$160*Functional!$J69+'Class Allocations'!N$166*Functional!$K69+'Class Allocations'!N$172*Functional!$L69+'Class Allocations'!N$178*Functional!$M69+'Class Allocations'!N$184*Functional!$N69+Functional!$Q69</f>
        <v>884.99726627165114</v>
      </c>
      <c r="P69" s="4">
        <f t="shared" si="24"/>
        <v>1640637.4321232627</v>
      </c>
      <c r="R69" s="124">
        <f t="shared" si="25"/>
        <v>0</v>
      </c>
      <c r="S69" s="124">
        <f t="shared" si="26"/>
        <v>0</v>
      </c>
    </row>
    <row r="70" spans="1:19">
      <c r="A70" s="117">
        <f>IF(ISBLANK(C70),"",MAX($A$38:$A69)+1)</f>
        <v>29</v>
      </c>
      <c r="B70" s="148">
        <f>Functional!$B70</f>
        <v>386</v>
      </c>
      <c r="C70" s="137" t="str">
        <f>Functional!$C70</f>
        <v>Other Property on Customers' Premises</v>
      </c>
      <c r="E70" s="135">
        <f>Functional!$E70</f>
        <v>35278.870000000003</v>
      </c>
      <c r="F70" s="135">
        <f>'Class Allocations'!E$144*Functional!$F70+'Class Allocations'!E$148*Functional!$G70+'Class Allocations'!E$152*Functional!$I70+'Class Allocations'!E$156*Functional!$H70+'Class Allocations'!E$160*Functional!$J70+'Class Allocations'!E$166*Functional!$K70+'Class Allocations'!E$172*Functional!$L70+'Class Allocations'!E$178*Functional!$M70+'Class Allocations'!E$184*Functional!$N70+Functional!$O70</f>
        <v>27955.825372334988</v>
      </c>
      <c r="G70" s="135">
        <f>'Class Allocations'!F$144*Functional!$F70+'Class Allocations'!F$148*Functional!$G70+'Class Allocations'!F$152*Functional!$I70+'Class Allocations'!F$156*Functional!$H70+'Class Allocations'!F$160*Functional!$J70+'Class Allocations'!F$166*Functional!$K70+'Class Allocations'!F$172*Functional!$L70+'Class Allocations'!F$178*Functional!$M70+'Class Allocations'!F$184*Functional!$N70</f>
        <v>7083.6994288601072</v>
      </c>
      <c r="H70" s="135">
        <f t="shared" si="20"/>
        <v>35039.524801195097</v>
      </c>
      <c r="I70" s="4">
        <f>'Class Allocations'!H$144*Functional!$F70+'Class Allocations'!H$148*Functional!$G70+'Class Allocations'!H$152*Functional!$I70+'Class Allocations'!H$156*Functional!$H70+'Class Allocations'!H$160*Functional!$J70+'Class Allocations'!H$166*Functional!$K70+'Class Allocations'!H$172*Functional!$L70+'Class Allocations'!H$178*Functional!$M70+'Class Allocations'!H$184*Functional!$N70</f>
        <v>0</v>
      </c>
      <c r="J70" s="4">
        <f>'Class Allocations'!I$144*Functional!$F70+'Class Allocations'!I$148*Functional!$G70+'Class Allocations'!I$152*Functional!$I70+'Class Allocations'!I$156*Functional!$H70+'Class Allocations'!I$160*Functional!$J70+'Class Allocations'!I$166*Functional!$K70+'Class Allocations'!I$172*Functional!$L70+'Class Allocations'!I$178*Functional!$M70+'Class Allocations'!I$184*Functional!$N70</f>
        <v>21.321294548632746</v>
      </c>
      <c r="K70" s="4">
        <f>'Class Allocations'!J$144*Functional!$F70+'Class Allocations'!J$148*Functional!$G70+'Class Allocations'!J$152*Functional!$I70+'Class Allocations'!J$156*Functional!$H70+'Class Allocations'!J$160*Functional!$J70+'Class Allocations'!J$166*Functional!$K70+'Class Allocations'!J$172*Functional!$L70+'Class Allocations'!J$178*Functional!$M70+'Class Allocations'!J$184*Functional!$N70</f>
        <v>78.068740039609125</v>
      </c>
      <c r="L70" s="4">
        <f>'Class Allocations'!K$144*Functional!$F70+'Class Allocations'!K$148*Functional!$G70+'Class Allocations'!K$152*Functional!$I70+'Class Allocations'!K$156*Functional!$H70+'Class Allocations'!K$160*Functional!$J70+'Class Allocations'!K$166*Functional!$K70+'Class Allocations'!K$172*Functional!$L70+'Class Allocations'!K$178*Functional!$M70+'Class Allocations'!K$184*Functional!$N70</f>
        <v>139.95516421666622</v>
      </c>
      <c r="M70" s="4">
        <f>'Class Allocations'!L$144*Functional!$F70+'Class Allocations'!L$148*Functional!$G70+'Class Allocations'!L$152*Functional!$I70+'Class Allocations'!L$156*Functional!$H70+'Class Allocations'!L$160*Functional!$J70+'Class Allocations'!L$166*Functional!$K70+'Class Allocations'!L$172*Functional!$L70+'Class Allocations'!L$178*Functional!$M70+'Class Allocations'!L$184*Functional!$N70</f>
        <v>0</v>
      </c>
      <c r="N70" s="4">
        <f>'Class Allocations'!M$144*Functional!$F70+'Class Allocations'!M$148*Functional!$G70+'Class Allocations'!M$152*Functional!$I70+'Class Allocations'!M$156*Functional!$H70+'Class Allocations'!M$160*Functional!$J70+'Class Allocations'!M$166*Functional!$K70+'Class Allocations'!M$172*Functional!$L70+'Class Allocations'!M$178*Functional!$M70+'Class Allocations'!M$184*Functional!$N70+Functional!$P70</f>
        <v>0</v>
      </c>
      <c r="O70" s="4">
        <f>'Class Allocations'!N$144*Functional!$F70+'Class Allocations'!N$148*Functional!$G70+'Class Allocations'!N$152*Functional!$I70+'Class Allocations'!N$156*Functional!$H70+'Class Allocations'!N$160*Functional!$J70+'Class Allocations'!N$166*Functional!$K70+'Class Allocations'!N$172*Functional!$L70+'Class Allocations'!N$178*Functional!$M70+'Class Allocations'!N$184*Functional!$N70+Functional!$Q70</f>
        <v>0</v>
      </c>
      <c r="P70" s="4">
        <f t="shared" si="24"/>
        <v>239.34519880490808</v>
      </c>
      <c r="R70" s="124">
        <f t="shared" ref="R70" si="27">SUM(F70:G70,I70:O70)-E70</f>
        <v>0</v>
      </c>
      <c r="S70" s="124">
        <f t="shared" ref="S70" si="28">E70-H70-P70</f>
        <v>-2.5579538487363607E-12</v>
      </c>
    </row>
    <row r="71" spans="1:19">
      <c r="A71" s="117">
        <f>IF(ISBLANK(C71),"",MAX($A$38:$A70)+1)</f>
        <v>30</v>
      </c>
      <c r="B71" s="148">
        <f>Functional!$B71</f>
        <v>387</v>
      </c>
      <c r="C71" s="137" t="str">
        <f>Functional!$C71</f>
        <v>Other Equipment</v>
      </c>
      <c r="E71" s="298">
        <f>Functional!$E71</f>
        <v>407724.66000000003</v>
      </c>
      <c r="F71" s="298">
        <f>'Class Allocations'!E$144*Functional!$F71+'Class Allocations'!E$148*Functional!$G71+'Class Allocations'!E$152*Functional!$I71+'Class Allocations'!E$156*Functional!$H71+'Class Allocations'!E$160*Functional!$J71+'Class Allocations'!E$166*Functional!$K71+'Class Allocations'!E$172*Functional!$L71+'Class Allocations'!E$178*Functional!$M71+'Class Allocations'!E$184*Functional!$N71+Functional!$O71</f>
        <v>248693.07223427767</v>
      </c>
      <c r="G71" s="298">
        <f>'Class Allocations'!F$144*Functional!$F71+'Class Allocations'!F$148*Functional!$G71+'Class Allocations'!F$152*Functional!$I71+'Class Allocations'!F$156*Functional!$H71+'Class Allocations'!F$160*Functional!$J71+'Class Allocations'!F$166*Functional!$K71+'Class Allocations'!F$172*Functional!$L71+'Class Allocations'!F$178*Functional!$M71+'Class Allocations'!F$184*Functional!$N71</f>
        <v>102373.91387369198</v>
      </c>
      <c r="H71" s="298">
        <f t="shared" si="20"/>
        <v>351066.98610796966</v>
      </c>
      <c r="I71" s="5">
        <f>'Class Allocations'!H$144*Functional!$F71+'Class Allocations'!H$148*Functional!$G71+'Class Allocations'!H$152*Functional!$I71+'Class Allocations'!H$156*Functional!$H71+'Class Allocations'!H$160*Functional!$J71+'Class Allocations'!H$166*Functional!$K71+'Class Allocations'!H$172*Functional!$L71+'Class Allocations'!H$178*Functional!$M71+'Class Allocations'!H$184*Functional!$N71</f>
        <v>20164.267677144751</v>
      </c>
      <c r="J71" s="5">
        <f>'Class Allocations'!I$144*Functional!$F71+'Class Allocations'!I$148*Functional!$G71+'Class Allocations'!I$152*Functional!$I71+'Class Allocations'!I$156*Functional!$H71+'Class Allocations'!I$160*Functional!$J71+'Class Allocations'!I$166*Functional!$K71+'Class Allocations'!I$172*Functional!$L71+'Class Allocations'!I$178*Functional!$M71+'Class Allocations'!I$184*Functional!$N71</f>
        <v>2932.8383134040714</v>
      </c>
      <c r="K71" s="5">
        <f>'Class Allocations'!J$144*Functional!$F71+'Class Allocations'!J$148*Functional!$G71+'Class Allocations'!J$152*Functional!$I71+'Class Allocations'!J$156*Functional!$H71+'Class Allocations'!J$160*Functional!$J71+'Class Allocations'!J$166*Functional!$K71+'Class Allocations'!J$172*Functional!$L71+'Class Allocations'!J$178*Functional!$M71+'Class Allocations'!J$184*Functional!$N71</f>
        <v>1916.9482869998094</v>
      </c>
      <c r="L71" s="5">
        <f>'Class Allocations'!K$144*Functional!$F71+'Class Allocations'!K$148*Functional!$G71+'Class Allocations'!K$152*Functional!$I71+'Class Allocations'!K$156*Functional!$H71+'Class Allocations'!K$160*Functional!$J71+'Class Allocations'!K$166*Functional!$K71+'Class Allocations'!K$172*Functional!$L71+'Class Allocations'!K$178*Functional!$M71+'Class Allocations'!K$184*Functional!$N71</f>
        <v>31643.619614481726</v>
      </c>
      <c r="M71" s="5">
        <f>'Class Allocations'!L$144*Functional!$F71+'Class Allocations'!L$148*Functional!$G71+'Class Allocations'!L$152*Functional!$I71+'Class Allocations'!L$156*Functional!$H71+'Class Allocations'!L$160*Functional!$J71+'Class Allocations'!L$166*Functional!$K71+'Class Allocations'!L$172*Functional!$L71+'Class Allocations'!L$178*Functional!$M71+'Class Allocations'!L$184*Functional!$N71</f>
        <v>0</v>
      </c>
      <c r="N71" s="5">
        <f>'Class Allocations'!M$144*Functional!$F71+'Class Allocations'!M$148*Functional!$G71+'Class Allocations'!M$152*Functional!$I71+'Class Allocations'!M$156*Functional!$H71+'Class Allocations'!M$160*Functional!$J71+'Class Allocations'!M$166*Functional!$K71+'Class Allocations'!M$172*Functional!$L71+'Class Allocations'!M$178*Functional!$M71+'Class Allocations'!M$184*Functional!$N71+Functional!$P71</f>
        <v>0</v>
      </c>
      <c r="O71" s="5">
        <f>'Class Allocations'!N$144*Functional!$F71+'Class Allocations'!N$148*Functional!$G71+'Class Allocations'!N$152*Functional!$I71+'Class Allocations'!N$156*Functional!$H71+'Class Allocations'!N$160*Functional!$J71+'Class Allocations'!N$166*Functional!$K71+'Class Allocations'!N$172*Functional!$L71+'Class Allocations'!N$178*Functional!$M71+'Class Allocations'!N$184*Functional!$N71+Functional!$Q71</f>
        <v>0</v>
      </c>
      <c r="P71" s="5">
        <f t="shared" si="24"/>
        <v>56657.673892030361</v>
      </c>
      <c r="R71" s="124">
        <f>SUM(F71:G71,I71:O71)-E71</f>
        <v>0</v>
      </c>
      <c r="S71" s="124">
        <f>E71-H71-P71</f>
        <v>0</v>
      </c>
    </row>
    <row r="72" spans="1:19">
      <c r="A72" s="117">
        <f>IF(ISBLANK(C72),"",MAX($A$38:$A71)+1)</f>
        <v>31</v>
      </c>
      <c r="B72" s="138"/>
      <c r="C72" s="149" t="str">
        <f>Functional!$C72</f>
        <v>Total Distribution Plant</v>
      </c>
      <c r="E72" s="135">
        <f t="shared" ref="E72:P72" si="29">SUM(E56:E71)</f>
        <v>796481697.94294238</v>
      </c>
      <c r="F72" s="135">
        <f t="shared" si="29"/>
        <v>490649935.67190862</v>
      </c>
      <c r="G72" s="135">
        <f t="shared" si="29"/>
        <v>195668050.17408451</v>
      </c>
      <c r="H72" s="135">
        <f t="shared" si="29"/>
        <v>686317985.84599316</v>
      </c>
      <c r="I72" s="4">
        <f t="shared" si="29"/>
        <v>39563855.322859854</v>
      </c>
      <c r="J72" s="4">
        <f t="shared" si="29"/>
        <v>4771939.7681984622</v>
      </c>
      <c r="K72" s="4">
        <f t="shared" si="29"/>
        <v>4118869.340564142</v>
      </c>
      <c r="L72" s="4">
        <f t="shared" si="29"/>
        <v>50013104.545872234</v>
      </c>
      <c r="M72" s="4">
        <f t="shared" si="29"/>
        <v>6881381.0423466805</v>
      </c>
      <c r="N72" s="4">
        <f t="shared" si="29"/>
        <v>1809625.3381389363</v>
      </c>
      <c r="O72" s="4">
        <f t="shared" si="29"/>
        <v>3004936.7389689824</v>
      </c>
      <c r="P72" s="4">
        <f t="shared" si="29"/>
        <v>110163712.09694928</v>
      </c>
      <c r="R72" s="124">
        <f>SUM(F72:G72,I72:O72)-E72</f>
        <v>0</v>
      </c>
      <c r="S72" s="124">
        <f>E72-H72-P72</f>
        <v>0</v>
      </c>
    </row>
    <row r="73" spans="1:19">
      <c r="A73" s="117" t="str">
        <f>IF(ISBLANK(C73),"",MAX($A$38:$A72)+1)</f>
        <v/>
      </c>
      <c r="B73" s="138"/>
      <c r="C73" s="138"/>
      <c r="E73" s="491"/>
      <c r="F73" s="491"/>
      <c r="G73" s="135"/>
      <c r="H73" s="135"/>
      <c r="I73" s="4"/>
      <c r="J73" s="4"/>
      <c r="K73" s="4"/>
      <c r="L73" s="4"/>
      <c r="M73" s="4"/>
      <c r="N73" s="4"/>
      <c r="O73" s="4"/>
      <c r="P73" s="4"/>
      <c r="R73" s="124"/>
      <c r="S73" s="124"/>
    </row>
    <row r="74" spans="1:19">
      <c r="A74" s="117">
        <f>IF(ISBLANK(C74),"",MAX($A$38:$A73)+1)</f>
        <v>32</v>
      </c>
      <c r="B74" s="138"/>
      <c r="C74" s="138" t="str">
        <f>Functional!$C74</f>
        <v>General Plant</v>
      </c>
      <c r="E74" s="135"/>
      <c r="F74" s="135"/>
      <c r="G74" s="135"/>
      <c r="H74" s="135"/>
      <c r="I74" s="4"/>
      <c r="J74" s="4"/>
      <c r="K74" s="4"/>
      <c r="L74" s="4"/>
      <c r="M74" s="4"/>
      <c r="N74" s="4"/>
      <c r="O74" s="4"/>
      <c r="P74" s="4"/>
      <c r="R74" s="124"/>
      <c r="S74" s="124"/>
    </row>
    <row r="75" spans="1:19">
      <c r="A75" s="117">
        <f>IF(ISBLANK(C75),"",MAX($A$38:$A74)+1)</f>
        <v>33</v>
      </c>
      <c r="B75" s="148">
        <v>389.01</v>
      </c>
      <c r="C75" s="137" t="s">
        <v>247</v>
      </c>
      <c r="E75" s="135">
        <f>Functional!$E75</f>
        <v>6105836.9821000006</v>
      </c>
      <c r="F75" s="135">
        <f>'Class Allocations'!E$144*Functional!$F75+'Class Allocations'!E$148*Functional!$G75+'Class Allocations'!E$152*Functional!$I75+'Class Allocations'!E$156*Functional!$H75+'Class Allocations'!E$160*Functional!$J75+'Class Allocations'!E$166*Functional!$K75+'Class Allocations'!E$172*Functional!$L75+'Class Allocations'!E$178*Functional!$M75+'Class Allocations'!E$184*Functional!$N75+Functional!$O75</f>
        <v>3945364.1066996702</v>
      </c>
      <c r="G75" s="135">
        <f>'Class Allocations'!F$144*Functional!$F75+'Class Allocations'!F$148*Functional!$G75+'Class Allocations'!F$152*Functional!$I75+'Class Allocations'!F$156*Functional!$H75+'Class Allocations'!F$160*Functional!$J75+'Class Allocations'!F$166*Functional!$K75+'Class Allocations'!F$172*Functional!$L75+'Class Allocations'!F$178*Functional!$M75+'Class Allocations'!F$184*Functional!$N75</f>
        <v>1378580.6155092111</v>
      </c>
      <c r="H75" s="135">
        <f t="shared" ref="H75:H97" si="30">SUM(F75:G75)</f>
        <v>5323944.7222088818</v>
      </c>
      <c r="I75" s="4">
        <f>'Class Allocations'!H$144*Functional!$F75+'Class Allocations'!H$148*Functional!$G75+'Class Allocations'!H$152*Functional!$I75+'Class Allocations'!H$156*Functional!$H75+'Class Allocations'!H$160*Functional!$J75+'Class Allocations'!H$166*Functional!$K75+'Class Allocations'!H$172*Functional!$L75+'Class Allocations'!H$178*Functional!$M75+'Class Allocations'!H$184*Functional!$N75</f>
        <v>288062.95194409386</v>
      </c>
      <c r="J75" s="4">
        <f>'Class Allocations'!I$144*Functional!$F75+'Class Allocations'!I$148*Functional!$G75+'Class Allocations'!I$152*Functional!$I75+'Class Allocations'!I$156*Functional!$H75+'Class Allocations'!I$160*Functional!$J75+'Class Allocations'!I$166*Functional!$K75+'Class Allocations'!I$172*Functional!$L75+'Class Allocations'!I$178*Functional!$M75+'Class Allocations'!I$184*Functional!$N75</f>
        <v>31794.500653988453</v>
      </c>
      <c r="K75" s="4">
        <f>'Class Allocations'!J$144*Functional!$F75+'Class Allocations'!J$148*Functional!$G75+'Class Allocations'!J$152*Functional!$I75+'Class Allocations'!J$156*Functional!$H75+'Class Allocations'!J$160*Functional!$J75+'Class Allocations'!J$166*Functional!$K75+'Class Allocations'!J$172*Functional!$L75+'Class Allocations'!J$178*Functional!$M75+'Class Allocations'!J$184*Functional!$N75</f>
        <v>31551.024837606594</v>
      </c>
      <c r="L75" s="4">
        <f>'Class Allocations'!K$144*Functional!$F75+'Class Allocations'!K$148*Functional!$G75+'Class Allocations'!K$152*Functional!$I75+'Class Allocations'!K$156*Functional!$H75+'Class Allocations'!K$160*Functional!$J75+'Class Allocations'!K$166*Functional!$K75+'Class Allocations'!K$172*Functional!$L75+'Class Allocations'!K$178*Functional!$M75+'Class Allocations'!K$184*Functional!$N75</f>
        <v>329818.85102534888</v>
      </c>
      <c r="M75" s="4">
        <f>'Class Allocations'!L$144*Functional!$F75+'Class Allocations'!L$148*Functional!$G75+'Class Allocations'!L$152*Functional!$I75+'Class Allocations'!L$156*Functional!$H75+'Class Allocations'!L$160*Functional!$J75+'Class Allocations'!L$166*Functional!$K75+'Class Allocations'!L$172*Functional!$L75+'Class Allocations'!L$178*Functional!$M75+'Class Allocations'!L$184*Functional!$N75</f>
        <v>45794.871028515343</v>
      </c>
      <c r="N75" s="4">
        <f>'Class Allocations'!M$144*Functional!$F75+'Class Allocations'!M$148*Functional!$G75+'Class Allocations'!M$152*Functional!$I75+'Class Allocations'!M$156*Functional!$H75+'Class Allocations'!M$160*Functional!$J75+'Class Allocations'!M$166*Functional!$K75+'Class Allocations'!M$172*Functional!$L75+'Class Allocations'!M$178*Functional!$M75+'Class Allocations'!M$184*Functional!$N75+Functional!$P75</f>
        <v>27564.24443990807</v>
      </c>
      <c r="O75" s="4">
        <f>'Class Allocations'!N$144*Functional!$F75+'Class Allocations'!N$148*Functional!$G75+'Class Allocations'!N$152*Functional!$I75+'Class Allocations'!N$156*Functional!$H75+'Class Allocations'!N$160*Functional!$J75+'Class Allocations'!N$166*Functional!$K75+'Class Allocations'!N$172*Functional!$L75+'Class Allocations'!N$178*Functional!$M75+'Class Allocations'!N$184*Functional!$N75+Functional!$Q75</f>
        <v>27305.815961658609</v>
      </c>
      <c r="P75" s="4">
        <f t="shared" ref="P75" si="31">SUM(I75:O75)</f>
        <v>781892.25989111979</v>
      </c>
      <c r="R75" s="124">
        <f t="shared" ref="R75:R98" si="32">SUM(F75:G75,I75:O75)-E75</f>
        <v>0</v>
      </c>
      <c r="S75" s="124">
        <f t="shared" ref="S75:S98" si="33">E75-H75-P75</f>
        <v>-9.3132257461547852E-10</v>
      </c>
    </row>
    <row r="76" spans="1:19">
      <c r="A76" s="117">
        <f>IF(ISBLANK(C76),"",MAX($A$38:$A75)+1)</f>
        <v>34</v>
      </c>
      <c r="B76" s="148">
        <v>389.02</v>
      </c>
      <c r="C76" s="137" t="s">
        <v>253</v>
      </c>
      <c r="E76" s="135">
        <f>Functional!$E76</f>
        <v>1428870.5133</v>
      </c>
      <c r="F76" s="135">
        <f>'Class Allocations'!E$144*Functional!$F76+'Class Allocations'!E$148*Functional!$G76+'Class Allocations'!E$152*Functional!$I76+'Class Allocations'!E$156*Functional!$H76+'Class Allocations'!E$160*Functional!$J76+'Class Allocations'!E$166*Functional!$K76+'Class Allocations'!E$172*Functional!$L76+'Class Allocations'!E$178*Functional!$M76+'Class Allocations'!E$184*Functional!$N76+Functional!$O76</f>
        <v>923282.82802539854</v>
      </c>
      <c r="G76" s="135">
        <f>'Class Allocations'!F$144*Functional!$F76+'Class Allocations'!F$148*Functional!$G76+'Class Allocations'!F$152*Functional!$I76+'Class Allocations'!F$156*Functional!$H76+'Class Allocations'!F$160*Functional!$J76+'Class Allocations'!F$166*Functional!$K76+'Class Allocations'!F$172*Functional!$L76+'Class Allocations'!F$178*Functional!$M76+'Class Allocations'!F$184*Functional!$N76</f>
        <v>322611.49412976822</v>
      </c>
      <c r="H76" s="135">
        <f t="shared" si="30"/>
        <v>1245894.3221551669</v>
      </c>
      <c r="I76" s="4">
        <f>'Class Allocations'!H$144*Functional!$F76+'Class Allocations'!H$148*Functional!$G76+'Class Allocations'!H$152*Functional!$I76+'Class Allocations'!H$156*Functional!$H76+'Class Allocations'!H$160*Functional!$J76+'Class Allocations'!H$166*Functional!$K76+'Class Allocations'!H$172*Functional!$L76+'Class Allocations'!H$178*Functional!$M76+'Class Allocations'!H$184*Functional!$N76</f>
        <v>67411.668410692815</v>
      </c>
      <c r="J76" s="4">
        <f>'Class Allocations'!I$144*Functional!$F76+'Class Allocations'!I$148*Functional!$G76+'Class Allocations'!I$152*Functional!$I76+'Class Allocations'!I$156*Functional!$H76+'Class Allocations'!I$160*Functional!$J76+'Class Allocations'!I$166*Functional!$K76+'Class Allocations'!I$172*Functional!$L76+'Class Allocations'!I$178*Functional!$M76+'Class Allocations'!I$184*Functional!$N76</f>
        <v>7440.4581391160382</v>
      </c>
      <c r="K76" s="4">
        <f>'Class Allocations'!J$144*Functional!$F76+'Class Allocations'!J$148*Functional!$G76+'Class Allocations'!J$152*Functional!$I76+'Class Allocations'!J$156*Functional!$H76+'Class Allocations'!J$160*Functional!$J76+'Class Allocations'!J$166*Functional!$K76+'Class Allocations'!J$172*Functional!$L76+'Class Allocations'!J$178*Functional!$M76+'Class Allocations'!J$184*Functional!$N76</f>
        <v>7383.4806246901562</v>
      </c>
      <c r="L76" s="4">
        <f>'Class Allocations'!K$144*Functional!$F76+'Class Allocations'!K$148*Functional!$G76+'Class Allocations'!K$152*Functional!$I76+'Class Allocations'!K$156*Functional!$H76+'Class Allocations'!K$160*Functional!$J76+'Class Allocations'!K$166*Functional!$K76+'Class Allocations'!K$172*Functional!$L76+'Class Allocations'!K$178*Functional!$M76+'Class Allocations'!K$184*Functional!$N76</f>
        <v>77183.264529037871</v>
      </c>
      <c r="M76" s="4">
        <f>'Class Allocations'!L$144*Functional!$F76+'Class Allocations'!L$148*Functional!$G76+'Class Allocations'!L$152*Functional!$I76+'Class Allocations'!L$156*Functional!$H76+'Class Allocations'!L$160*Functional!$J76+'Class Allocations'!L$166*Functional!$K76+'Class Allocations'!L$172*Functional!$L76+'Class Allocations'!L$178*Functional!$M76+'Class Allocations'!L$184*Functional!$N76</f>
        <v>10716.784785583446</v>
      </c>
      <c r="N76" s="4">
        <f>'Class Allocations'!M$144*Functional!$F76+'Class Allocations'!M$148*Functional!$G76+'Class Allocations'!M$152*Functional!$I76+'Class Allocations'!M$156*Functional!$H76+'Class Allocations'!M$160*Functional!$J76+'Class Allocations'!M$166*Functional!$K76+'Class Allocations'!M$172*Functional!$L76+'Class Allocations'!M$178*Functional!$M76+'Class Allocations'!M$184*Functional!$N76+Functional!$P76</f>
        <v>6450.5056746588816</v>
      </c>
      <c r="O76" s="4">
        <f>'Class Allocations'!N$144*Functional!$F76+'Class Allocations'!N$148*Functional!$G76+'Class Allocations'!N$152*Functional!$I76+'Class Allocations'!N$156*Functional!$H76+'Class Allocations'!N$160*Functional!$J76+'Class Allocations'!N$166*Functional!$K76+'Class Allocations'!N$172*Functional!$L76+'Class Allocations'!N$178*Functional!$M76+'Class Allocations'!N$184*Functional!$N76+Functional!$Q76</f>
        <v>6390.0289810540289</v>
      </c>
      <c r="P76" s="4">
        <f t="shared" ref="P76:P97" si="34">SUM(I76:O76)</f>
        <v>182976.19114483322</v>
      </c>
      <c r="R76" s="124">
        <f t="shared" si="32"/>
        <v>0</v>
      </c>
      <c r="S76" s="124">
        <f t="shared" si="33"/>
        <v>0</v>
      </c>
    </row>
    <row r="77" spans="1:19">
      <c r="A77" s="117">
        <f>IF(ISBLANK(C77),"",MAX($A$38:$A76)+1)</f>
        <v>35</v>
      </c>
      <c r="B77" s="148">
        <v>390.01</v>
      </c>
      <c r="C77" s="137" t="s">
        <v>260</v>
      </c>
      <c r="E77" s="135">
        <f>Functional!$E77</f>
        <v>44604435.312399998</v>
      </c>
      <c r="F77" s="135">
        <f>'Class Allocations'!E$144*Functional!$F77+'Class Allocations'!E$148*Functional!$G77+'Class Allocations'!E$152*Functional!$I77+'Class Allocations'!E$156*Functional!$H77+'Class Allocations'!E$160*Functional!$J77+'Class Allocations'!E$166*Functional!$K77+'Class Allocations'!E$172*Functional!$L77+'Class Allocations'!E$178*Functional!$M77+'Class Allocations'!E$184*Functional!$N77+Functional!$O77</f>
        <v>28821722.328496337</v>
      </c>
      <c r="G77" s="135">
        <f>'Class Allocations'!F$144*Functional!$F77+'Class Allocations'!F$148*Functional!$G77+'Class Allocations'!F$152*Functional!$I77+'Class Allocations'!F$156*Functional!$H77+'Class Allocations'!F$160*Functional!$J77+'Class Allocations'!F$166*Functional!$K77+'Class Allocations'!F$172*Functional!$L77+'Class Allocations'!F$178*Functional!$M77+'Class Allocations'!F$184*Functional!$N77</f>
        <v>10070824.04389061</v>
      </c>
      <c r="H77" s="135">
        <f t="shared" si="30"/>
        <v>38892546.372386947</v>
      </c>
      <c r="I77" s="4">
        <f>'Class Allocations'!H$144*Functional!$F77+'Class Allocations'!H$148*Functional!$G77+'Class Allocations'!H$152*Functional!$I77+'Class Allocations'!H$156*Functional!$H77+'Class Allocations'!H$160*Functional!$J77+'Class Allocations'!H$166*Functional!$K77+'Class Allocations'!H$172*Functional!$L77+'Class Allocations'!H$178*Functional!$M77+'Class Allocations'!H$184*Functional!$N77</f>
        <v>2104361.0144780125</v>
      </c>
      <c r="J77" s="4">
        <f>'Class Allocations'!I$144*Functional!$F77+'Class Allocations'!I$148*Functional!$G77+'Class Allocations'!I$152*Functional!$I77+'Class Allocations'!I$156*Functional!$H77+'Class Allocations'!I$160*Functional!$J77+'Class Allocations'!I$166*Functional!$K77+'Class Allocations'!I$172*Functional!$L77+'Class Allocations'!I$178*Functional!$M77+'Class Allocations'!I$184*Functional!$N77</f>
        <v>232265.57667170628</v>
      </c>
      <c r="K77" s="4">
        <f>'Class Allocations'!J$144*Functional!$F77+'Class Allocations'!J$148*Functional!$G77+'Class Allocations'!J$152*Functional!$I77+'Class Allocations'!J$156*Functional!$H77+'Class Allocations'!J$160*Functional!$J77+'Class Allocations'!J$166*Functional!$K77+'Class Allocations'!J$172*Functional!$L77+'Class Allocations'!J$178*Functional!$M77+'Class Allocations'!J$184*Functional!$N77</f>
        <v>230486.93414754848</v>
      </c>
      <c r="L77" s="4">
        <f>'Class Allocations'!K$144*Functional!$F77+'Class Allocations'!K$148*Functional!$G77+'Class Allocations'!K$152*Functional!$I77+'Class Allocations'!K$156*Functional!$H77+'Class Allocations'!K$160*Functional!$J77+'Class Allocations'!K$166*Functional!$K77+'Class Allocations'!K$172*Functional!$L77+'Class Allocations'!K$178*Functional!$M77+'Class Allocations'!K$184*Functional!$N77</f>
        <v>2409396.7212846442</v>
      </c>
      <c r="M77" s="4">
        <f>'Class Allocations'!L$144*Functional!$F77+'Class Allocations'!L$148*Functional!$G77+'Class Allocations'!L$152*Functional!$I77+'Class Allocations'!L$156*Functional!$H77+'Class Allocations'!L$160*Functional!$J77+'Class Allocations'!L$166*Functional!$K77+'Class Allocations'!L$172*Functional!$L77+'Class Allocations'!L$178*Functional!$M77+'Class Allocations'!L$184*Functional!$N77</f>
        <v>334541.25428166561</v>
      </c>
      <c r="N77" s="4">
        <f>'Class Allocations'!M$144*Functional!$F77+'Class Allocations'!M$148*Functional!$G77+'Class Allocations'!M$152*Functional!$I77+'Class Allocations'!M$156*Functional!$H77+'Class Allocations'!M$160*Functional!$J77+'Class Allocations'!M$166*Functional!$K77+'Class Allocations'!M$172*Functional!$L77+'Class Allocations'!M$178*Functional!$M77+'Class Allocations'!M$184*Functional!$N77+Functional!$P77</f>
        <v>201362.65702138009</v>
      </c>
      <c r="O77" s="4">
        <f>'Class Allocations'!N$144*Functional!$F77+'Class Allocations'!N$148*Functional!$G77+'Class Allocations'!N$152*Functional!$I77+'Class Allocations'!N$156*Functional!$H77+'Class Allocations'!N$160*Functional!$J77+'Class Allocations'!N$166*Functional!$K77+'Class Allocations'!N$172*Functional!$L77+'Class Allocations'!N$178*Functional!$M77+'Class Allocations'!N$184*Functional!$N77+Functional!$Q77</f>
        <v>199474.78212810124</v>
      </c>
      <c r="P77" s="4">
        <f t="shared" si="34"/>
        <v>5711888.9400130576</v>
      </c>
      <c r="R77" s="124">
        <f t="shared" si="32"/>
        <v>0</v>
      </c>
      <c r="S77" s="124">
        <f t="shared" si="33"/>
        <v>0</v>
      </c>
    </row>
    <row r="78" spans="1:19">
      <c r="A78" s="117">
        <f>IF(ISBLANK(C78),"",MAX($A$38:$A77)+1)</f>
        <v>36</v>
      </c>
      <c r="B78" s="148">
        <v>390.51</v>
      </c>
      <c r="C78" s="137" t="s">
        <v>549</v>
      </c>
      <c r="E78" s="135">
        <f>Functional!$E78</f>
        <v>93091.32</v>
      </c>
      <c r="F78" s="135">
        <f>'Class Allocations'!E$144*Functional!$F78+'Class Allocations'!E$148*Functional!$G78+'Class Allocations'!E$152*Functional!$I78+'Class Allocations'!E$156*Functional!$H78+'Class Allocations'!E$160*Functional!$J78+'Class Allocations'!E$166*Functional!$K78+'Class Allocations'!E$172*Functional!$L78+'Class Allocations'!E$178*Functional!$M78+'Class Allocations'!E$184*Functional!$N78+Functional!$O78</f>
        <v>60152.138625714448</v>
      </c>
      <c r="G78" s="135">
        <f>'Class Allocations'!F$144*Functional!$F78+'Class Allocations'!F$148*Functional!$G78+'Class Allocations'!F$152*Functional!$I78+'Class Allocations'!F$156*Functional!$H78+'Class Allocations'!F$160*Functional!$J78+'Class Allocations'!F$166*Functional!$K78+'Class Allocations'!F$172*Functional!$L78+'Class Allocations'!F$178*Functional!$M78+'Class Allocations'!F$184*Functional!$N78</f>
        <v>21018.230522759</v>
      </c>
      <c r="H78" s="135">
        <f t="shared" si="30"/>
        <v>81170.369148473445</v>
      </c>
      <c r="I78" s="4">
        <f>'Class Allocations'!H$144*Functional!$F78+'Class Allocations'!H$148*Functional!$G78+'Class Allocations'!H$152*Functional!$I78+'Class Allocations'!H$156*Functional!$H78+'Class Allocations'!H$160*Functional!$J78+'Class Allocations'!H$166*Functional!$K78+'Class Allocations'!H$172*Functional!$L78+'Class Allocations'!H$178*Functional!$M78+'Class Allocations'!H$184*Functional!$N78</f>
        <v>4391.8893541028174</v>
      </c>
      <c r="J78" s="4">
        <f>'Class Allocations'!I$144*Functional!$F78+'Class Allocations'!I$148*Functional!$G78+'Class Allocations'!I$152*Functional!$I78+'Class Allocations'!I$156*Functional!$H78+'Class Allocations'!I$160*Functional!$J78+'Class Allocations'!I$166*Functional!$K78+'Class Allocations'!I$172*Functional!$L78+'Class Allocations'!I$178*Functional!$M78+'Class Allocations'!I$184*Functional!$N78</f>
        <v>484.74796220364811</v>
      </c>
      <c r="K78" s="4">
        <f>'Class Allocations'!J$144*Functional!$F78+'Class Allocations'!J$148*Functional!$G78+'Class Allocations'!J$152*Functional!$I78+'Class Allocations'!J$156*Functional!$H78+'Class Allocations'!J$160*Functional!$J78+'Class Allocations'!J$166*Functional!$K78+'Class Allocations'!J$172*Functional!$L78+'Class Allocations'!J$178*Functional!$M78+'Class Allocations'!J$184*Functional!$N78</f>
        <v>481.03586094684897</v>
      </c>
      <c r="L78" s="4">
        <f>'Class Allocations'!K$144*Functional!$F78+'Class Allocations'!K$148*Functional!$G78+'Class Allocations'!K$152*Functional!$I78+'Class Allocations'!K$156*Functional!$H78+'Class Allocations'!K$160*Functional!$J78+'Class Allocations'!K$166*Functional!$K78+'Class Allocations'!K$172*Functional!$L78+'Class Allocations'!K$178*Functional!$M78+'Class Allocations'!K$184*Functional!$N78</f>
        <v>5028.5116181194226</v>
      </c>
      <c r="M78" s="4">
        <f>'Class Allocations'!L$144*Functional!$F78+'Class Allocations'!L$148*Functional!$G78+'Class Allocations'!L$152*Functional!$I78+'Class Allocations'!L$156*Functional!$H78+'Class Allocations'!L$160*Functional!$J78+'Class Allocations'!L$166*Functional!$K78+'Class Allocations'!L$172*Functional!$L78+'Class Allocations'!L$178*Functional!$M78+'Class Allocations'!L$184*Functional!$N78</f>
        <v>698.20157429228141</v>
      </c>
      <c r="N78" s="4">
        <f>'Class Allocations'!M$144*Functional!$F78+'Class Allocations'!M$148*Functional!$G78+'Class Allocations'!M$152*Functional!$I78+'Class Allocations'!M$156*Functional!$H78+'Class Allocations'!M$160*Functional!$J78+'Class Allocations'!M$166*Functional!$K78+'Class Allocations'!M$172*Functional!$L78+'Class Allocations'!M$178*Functional!$M78+'Class Allocations'!M$184*Functional!$N78+Functional!$P78</f>
        <v>420.25227781813021</v>
      </c>
      <c r="O78" s="4">
        <f>'Class Allocations'!N$144*Functional!$F78+'Class Allocations'!N$148*Functional!$G78+'Class Allocations'!N$152*Functional!$I78+'Class Allocations'!N$156*Functional!$H78+'Class Allocations'!N$160*Functional!$J78+'Class Allocations'!N$166*Functional!$K78+'Class Allocations'!N$172*Functional!$L78+'Class Allocations'!N$178*Functional!$M78+'Class Allocations'!N$184*Functional!$N78+Functional!$Q78</f>
        <v>416.31220404341906</v>
      </c>
      <c r="P78" s="4">
        <f t="shared" si="34"/>
        <v>11920.950851526568</v>
      </c>
      <c r="R78" s="124">
        <f t="shared" si="32"/>
        <v>0</v>
      </c>
      <c r="S78" s="124">
        <f t="shared" si="33"/>
        <v>0</v>
      </c>
    </row>
    <row r="79" spans="1:19">
      <c r="A79" s="117">
        <f>IF(ISBLANK(C79),"",MAX($A$38:$A78)+1)</f>
        <v>37</v>
      </c>
      <c r="B79" s="148">
        <v>391.01</v>
      </c>
      <c r="C79" s="137" t="s">
        <v>261</v>
      </c>
      <c r="E79" s="135">
        <f>Functional!$E79</f>
        <v>507770.86109999998</v>
      </c>
      <c r="F79" s="135">
        <f>'Class Allocations'!E$144*Functional!$F79+'Class Allocations'!E$148*Functional!$G79+'Class Allocations'!E$152*Functional!$I79+'Class Allocations'!E$156*Functional!$H79+'Class Allocations'!E$160*Functional!$J79+'Class Allocations'!E$166*Functional!$K79+'Class Allocations'!E$172*Functional!$L79+'Class Allocations'!E$178*Functional!$M79+'Class Allocations'!E$184*Functional!$N79+Functional!$O79</f>
        <v>328102.59030579426</v>
      </c>
      <c r="G79" s="135">
        <f>'Class Allocations'!F$144*Functional!$F79+'Class Allocations'!F$148*Functional!$G79+'Class Allocations'!F$152*Functional!$I79+'Class Allocations'!F$156*Functional!$H79+'Class Allocations'!F$160*Functional!$J79+'Class Allocations'!F$166*Functional!$K79+'Class Allocations'!F$172*Functional!$L79+'Class Allocations'!F$178*Functional!$M79+'Class Allocations'!F$184*Functional!$N79</f>
        <v>114644.89934549904</v>
      </c>
      <c r="H79" s="135">
        <f t="shared" si="30"/>
        <v>442747.48965129332</v>
      </c>
      <c r="I79" s="4">
        <f>'Class Allocations'!H$144*Functional!$F79+'Class Allocations'!H$148*Functional!$G79+'Class Allocations'!H$152*Functional!$I79+'Class Allocations'!H$156*Functional!$H79+'Class Allocations'!H$160*Functional!$J79+'Class Allocations'!H$166*Functional!$K79+'Class Allocations'!H$172*Functional!$L79+'Class Allocations'!H$178*Functional!$M79+'Class Allocations'!H$184*Functional!$N79</f>
        <v>23955.761280307444</v>
      </c>
      <c r="J79" s="4">
        <f>'Class Allocations'!I$144*Functional!$F79+'Class Allocations'!I$148*Functional!$G79+'Class Allocations'!I$152*Functional!$I79+'Class Allocations'!I$156*Functional!$H79+'Class Allocations'!I$160*Functional!$J79+'Class Allocations'!I$166*Functional!$K79+'Class Allocations'!I$172*Functional!$L79+'Class Allocations'!I$178*Functional!$M79+'Class Allocations'!I$184*Functional!$N79</f>
        <v>2644.0799226460281</v>
      </c>
      <c r="K79" s="4">
        <f>'Class Allocations'!J$144*Functional!$F79+'Class Allocations'!J$148*Functional!$G79+'Class Allocations'!J$152*Functional!$I79+'Class Allocations'!J$156*Functional!$H79+'Class Allocations'!J$160*Functional!$J79+'Class Allocations'!J$166*Functional!$K79+'Class Allocations'!J$172*Functional!$L79+'Class Allocations'!J$178*Functional!$M79+'Class Allocations'!J$184*Functional!$N79</f>
        <v>2623.8320966225565</v>
      </c>
      <c r="L79" s="4">
        <f>'Class Allocations'!K$144*Functional!$F79+'Class Allocations'!K$148*Functional!$G79+'Class Allocations'!K$152*Functional!$I79+'Class Allocations'!K$156*Functional!$H79+'Class Allocations'!K$160*Functional!$J79+'Class Allocations'!K$166*Functional!$K79+'Class Allocations'!K$172*Functional!$L79+'Class Allocations'!K$178*Functional!$M79+'Class Allocations'!K$184*Functional!$N79</f>
        <v>27428.246525925864</v>
      </c>
      <c r="M79" s="4">
        <f>'Class Allocations'!L$144*Functional!$F79+'Class Allocations'!L$148*Functional!$G79+'Class Allocations'!L$152*Functional!$I79+'Class Allocations'!L$156*Functional!$H79+'Class Allocations'!L$160*Functional!$J79+'Class Allocations'!L$166*Functional!$K79+'Class Allocations'!L$172*Functional!$L79+'Class Allocations'!L$178*Functional!$M79+'Class Allocations'!L$184*Functional!$N79</f>
        <v>3808.3724089396001</v>
      </c>
      <c r="N79" s="4">
        <f>'Class Allocations'!M$144*Functional!$F79+'Class Allocations'!M$148*Functional!$G79+'Class Allocations'!M$152*Functional!$I79+'Class Allocations'!M$156*Functional!$H79+'Class Allocations'!M$160*Functional!$J79+'Class Allocations'!M$166*Functional!$K79+'Class Allocations'!M$172*Functional!$L79+'Class Allocations'!M$178*Functional!$M79+'Class Allocations'!M$184*Functional!$N79+Functional!$P79</f>
        <v>2292.2852634053143</v>
      </c>
      <c r="O79" s="4">
        <f>'Class Allocations'!N$144*Functional!$F79+'Class Allocations'!N$148*Functional!$G79+'Class Allocations'!N$152*Functional!$I79+'Class Allocations'!N$156*Functional!$H79+'Class Allocations'!N$160*Functional!$J79+'Class Allocations'!N$166*Functional!$K79+'Class Allocations'!N$172*Functional!$L79+'Class Allocations'!N$178*Functional!$M79+'Class Allocations'!N$184*Functional!$N79+Functional!$Q79</f>
        <v>2270.7939508599275</v>
      </c>
      <c r="P79" s="4">
        <f t="shared" si="34"/>
        <v>65023.371448706741</v>
      </c>
      <c r="R79" s="124">
        <f t="shared" si="32"/>
        <v>0</v>
      </c>
      <c r="S79" s="124"/>
    </row>
    <row r="80" spans="1:19">
      <c r="A80" s="117">
        <f>IF(ISBLANK(C80),"",MAX($A$38:$A79)+1)</f>
        <v>38</v>
      </c>
      <c r="B80" s="148">
        <v>391.02</v>
      </c>
      <c r="C80" s="137" t="s">
        <v>262</v>
      </c>
      <c r="E80" s="135">
        <f>Functional!$E80</f>
        <v>0</v>
      </c>
      <c r="F80" s="135">
        <f>'Class Allocations'!E$144*Functional!$F80+'Class Allocations'!E$148*Functional!$G80+'Class Allocations'!E$152*Functional!$I80+'Class Allocations'!E$156*Functional!$H80+'Class Allocations'!E$160*Functional!$J80+'Class Allocations'!E$166*Functional!$K80+'Class Allocations'!E$172*Functional!$L80+'Class Allocations'!E$178*Functional!$M80+'Class Allocations'!E$184*Functional!$N80+Functional!$O80</f>
        <v>0</v>
      </c>
      <c r="G80" s="135">
        <f>'Class Allocations'!F$144*Functional!$F80+'Class Allocations'!F$148*Functional!$G80+'Class Allocations'!F$152*Functional!$I80+'Class Allocations'!F$156*Functional!$H80+'Class Allocations'!F$160*Functional!$J80+'Class Allocations'!F$166*Functional!$K80+'Class Allocations'!F$172*Functional!$L80+'Class Allocations'!F$178*Functional!$M80+'Class Allocations'!F$184*Functional!$N80</f>
        <v>0</v>
      </c>
      <c r="H80" s="135">
        <f t="shared" si="30"/>
        <v>0</v>
      </c>
      <c r="I80" s="4">
        <f>'Class Allocations'!H$144*Functional!$F80+'Class Allocations'!H$148*Functional!$G80+'Class Allocations'!H$152*Functional!$I80+'Class Allocations'!H$156*Functional!$H80+'Class Allocations'!H$160*Functional!$J80+'Class Allocations'!H$166*Functional!$K80+'Class Allocations'!H$172*Functional!$L80+'Class Allocations'!H$178*Functional!$M80+'Class Allocations'!H$184*Functional!$N80</f>
        <v>0</v>
      </c>
      <c r="J80" s="4">
        <f>'Class Allocations'!I$144*Functional!$F80+'Class Allocations'!I$148*Functional!$G80+'Class Allocations'!I$152*Functional!$I80+'Class Allocations'!I$156*Functional!$H80+'Class Allocations'!I$160*Functional!$J80+'Class Allocations'!I$166*Functional!$K80+'Class Allocations'!I$172*Functional!$L80+'Class Allocations'!I$178*Functional!$M80+'Class Allocations'!I$184*Functional!$N80</f>
        <v>0</v>
      </c>
      <c r="K80" s="4">
        <f>'Class Allocations'!J$144*Functional!$F80+'Class Allocations'!J$148*Functional!$G80+'Class Allocations'!J$152*Functional!$I80+'Class Allocations'!J$156*Functional!$H80+'Class Allocations'!J$160*Functional!$J80+'Class Allocations'!J$166*Functional!$K80+'Class Allocations'!J$172*Functional!$L80+'Class Allocations'!J$178*Functional!$M80+'Class Allocations'!J$184*Functional!$N80</f>
        <v>0</v>
      </c>
      <c r="L80" s="4">
        <f>'Class Allocations'!K$144*Functional!$F80+'Class Allocations'!K$148*Functional!$G80+'Class Allocations'!K$152*Functional!$I80+'Class Allocations'!K$156*Functional!$H80+'Class Allocations'!K$160*Functional!$J80+'Class Allocations'!K$166*Functional!$K80+'Class Allocations'!K$172*Functional!$L80+'Class Allocations'!K$178*Functional!$M80+'Class Allocations'!K$184*Functional!$N80</f>
        <v>0</v>
      </c>
      <c r="M80" s="4">
        <f>'Class Allocations'!L$144*Functional!$F80+'Class Allocations'!L$148*Functional!$G80+'Class Allocations'!L$152*Functional!$I80+'Class Allocations'!L$156*Functional!$H80+'Class Allocations'!L$160*Functional!$J80+'Class Allocations'!L$166*Functional!$K80+'Class Allocations'!L$172*Functional!$L80+'Class Allocations'!L$178*Functional!$M80+'Class Allocations'!L$184*Functional!$N80</f>
        <v>0</v>
      </c>
      <c r="N80" s="4">
        <f>'Class Allocations'!M$144*Functional!$F80+'Class Allocations'!M$148*Functional!$G80+'Class Allocations'!M$152*Functional!$I80+'Class Allocations'!M$156*Functional!$H80+'Class Allocations'!M$160*Functional!$J80+'Class Allocations'!M$166*Functional!$K80+'Class Allocations'!M$172*Functional!$L80+'Class Allocations'!M$178*Functional!$M80+'Class Allocations'!M$184*Functional!$N80+Functional!$P80</f>
        <v>0</v>
      </c>
      <c r="O80" s="4">
        <f>'Class Allocations'!N$144*Functional!$F80+'Class Allocations'!N$148*Functional!$G80+'Class Allocations'!N$152*Functional!$I80+'Class Allocations'!N$156*Functional!$H80+'Class Allocations'!N$160*Functional!$J80+'Class Allocations'!N$166*Functional!$K80+'Class Allocations'!N$172*Functional!$L80+'Class Allocations'!N$178*Functional!$M80+'Class Allocations'!N$184*Functional!$N80+Functional!$Q80</f>
        <v>0</v>
      </c>
      <c r="P80" s="4">
        <f t="shared" si="34"/>
        <v>0</v>
      </c>
      <c r="R80" s="124">
        <f t="shared" si="32"/>
        <v>0</v>
      </c>
      <c r="S80" s="124"/>
    </row>
    <row r="81" spans="1:19">
      <c r="A81" s="117">
        <f>IF(ISBLANK(C81),"",MAX($A$38:$A80)+1)</f>
        <v>39</v>
      </c>
      <c r="B81" s="148">
        <v>391.03</v>
      </c>
      <c r="C81" s="137" t="s">
        <v>263</v>
      </c>
      <c r="E81" s="135">
        <f>Functional!$E81</f>
        <v>639902.31109999993</v>
      </c>
      <c r="F81" s="135">
        <f>'Class Allocations'!E$144*Functional!$F81+'Class Allocations'!E$148*Functional!$G81+'Class Allocations'!E$152*Functional!$I81+'Class Allocations'!E$156*Functional!$H81+'Class Allocations'!E$160*Functional!$J81+'Class Allocations'!E$166*Functional!$K81+'Class Allocations'!E$172*Functional!$L81+'Class Allocations'!E$178*Functional!$M81+'Class Allocations'!E$184*Functional!$N81+Functional!$O81</f>
        <v>413481.00471883145</v>
      </c>
      <c r="G81" s="135">
        <f>'Class Allocations'!F$144*Functional!$F81+'Class Allocations'!F$148*Functional!$G81+'Class Allocations'!F$152*Functional!$I81+'Class Allocations'!F$156*Functional!$H81+'Class Allocations'!F$160*Functional!$J81+'Class Allocations'!F$166*Functional!$K81+'Class Allocations'!F$172*Functional!$L81+'Class Allocations'!F$178*Functional!$M81+'Class Allocations'!F$184*Functional!$N81</f>
        <v>144477.6407375687</v>
      </c>
      <c r="H81" s="135">
        <f t="shared" si="30"/>
        <v>557958.64545640012</v>
      </c>
      <c r="I81" s="4">
        <f>'Class Allocations'!H$144*Functional!$F81+'Class Allocations'!H$148*Functional!$G81+'Class Allocations'!H$152*Functional!$I81+'Class Allocations'!H$156*Functional!$H81+'Class Allocations'!H$160*Functional!$J81+'Class Allocations'!H$166*Functional!$K81+'Class Allocations'!H$172*Functional!$L81+'Class Allocations'!H$178*Functional!$M81+'Class Allocations'!H$184*Functional!$N81</f>
        <v>30189.497235465977</v>
      </c>
      <c r="J81" s="4">
        <f>'Class Allocations'!I$144*Functional!$F81+'Class Allocations'!I$148*Functional!$G81+'Class Allocations'!I$152*Functional!$I81+'Class Allocations'!I$156*Functional!$H81+'Class Allocations'!I$160*Functional!$J81+'Class Allocations'!I$166*Functional!$K81+'Class Allocations'!I$172*Functional!$L81+'Class Allocations'!I$178*Functional!$M81+'Class Allocations'!I$184*Functional!$N81</f>
        <v>3332.1188411027988</v>
      </c>
      <c r="K81" s="4">
        <f>'Class Allocations'!J$144*Functional!$F81+'Class Allocations'!J$148*Functional!$G81+'Class Allocations'!J$152*Functional!$I81+'Class Allocations'!J$156*Functional!$H81+'Class Allocations'!J$160*Functional!$J81+'Class Allocations'!J$166*Functional!$K81+'Class Allocations'!J$172*Functional!$L81+'Class Allocations'!J$178*Functional!$M81+'Class Allocations'!J$184*Functional!$N81</f>
        <v>3306.602153045706</v>
      </c>
      <c r="L81" s="4">
        <f>'Class Allocations'!K$144*Functional!$F81+'Class Allocations'!K$148*Functional!$G81+'Class Allocations'!K$152*Functional!$I81+'Class Allocations'!K$156*Functional!$H81+'Class Allocations'!K$160*Functional!$J81+'Class Allocations'!K$166*Functional!$K81+'Class Allocations'!K$172*Functional!$L81+'Class Allocations'!K$178*Functional!$M81+'Class Allocations'!K$184*Functional!$N81</f>
        <v>34565.587917625598</v>
      </c>
      <c r="M81" s="4">
        <f>'Class Allocations'!L$144*Functional!$F81+'Class Allocations'!L$148*Functional!$G81+'Class Allocations'!L$152*Functional!$I81+'Class Allocations'!L$156*Functional!$H81+'Class Allocations'!L$160*Functional!$J81+'Class Allocations'!L$166*Functional!$K81+'Class Allocations'!L$172*Functional!$L81+'Class Allocations'!L$178*Functional!$M81+'Class Allocations'!L$184*Functional!$N81</f>
        <v>4799.3819510056255</v>
      </c>
      <c r="N81" s="4">
        <f>'Class Allocations'!M$144*Functional!$F81+'Class Allocations'!M$148*Functional!$G81+'Class Allocations'!M$152*Functional!$I81+'Class Allocations'!M$156*Functional!$H81+'Class Allocations'!M$160*Functional!$J81+'Class Allocations'!M$166*Functional!$K81+'Class Allocations'!M$172*Functional!$L81+'Class Allocations'!M$178*Functional!$M81+'Class Allocations'!M$184*Functional!$N81+Functional!$P81</f>
        <v>2888.7806491610681</v>
      </c>
      <c r="O81" s="4">
        <f>'Class Allocations'!N$144*Functional!$F81+'Class Allocations'!N$148*Functional!$G81+'Class Allocations'!N$152*Functional!$I81+'Class Allocations'!N$156*Functional!$H81+'Class Allocations'!N$160*Functional!$J81+'Class Allocations'!N$166*Functional!$K81+'Class Allocations'!N$172*Functional!$L81+'Class Allocations'!N$178*Functional!$M81+'Class Allocations'!N$184*Functional!$N81+Functional!$Q81</f>
        <v>2861.6968961930993</v>
      </c>
      <c r="P81" s="4">
        <f t="shared" si="34"/>
        <v>81943.665643599859</v>
      </c>
      <c r="R81" s="124">
        <f t="shared" si="32"/>
        <v>0</v>
      </c>
      <c r="S81" s="124"/>
    </row>
    <row r="82" spans="1:19">
      <c r="A82" s="117">
        <f>IF(ISBLANK(C82),"",MAX($A$38:$A81)+1)</f>
        <v>40</v>
      </c>
      <c r="B82" s="148">
        <v>391.04</v>
      </c>
      <c r="C82" s="137" t="s">
        <v>264</v>
      </c>
      <c r="E82" s="135">
        <f>Functional!$E82</f>
        <v>723580.82000000007</v>
      </c>
      <c r="F82" s="135">
        <f>'Class Allocations'!E$144*Functional!$F82+'Class Allocations'!E$148*Functional!$G82+'Class Allocations'!E$152*Functional!$I82+'Class Allocations'!E$156*Functional!$H82+'Class Allocations'!E$160*Functional!$J82+'Class Allocations'!E$166*Functional!$K82+'Class Allocations'!E$172*Functional!$L82+'Class Allocations'!E$178*Functional!$M82+'Class Allocations'!E$184*Functional!$N82+Functional!$O82</f>
        <v>467550.93591484288</v>
      </c>
      <c r="G82" s="135">
        <f>'Class Allocations'!F$144*Functional!$F82+'Class Allocations'!F$148*Functional!$G82+'Class Allocations'!F$152*Functional!$I82+'Class Allocations'!F$156*Functional!$H82+'Class Allocations'!F$160*Functional!$J82+'Class Allocations'!F$166*Functional!$K82+'Class Allocations'!F$172*Functional!$L82+'Class Allocations'!F$178*Functional!$M82+'Class Allocations'!F$184*Functional!$N82</f>
        <v>163370.63946033837</v>
      </c>
      <c r="H82" s="135">
        <f t="shared" si="30"/>
        <v>630921.57537518127</v>
      </c>
      <c r="I82" s="4">
        <f>'Class Allocations'!H$144*Functional!$F82+'Class Allocations'!H$148*Functional!$G82+'Class Allocations'!H$152*Functional!$I82+'Class Allocations'!H$156*Functional!$H82+'Class Allocations'!H$160*Functional!$J82+'Class Allocations'!H$166*Functional!$K82+'Class Allocations'!H$172*Functional!$L82+'Class Allocations'!H$178*Functional!$M82+'Class Allocations'!H$184*Functional!$N82</f>
        <v>34137.306251441994</v>
      </c>
      <c r="J82" s="4">
        <f>'Class Allocations'!I$144*Functional!$F82+'Class Allocations'!I$148*Functional!$G82+'Class Allocations'!I$152*Functional!$I82+'Class Allocations'!I$156*Functional!$H82+'Class Allocations'!I$160*Functional!$J82+'Class Allocations'!I$166*Functional!$K82+'Class Allocations'!I$172*Functional!$L82+'Class Allocations'!I$178*Functional!$M82+'Class Allocations'!I$184*Functional!$N82</f>
        <v>3767.8521261127762</v>
      </c>
      <c r="K82" s="4">
        <f>'Class Allocations'!J$144*Functional!$F82+'Class Allocations'!J$148*Functional!$G82+'Class Allocations'!J$152*Functional!$I82+'Class Allocations'!J$156*Functional!$H82+'Class Allocations'!J$160*Functional!$J82+'Class Allocations'!J$166*Functional!$K82+'Class Allocations'!J$172*Functional!$L82+'Class Allocations'!J$178*Functional!$M82+'Class Allocations'!J$184*Functional!$N82</f>
        <v>3738.9986812232</v>
      </c>
      <c r="L82" s="4">
        <f>'Class Allocations'!K$144*Functional!$F82+'Class Allocations'!K$148*Functional!$G82+'Class Allocations'!K$152*Functional!$I82+'Class Allocations'!K$156*Functional!$H82+'Class Allocations'!K$160*Functional!$J82+'Class Allocations'!K$166*Functional!$K82+'Class Allocations'!K$172*Functional!$L82+'Class Allocations'!K$178*Functional!$M82+'Class Allocations'!K$184*Functional!$N82</f>
        <v>39085.647942454561</v>
      </c>
      <c r="M82" s="4">
        <f>'Class Allocations'!L$144*Functional!$F82+'Class Allocations'!L$148*Functional!$G82+'Class Allocations'!L$152*Functional!$I82+'Class Allocations'!L$156*Functional!$H82+'Class Allocations'!L$160*Functional!$J82+'Class Allocations'!L$166*Functional!$K82+'Class Allocations'!L$172*Functional!$L82+'Class Allocations'!L$178*Functional!$M82+'Class Allocations'!L$184*Functional!$N82</f>
        <v>5426.9857560479295</v>
      </c>
      <c r="N82" s="4">
        <f>'Class Allocations'!M$144*Functional!$F82+'Class Allocations'!M$148*Functional!$G82+'Class Allocations'!M$152*Functional!$I82+'Class Allocations'!M$156*Functional!$H82+'Class Allocations'!M$160*Functional!$J82+'Class Allocations'!M$166*Functional!$K82+'Class Allocations'!M$172*Functional!$L82+'Class Allocations'!M$178*Functional!$M82+'Class Allocations'!M$184*Functional!$N82+Functional!$P82</f>
        <v>3266.5396493519534</v>
      </c>
      <c r="O82" s="4">
        <f>'Class Allocations'!N$144*Functional!$F82+'Class Allocations'!N$148*Functional!$G82+'Class Allocations'!N$152*Functional!$I82+'Class Allocations'!N$156*Functional!$H82+'Class Allocations'!N$160*Functional!$J82+'Class Allocations'!N$166*Functional!$K82+'Class Allocations'!N$172*Functional!$L82+'Class Allocations'!N$178*Functional!$M82+'Class Allocations'!N$184*Functional!$N82+Functional!$Q82</f>
        <v>3235.9142181864486</v>
      </c>
      <c r="P82" s="4">
        <f t="shared" si="34"/>
        <v>92659.244624818864</v>
      </c>
      <c r="R82" s="124">
        <f t="shared" si="32"/>
        <v>0</v>
      </c>
      <c r="S82" s="124"/>
    </row>
    <row r="83" spans="1:19">
      <c r="A83" s="117">
        <f>IF(ISBLANK(C83),"",MAX($A$38:$A82)+1)</f>
        <v>41</v>
      </c>
      <c r="B83" s="148">
        <v>391.05</v>
      </c>
      <c r="C83" s="137" t="s">
        <v>265</v>
      </c>
      <c r="E83" s="135">
        <f>Functional!$E83</f>
        <v>0</v>
      </c>
      <c r="F83" s="135">
        <f>'Class Allocations'!E$144*Functional!$F83+'Class Allocations'!E$148*Functional!$G83+'Class Allocations'!E$152*Functional!$I83+'Class Allocations'!E$156*Functional!$H83+'Class Allocations'!E$160*Functional!$J83+'Class Allocations'!E$166*Functional!$K83+'Class Allocations'!E$172*Functional!$L83+'Class Allocations'!E$178*Functional!$M83+'Class Allocations'!E$184*Functional!$N83+Functional!$O83</f>
        <v>0</v>
      </c>
      <c r="G83" s="135">
        <f>'Class Allocations'!F$144*Functional!$F83+'Class Allocations'!F$148*Functional!$G83+'Class Allocations'!F$152*Functional!$I83+'Class Allocations'!F$156*Functional!$H83+'Class Allocations'!F$160*Functional!$J83+'Class Allocations'!F$166*Functional!$K83+'Class Allocations'!F$172*Functional!$L83+'Class Allocations'!F$178*Functional!$M83+'Class Allocations'!F$184*Functional!$N83</f>
        <v>0</v>
      </c>
      <c r="H83" s="135">
        <f t="shared" si="30"/>
        <v>0</v>
      </c>
      <c r="I83" s="4">
        <f>'Class Allocations'!H$144*Functional!$F83+'Class Allocations'!H$148*Functional!$G83+'Class Allocations'!H$152*Functional!$I83+'Class Allocations'!H$156*Functional!$H83+'Class Allocations'!H$160*Functional!$J83+'Class Allocations'!H$166*Functional!$K83+'Class Allocations'!H$172*Functional!$L83+'Class Allocations'!H$178*Functional!$M83+'Class Allocations'!H$184*Functional!$N83</f>
        <v>0</v>
      </c>
      <c r="J83" s="4">
        <f>'Class Allocations'!I$144*Functional!$F83+'Class Allocations'!I$148*Functional!$G83+'Class Allocations'!I$152*Functional!$I83+'Class Allocations'!I$156*Functional!$H83+'Class Allocations'!I$160*Functional!$J83+'Class Allocations'!I$166*Functional!$K83+'Class Allocations'!I$172*Functional!$L83+'Class Allocations'!I$178*Functional!$M83+'Class Allocations'!I$184*Functional!$N83</f>
        <v>0</v>
      </c>
      <c r="K83" s="4">
        <f>'Class Allocations'!J$144*Functional!$F83+'Class Allocations'!J$148*Functional!$G83+'Class Allocations'!J$152*Functional!$I83+'Class Allocations'!J$156*Functional!$H83+'Class Allocations'!J$160*Functional!$J83+'Class Allocations'!J$166*Functional!$K83+'Class Allocations'!J$172*Functional!$L83+'Class Allocations'!J$178*Functional!$M83+'Class Allocations'!J$184*Functional!$N83</f>
        <v>0</v>
      </c>
      <c r="L83" s="4">
        <f>'Class Allocations'!K$144*Functional!$F83+'Class Allocations'!K$148*Functional!$G83+'Class Allocations'!K$152*Functional!$I83+'Class Allocations'!K$156*Functional!$H83+'Class Allocations'!K$160*Functional!$J83+'Class Allocations'!K$166*Functional!$K83+'Class Allocations'!K$172*Functional!$L83+'Class Allocations'!K$178*Functional!$M83+'Class Allocations'!K$184*Functional!$N83</f>
        <v>0</v>
      </c>
      <c r="M83" s="4">
        <f>'Class Allocations'!L$144*Functional!$F83+'Class Allocations'!L$148*Functional!$G83+'Class Allocations'!L$152*Functional!$I83+'Class Allocations'!L$156*Functional!$H83+'Class Allocations'!L$160*Functional!$J83+'Class Allocations'!L$166*Functional!$K83+'Class Allocations'!L$172*Functional!$L83+'Class Allocations'!L$178*Functional!$M83+'Class Allocations'!L$184*Functional!$N83</f>
        <v>0</v>
      </c>
      <c r="N83" s="4">
        <f>'Class Allocations'!M$144*Functional!$F83+'Class Allocations'!M$148*Functional!$G83+'Class Allocations'!M$152*Functional!$I83+'Class Allocations'!M$156*Functional!$H83+'Class Allocations'!M$160*Functional!$J83+'Class Allocations'!M$166*Functional!$K83+'Class Allocations'!M$172*Functional!$L83+'Class Allocations'!M$178*Functional!$M83+'Class Allocations'!M$184*Functional!$N83+Functional!$P83</f>
        <v>0</v>
      </c>
      <c r="O83" s="4">
        <f>'Class Allocations'!N$144*Functional!$F83+'Class Allocations'!N$148*Functional!$G83+'Class Allocations'!N$152*Functional!$I83+'Class Allocations'!N$156*Functional!$H83+'Class Allocations'!N$160*Functional!$J83+'Class Allocations'!N$166*Functional!$K83+'Class Allocations'!N$172*Functional!$L83+'Class Allocations'!N$178*Functional!$M83+'Class Allocations'!N$184*Functional!$N83+Functional!$Q83</f>
        <v>0</v>
      </c>
      <c r="P83" s="4">
        <f t="shared" si="34"/>
        <v>0</v>
      </c>
      <c r="R83" s="124">
        <f t="shared" si="32"/>
        <v>0</v>
      </c>
      <c r="S83" s="124"/>
    </row>
    <row r="84" spans="1:19">
      <c r="A84" s="117">
        <f>IF(ISBLANK(C84),"",MAX($A$38:$A83)+1)</f>
        <v>42</v>
      </c>
      <c r="B84" s="148">
        <v>391.07</v>
      </c>
      <c r="C84" s="137" t="s">
        <v>266</v>
      </c>
      <c r="E84" s="135">
        <f>Functional!$E84</f>
        <v>611478.77</v>
      </c>
      <c r="F84" s="135">
        <f>'Class Allocations'!E$144*Functional!$F84+'Class Allocations'!E$148*Functional!$G84+'Class Allocations'!E$152*Functional!$I84+'Class Allocations'!E$156*Functional!$H84+'Class Allocations'!E$160*Functional!$J84+'Class Allocations'!E$166*Functional!$K84+'Class Allocations'!E$172*Functional!$L84+'Class Allocations'!E$178*Functional!$M84+'Class Allocations'!E$184*Functional!$N84+Functional!$O84</f>
        <v>395114.77267398674</v>
      </c>
      <c r="G84" s="135">
        <f>'Class Allocations'!F$144*Functional!$F84+'Class Allocations'!F$148*Functional!$G84+'Class Allocations'!F$152*Functional!$I84+'Class Allocations'!F$156*Functional!$H84+'Class Allocations'!F$160*Functional!$J84+'Class Allocations'!F$166*Functional!$K84+'Class Allocations'!F$172*Functional!$L84+'Class Allocations'!F$178*Functional!$M84+'Class Allocations'!F$184*Functional!$N84</f>
        <v>138060.15155476503</v>
      </c>
      <c r="H84" s="135">
        <f t="shared" si="30"/>
        <v>533174.9242287518</v>
      </c>
      <c r="I84" s="4">
        <f>'Class Allocations'!H$144*Functional!$F84+'Class Allocations'!H$148*Functional!$G84+'Class Allocations'!H$152*Functional!$I84+'Class Allocations'!H$156*Functional!$H84+'Class Allocations'!H$160*Functional!$J84+'Class Allocations'!H$166*Functional!$K84+'Class Allocations'!H$172*Functional!$L84+'Class Allocations'!H$178*Functional!$M84+'Class Allocations'!H$184*Functional!$N84</f>
        <v>28848.523151491303</v>
      </c>
      <c r="J84" s="4">
        <f>'Class Allocations'!I$144*Functional!$F84+'Class Allocations'!I$148*Functional!$G84+'Class Allocations'!I$152*Functional!$I84+'Class Allocations'!I$156*Functional!$H84+'Class Allocations'!I$160*Functional!$J84+'Class Allocations'!I$166*Functional!$K84+'Class Allocations'!I$172*Functional!$L84+'Class Allocations'!I$178*Functional!$M84+'Class Allocations'!I$184*Functional!$N84</f>
        <v>3184.1109105370215</v>
      </c>
      <c r="K84" s="4">
        <f>'Class Allocations'!J$144*Functional!$F84+'Class Allocations'!J$148*Functional!$G84+'Class Allocations'!J$152*Functional!$I84+'Class Allocations'!J$156*Functional!$H84+'Class Allocations'!J$160*Functional!$J84+'Class Allocations'!J$166*Functional!$K84+'Class Allocations'!J$172*Functional!$L84+'Class Allocations'!J$178*Functional!$M84+'Class Allocations'!J$184*Functional!$N84</f>
        <v>3159.7276370951686</v>
      </c>
      <c r="L84" s="4">
        <f>'Class Allocations'!K$144*Functional!$F84+'Class Allocations'!K$148*Functional!$G84+'Class Allocations'!K$152*Functional!$I84+'Class Allocations'!K$156*Functional!$H84+'Class Allocations'!K$160*Functional!$J84+'Class Allocations'!K$166*Functional!$K84+'Class Allocations'!K$172*Functional!$L84+'Class Allocations'!K$178*Functional!$M84+'Class Allocations'!K$184*Functional!$N84</f>
        <v>33030.234174124649</v>
      </c>
      <c r="M84" s="4">
        <f>'Class Allocations'!L$144*Functional!$F84+'Class Allocations'!L$148*Functional!$G84+'Class Allocations'!L$152*Functional!$I84+'Class Allocations'!L$156*Functional!$H84+'Class Allocations'!L$160*Functional!$J84+'Class Allocations'!L$166*Functional!$K84+'Class Allocations'!L$172*Functional!$L84+'Class Allocations'!L$178*Functional!$M84+'Class Allocations'!L$184*Functional!$N84</f>
        <v>4586.2003015996306</v>
      </c>
      <c r="N84" s="4">
        <f>'Class Allocations'!M$144*Functional!$F84+'Class Allocations'!M$148*Functional!$G84+'Class Allocations'!M$152*Functional!$I84+'Class Allocations'!M$156*Functional!$H84+'Class Allocations'!M$160*Functional!$J84+'Class Allocations'!M$166*Functional!$K84+'Class Allocations'!M$172*Functional!$L84+'Class Allocations'!M$178*Functional!$M84+'Class Allocations'!M$184*Functional!$N84+Functional!$P84</f>
        <v>2760.4651639908911</v>
      </c>
      <c r="O84" s="4">
        <f>'Class Allocations'!N$144*Functional!$F84+'Class Allocations'!N$148*Functional!$G84+'Class Allocations'!N$152*Functional!$I84+'Class Allocations'!N$156*Functional!$H84+'Class Allocations'!N$160*Functional!$J84+'Class Allocations'!N$166*Functional!$K84+'Class Allocations'!N$172*Functional!$L84+'Class Allocations'!N$178*Functional!$M84+'Class Allocations'!N$184*Functional!$N84+Functional!$Q84</f>
        <v>2734.5844324095833</v>
      </c>
      <c r="P84" s="4">
        <f t="shared" si="34"/>
        <v>78303.845771248234</v>
      </c>
      <c r="R84" s="124">
        <f t="shared" si="32"/>
        <v>0</v>
      </c>
      <c r="S84" s="124"/>
    </row>
    <row r="85" spans="1:19">
      <c r="A85" s="117">
        <f>IF(ISBLANK(C85),"",MAX($A$38:$A84)+1)</f>
        <v>43</v>
      </c>
      <c r="B85" s="148">
        <v>392.01</v>
      </c>
      <c r="C85" s="137" t="s">
        <v>130</v>
      </c>
      <c r="E85" s="135">
        <f>Functional!$E85</f>
        <v>0</v>
      </c>
      <c r="F85" s="135">
        <f>'Class Allocations'!E$144*Functional!$F85+'Class Allocations'!E$148*Functional!$G85+'Class Allocations'!E$152*Functional!$I85+'Class Allocations'!E$156*Functional!$H85+'Class Allocations'!E$160*Functional!$J85+'Class Allocations'!E$166*Functional!$K85+'Class Allocations'!E$172*Functional!$L85+'Class Allocations'!E$178*Functional!$M85+'Class Allocations'!E$184*Functional!$N85+Functional!$O85</f>
        <v>0</v>
      </c>
      <c r="G85" s="135">
        <f>'Class Allocations'!F$144*Functional!$F85+'Class Allocations'!F$148*Functional!$G85+'Class Allocations'!F$152*Functional!$I85+'Class Allocations'!F$156*Functional!$H85+'Class Allocations'!F$160*Functional!$J85+'Class Allocations'!F$166*Functional!$K85+'Class Allocations'!F$172*Functional!$L85+'Class Allocations'!F$178*Functional!$M85+'Class Allocations'!F$184*Functional!$N85</f>
        <v>0</v>
      </c>
      <c r="H85" s="135">
        <f t="shared" si="30"/>
        <v>0</v>
      </c>
      <c r="I85" s="4">
        <f>'Class Allocations'!H$144*Functional!$F85+'Class Allocations'!H$148*Functional!$G85+'Class Allocations'!H$152*Functional!$I85+'Class Allocations'!H$156*Functional!$H85+'Class Allocations'!H$160*Functional!$J85+'Class Allocations'!H$166*Functional!$K85+'Class Allocations'!H$172*Functional!$L85+'Class Allocations'!H$178*Functional!$M85+'Class Allocations'!H$184*Functional!$N85</f>
        <v>0</v>
      </c>
      <c r="J85" s="4">
        <f>'Class Allocations'!I$144*Functional!$F85+'Class Allocations'!I$148*Functional!$G85+'Class Allocations'!I$152*Functional!$I85+'Class Allocations'!I$156*Functional!$H85+'Class Allocations'!I$160*Functional!$J85+'Class Allocations'!I$166*Functional!$K85+'Class Allocations'!I$172*Functional!$L85+'Class Allocations'!I$178*Functional!$M85+'Class Allocations'!I$184*Functional!$N85</f>
        <v>0</v>
      </c>
      <c r="K85" s="4">
        <f>'Class Allocations'!J$144*Functional!$F85+'Class Allocations'!J$148*Functional!$G85+'Class Allocations'!J$152*Functional!$I85+'Class Allocations'!J$156*Functional!$H85+'Class Allocations'!J$160*Functional!$J85+'Class Allocations'!J$166*Functional!$K85+'Class Allocations'!J$172*Functional!$L85+'Class Allocations'!J$178*Functional!$M85+'Class Allocations'!J$184*Functional!$N85</f>
        <v>0</v>
      </c>
      <c r="L85" s="4">
        <f>'Class Allocations'!K$144*Functional!$F85+'Class Allocations'!K$148*Functional!$G85+'Class Allocations'!K$152*Functional!$I85+'Class Allocations'!K$156*Functional!$H85+'Class Allocations'!K$160*Functional!$J85+'Class Allocations'!K$166*Functional!$K85+'Class Allocations'!K$172*Functional!$L85+'Class Allocations'!K$178*Functional!$M85+'Class Allocations'!K$184*Functional!$N85</f>
        <v>0</v>
      </c>
      <c r="M85" s="4">
        <f>'Class Allocations'!L$144*Functional!$F85+'Class Allocations'!L$148*Functional!$G85+'Class Allocations'!L$152*Functional!$I85+'Class Allocations'!L$156*Functional!$H85+'Class Allocations'!L$160*Functional!$J85+'Class Allocations'!L$166*Functional!$K85+'Class Allocations'!L$172*Functional!$L85+'Class Allocations'!L$178*Functional!$M85+'Class Allocations'!L$184*Functional!$N85</f>
        <v>0</v>
      </c>
      <c r="N85" s="4">
        <f>'Class Allocations'!M$144*Functional!$F85+'Class Allocations'!M$148*Functional!$G85+'Class Allocations'!M$152*Functional!$I85+'Class Allocations'!M$156*Functional!$H85+'Class Allocations'!M$160*Functional!$J85+'Class Allocations'!M$166*Functional!$K85+'Class Allocations'!M$172*Functional!$L85+'Class Allocations'!M$178*Functional!$M85+'Class Allocations'!M$184*Functional!$N85+Functional!$P85</f>
        <v>0</v>
      </c>
      <c r="O85" s="4">
        <f>'Class Allocations'!N$144*Functional!$F85+'Class Allocations'!N$148*Functional!$G85+'Class Allocations'!N$152*Functional!$I85+'Class Allocations'!N$156*Functional!$H85+'Class Allocations'!N$160*Functional!$J85+'Class Allocations'!N$166*Functional!$K85+'Class Allocations'!N$172*Functional!$L85+'Class Allocations'!N$178*Functional!$M85+'Class Allocations'!N$184*Functional!$N85+Functional!$Q85</f>
        <v>0</v>
      </c>
      <c r="P85" s="4">
        <f t="shared" si="34"/>
        <v>0</v>
      </c>
      <c r="R85" s="124">
        <f t="shared" si="32"/>
        <v>0</v>
      </c>
      <c r="S85" s="124"/>
    </row>
    <row r="86" spans="1:19">
      <c r="A86" s="117">
        <f>IF(ISBLANK(C86),"",MAX($A$38:$A85)+1)</f>
        <v>44</v>
      </c>
      <c r="B86" s="148">
        <v>392.02</v>
      </c>
      <c r="C86" s="137" t="s">
        <v>267</v>
      </c>
      <c r="E86" s="135">
        <f>Functional!$E86</f>
        <v>2919324.9899999998</v>
      </c>
      <c r="F86" s="135">
        <f>'Class Allocations'!E$144*Functional!$F86+'Class Allocations'!E$148*Functional!$G86+'Class Allocations'!E$152*Functional!$I86+'Class Allocations'!E$156*Functional!$H86+'Class Allocations'!E$160*Functional!$J86+'Class Allocations'!E$166*Functional!$K86+'Class Allocations'!E$172*Functional!$L86+'Class Allocations'!E$178*Functional!$M86+'Class Allocations'!E$184*Functional!$N86+Functional!$O86</f>
        <v>1886358.9160836092</v>
      </c>
      <c r="G86" s="135">
        <f>'Class Allocations'!F$144*Functional!$F86+'Class Allocations'!F$148*Functional!$G86+'Class Allocations'!F$152*Functional!$I86+'Class Allocations'!F$156*Functional!$H86+'Class Allocations'!F$160*Functional!$J86+'Class Allocations'!F$166*Functional!$K86+'Class Allocations'!F$172*Functional!$L86+'Class Allocations'!F$178*Functional!$M86+'Class Allocations'!F$184*Functional!$N86</f>
        <v>659127.46334106231</v>
      </c>
      <c r="H86" s="135">
        <f t="shared" si="30"/>
        <v>2545486.3794246716</v>
      </c>
      <c r="I86" s="4">
        <f>'Class Allocations'!H$144*Functional!$F86+'Class Allocations'!H$148*Functional!$G86+'Class Allocations'!H$152*Functional!$I86+'Class Allocations'!H$156*Functional!$H86+'Class Allocations'!H$160*Functional!$J86+'Class Allocations'!H$166*Functional!$K86+'Class Allocations'!H$172*Functional!$L86+'Class Allocations'!H$178*Functional!$M86+'Class Allocations'!H$184*Functional!$N86</f>
        <v>137728.76294747257</v>
      </c>
      <c r="J86" s="4">
        <f>'Class Allocations'!I$144*Functional!$F86+'Class Allocations'!I$148*Functional!$G86+'Class Allocations'!I$152*Functional!$I86+'Class Allocations'!I$156*Functional!$H86+'Class Allocations'!I$160*Functional!$J86+'Class Allocations'!I$166*Functional!$K86+'Class Allocations'!I$172*Functional!$L86+'Class Allocations'!I$178*Functional!$M86+'Class Allocations'!I$184*Functional!$N86</f>
        <v>15201.598171695116</v>
      </c>
      <c r="K86" s="4">
        <f>'Class Allocations'!J$144*Functional!$F86+'Class Allocations'!J$148*Functional!$G86+'Class Allocations'!J$152*Functional!$I86+'Class Allocations'!J$156*Functional!$H86+'Class Allocations'!J$160*Functional!$J86+'Class Allocations'!J$166*Functional!$K86+'Class Allocations'!J$172*Functional!$L86+'Class Allocations'!J$178*Functional!$M86+'Class Allocations'!J$184*Functional!$N86</f>
        <v>15085.18742615639</v>
      </c>
      <c r="L86" s="4">
        <f>'Class Allocations'!K$144*Functional!$F86+'Class Allocations'!K$148*Functional!$G86+'Class Allocations'!K$152*Functional!$I86+'Class Allocations'!K$156*Functional!$H86+'Class Allocations'!K$160*Functional!$J86+'Class Allocations'!K$166*Functional!$K86+'Class Allocations'!K$172*Functional!$L86+'Class Allocations'!K$178*Functional!$M86+'Class Allocations'!K$184*Functional!$N86</f>
        <v>157693.10854418395</v>
      </c>
      <c r="M86" s="4">
        <f>'Class Allocations'!L$144*Functional!$F86+'Class Allocations'!L$148*Functional!$G86+'Class Allocations'!L$152*Functional!$I86+'Class Allocations'!L$156*Functional!$H86+'Class Allocations'!L$160*Functional!$J86+'Class Allocations'!L$166*Functional!$K86+'Class Allocations'!L$172*Functional!$L86+'Class Allocations'!L$178*Functional!$M86+'Class Allocations'!L$184*Functional!$N86</f>
        <v>21895.460327437595</v>
      </c>
      <c r="N86" s="4">
        <f>'Class Allocations'!M$144*Functional!$F86+'Class Allocations'!M$148*Functional!$G86+'Class Allocations'!M$152*Functional!$I86+'Class Allocations'!M$156*Functional!$H86+'Class Allocations'!M$160*Functional!$J86+'Class Allocations'!M$166*Functional!$K86+'Class Allocations'!M$172*Functional!$L86+'Class Allocations'!M$178*Functional!$M86+'Class Allocations'!M$184*Functional!$N86+Functional!$P86</f>
        <v>13179.026538015467</v>
      </c>
      <c r="O86" s="4">
        <f>'Class Allocations'!N$144*Functional!$F86+'Class Allocations'!N$148*Functional!$G86+'Class Allocations'!N$152*Functional!$I86+'Class Allocations'!N$156*Functional!$H86+'Class Allocations'!N$160*Functional!$J86+'Class Allocations'!N$166*Functional!$K86+'Class Allocations'!N$172*Functional!$L86+'Class Allocations'!N$178*Functional!$M86+'Class Allocations'!N$184*Functional!$N86+Functional!$Q86</f>
        <v>13055.466620367313</v>
      </c>
      <c r="P86" s="4">
        <f t="shared" si="34"/>
        <v>373838.61057532841</v>
      </c>
      <c r="R86" s="124">
        <f t="shared" si="32"/>
        <v>0</v>
      </c>
      <c r="S86" s="124"/>
    </row>
    <row r="87" spans="1:19">
      <c r="A87" s="117">
        <f>IF(ISBLANK(C87),"",MAX($A$38:$A86)+1)</f>
        <v>45</v>
      </c>
      <c r="B87" s="148">
        <v>392.03</v>
      </c>
      <c r="C87" s="137" t="s">
        <v>268</v>
      </c>
      <c r="E87" s="135">
        <f>Functional!$E87</f>
        <v>20011029.188882001</v>
      </c>
      <c r="F87" s="135">
        <f>'Class Allocations'!E$144*Functional!$F87+'Class Allocations'!E$148*Functional!$G87+'Class Allocations'!E$152*Functional!$I87+'Class Allocations'!E$156*Functional!$H87+'Class Allocations'!E$160*Functional!$J87+'Class Allocations'!E$166*Functional!$K87+'Class Allocations'!E$172*Functional!$L87+'Class Allocations'!E$178*Functional!$M87+'Class Allocations'!E$184*Functional!$N87+Functional!$O87</f>
        <v>12930380.639278164</v>
      </c>
      <c r="G87" s="135">
        <f>'Class Allocations'!F$144*Functional!$F87+'Class Allocations'!F$148*Functional!$G87+'Class Allocations'!F$152*Functional!$I87+'Class Allocations'!F$156*Functional!$H87+'Class Allocations'!F$160*Functional!$J87+'Class Allocations'!F$166*Functional!$K87+'Class Allocations'!F$172*Functional!$L87+'Class Allocations'!F$178*Functional!$M87+'Class Allocations'!F$184*Functional!$N87</f>
        <v>4518105.7104956824</v>
      </c>
      <c r="H87" s="135">
        <f t="shared" si="30"/>
        <v>17448486.349773847</v>
      </c>
      <c r="I87" s="4">
        <f>'Class Allocations'!H$144*Functional!$F87+'Class Allocations'!H$148*Functional!$G87+'Class Allocations'!H$152*Functional!$I87+'Class Allocations'!H$156*Functional!$H87+'Class Allocations'!H$160*Functional!$J87+'Class Allocations'!H$166*Functional!$K87+'Class Allocations'!H$172*Functional!$L87+'Class Allocations'!H$178*Functional!$M87+'Class Allocations'!H$184*Functional!$N87</f>
        <v>944086.15174101724</v>
      </c>
      <c r="J87" s="4">
        <f>'Class Allocations'!I$144*Functional!$F87+'Class Allocations'!I$148*Functional!$G87+'Class Allocations'!I$152*Functional!$I87+'Class Allocations'!I$156*Functional!$H87+'Class Allocations'!I$160*Functional!$J87+'Class Allocations'!I$166*Functional!$K87+'Class Allocations'!I$172*Functional!$L87+'Class Allocations'!I$178*Functional!$M87+'Class Allocations'!I$184*Functional!$N87</f>
        <v>104202.0418327753</v>
      </c>
      <c r="K87" s="4">
        <f>'Class Allocations'!J$144*Functional!$F87+'Class Allocations'!J$148*Functional!$G87+'Class Allocations'!J$152*Functional!$I87+'Class Allocations'!J$156*Functional!$H87+'Class Allocations'!J$160*Functional!$J87+'Class Allocations'!J$166*Functional!$K87+'Class Allocations'!J$172*Functional!$L87+'Class Allocations'!J$178*Functional!$M87+'Class Allocations'!J$184*Functional!$N87</f>
        <v>103404.08379971812</v>
      </c>
      <c r="L87" s="4">
        <f>'Class Allocations'!K$144*Functional!$F87+'Class Allocations'!K$148*Functional!$G87+'Class Allocations'!K$152*Functional!$I87+'Class Allocations'!K$156*Functional!$H87+'Class Allocations'!K$160*Functional!$J87+'Class Allocations'!K$166*Functional!$K87+'Class Allocations'!K$172*Functional!$L87+'Class Allocations'!K$178*Functional!$M87+'Class Allocations'!K$184*Functional!$N87</f>
        <v>1080935.2877026559</v>
      </c>
      <c r="M87" s="4">
        <f>'Class Allocations'!L$144*Functional!$F87+'Class Allocations'!L$148*Functional!$G87+'Class Allocations'!L$152*Functional!$I87+'Class Allocations'!L$156*Functional!$H87+'Class Allocations'!L$160*Functional!$J87+'Class Allocations'!L$166*Functional!$K87+'Class Allocations'!L$172*Functional!$L87+'Class Allocations'!L$178*Functional!$M87+'Class Allocations'!L$184*Functional!$N87</f>
        <v>150086.30324380624</v>
      </c>
      <c r="N87" s="4">
        <f>'Class Allocations'!M$144*Functional!$F87+'Class Allocations'!M$148*Functional!$G87+'Class Allocations'!M$152*Functional!$I87+'Class Allocations'!M$156*Functional!$H87+'Class Allocations'!M$160*Functional!$J87+'Class Allocations'!M$166*Functional!$K87+'Class Allocations'!M$172*Functional!$L87+'Class Allocations'!M$178*Functional!$M87+'Class Allocations'!M$184*Functional!$N87+Functional!$P87</f>
        <v>90337.967042606673</v>
      </c>
      <c r="O87" s="4">
        <f>'Class Allocations'!N$144*Functional!$F87+'Class Allocations'!N$148*Functional!$G87+'Class Allocations'!N$152*Functional!$I87+'Class Allocations'!N$156*Functional!$H87+'Class Allocations'!N$160*Functional!$J87+'Class Allocations'!N$166*Functional!$K87+'Class Allocations'!N$172*Functional!$L87+'Class Allocations'!N$178*Functional!$M87+'Class Allocations'!N$184*Functional!$N87+Functional!$Q87</f>
        <v>89491.003745576469</v>
      </c>
      <c r="P87" s="4">
        <f t="shared" si="34"/>
        <v>2562542.839108156</v>
      </c>
      <c r="R87" s="124">
        <f t="shared" si="32"/>
        <v>0</v>
      </c>
      <c r="S87" s="124"/>
    </row>
    <row r="88" spans="1:19">
      <c r="A88" s="117">
        <f>IF(ISBLANK(C88),"",MAX($A$38:$A87)+1)</f>
        <v>46</v>
      </c>
      <c r="B88" s="148">
        <v>392.04</v>
      </c>
      <c r="C88" s="137" t="s">
        <v>269</v>
      </c>
      <c r="E88" s="135">
        <f>Functional!$E88</f>
        <v>1425880.7286699999</v>
      </c>
      <c r="F88" s="135">
        <f>'Class Allocations'!E$144*Functional!$F88+'Class Allocations'!E$148*Functional!$G88+'Class Allocations'!E$152*Functional!$I88+'Class Allocations'!E$156*Functional!$H88+'Class Allocations'!E$160*Functional!$J88+'Class Allocations'!E$166*Functional!$K88+'Class Allocations'!E$172*Functional!$L88+'Class Allocations'!E$178*Functional!$M88+'Class Allocations'!E$184*Functional!$N88+Functional!$O88</f>
        <v>921350.94071813079</v>
      </c>
      <c r="G88" s="135">
        <f>'Class Allocations'!F$144*Functional!$F88+'Class Allocations'!F$148*Functional!$G88+'Class Allocations'!F$152*Functional!$I88+'Class Allocations'!F$156*Functional!$H88+'Class Allocations'!F$160*Functional!$J88+'Class Allocations'!F$166*Functional!$K88+'Class Allocations'!F$172*Functional!$L88+'Class Allocations'!F$178*Functional!$M88+'Class Allocations'!F$184*Functional!$N88</f>
        <v>321936.45823419018</v>
      </c>
      <c r="H88" s="135">
        <f t="shared" si="30"/>
        <v>1243287.3989523209</v>
      </c>
      <c r="I88" s="4">
        <f>'Class Allocations'!H$144*Functional!$F88+'Class Allocations'!H$148*Functional!$G88+'Class Allocations'!H$152*Functional!$I88+'Class Allocations'!H$156*Functional!$H88+'Class Allocations'!H$160*Functional!$J88+'Class Allocations'!H$166*Functional!$K88+'Class Allocations'!H$172*Functional!$L88+'Class Allocations'!H$178*Functional!$M88+'Class Allocations'!H$184*Functional!$N88</f>
        <v>67270.61548236871</v>
      </c>
      <c r="J88" s="4">
        <f>'Class Allocations'!I$144*Functional!$F88+'Class Allocations'!I$148*Functional!$G88+'Class Allocations'!I$152*Functional!$I88+'Class Allocations'!I$156*Functional!$H88+'Class Allocations'!I$160*Functional!$J88+'Class Allocations'!I$166*Functional!$K88+'Class Allocations'!I$172*Functional!$L88+'Class Allocations'!I$178*Functional!$M88+'Class Allocations'!I$184*Functional!$N88</f>
        <v>7424.8896413568455</v>
      </c>
      <c r="K88" s="4">
        <f>'Class Allocations'!J$144*Functional!$F88+'Class Allocations'!J$148*Functional!$G88+'Class Allocations'!J$152*Functional!$I88+'Class Allocations'!J$156*Functional!$H88+'Class Allocations'!J$160*Functional!$J88+'Class Allocations'!J$166*Functional!$K88+'Class Allocations'!J$172*Functional!$L88+'Class Allocations'!J$178*Functional!$M88+'Class Allocations'!J$184*Functional!$N88</f>
        <v>7368.0313473188862</v>
      </c>
      <c r="L88" s="4">
        <f>'Class Allocations'!K$144*Functional!$F88+'Class Allocations'!K$148*Functional!$G88+'Class Allocations'!K$152*Functional!$I88+'Class Allocations'!K$156*Functional!$H88+'Class Allocations'!K$160*Functional!$J88+'Class Allocations'!K$166*Functional!$K88+'Class Allocations'!K$172*Functional!$L88+'Class Allocations'!K$178*Functional!$M88+'Class Allocations'!K$184*Functional!$N88</f>
        <v>77021.765403795784</v>
      </c>
      <c r="M88" s="4">
        <f>'Class Allocations'!L$144*Functional!$F88+'Class Allocations'!L$148*Functional!$G88+'Class Allocations'!L$152*Functional!$I88+'Class Allocations'!L$156*Functional!$H88+'Class Allocations'!L$160*Functional!$J88+'Class Allocations'!L$166*Functional!$K88+'Class Allocations'!L$172*Functional!$L88+'Class Allocations'!L$178*Functional!$M88+'Class Allocations'!L$184*Functional!$N88</f>
        <v>10694.360865335448</v>
      </c>
      <c r="N88" s="4">
        <f>'Class Allocations'!M$144*Functional!$F88+'Class Allocations'!M$148*Functional!$G88+'Class Allocations'!M$152*Functional!$I88+'Class Allocations'!M$156*Functional!$H88+'Class Allocations'!M$160*Functional!$J88+'Class Allocations'!M$166*Functional!$K88+'Class Allocations'!M$172*Functional!$L88+'Class Allocations'!M$178*Functional!$M88+'Class Allocations'!M$184*Functional!$N88+Functional!$P88</f>
        <v>6437.008564499276</v>
      </c>
      <c r="O88" s="4">
        <f>'Class Allocations'!N$144*Functional!$F88+'Class Allocations'!N$148*Functional!$G88+'Class Allocations'!N$152*Functional!$I88+'Class Allocations'!N$156*Functional!$H88+'Class Allocations'!N$160*Functional!$J88+'Class Allocations'!N$166*Functional!$K88+'Class Allocations'!N$172*Functional!$L88+'Class Allocations'!N$178*Functional!$M88+'Class Allocations'!N$184*Functional!$N88+Functional!$Q88</f>
        <v>6376.6584130039628</v>
      </c>
      <c r="P88" s="4">
        <f t="shared" si="34"/>
        <v>182593.32971767889</v>
      </c>
      <c r="R88" s="124">
        <f t="shared" si="32"/>
        <v>0</v>
      </c>
      <c r="S88" s="124"/>
    </row>
    <row r="89" spans="1:19">
      <c r="A89" s="117">
        <f>IF(ISBLANK(C89),"",MAX($A$38:$A88)+1)</f>
        <v>47</v>
      </c>
      <c r="B89" s="148">
        <v>392.05</v>
      </c>
      <c r="C89" s="137" t="s">
        <v>270</v>
      </c>
      <c r="E89" s="135">
        <f>Functional!$E89</f>
        <v>3262358.4424480004</v>
      </c>
      <c r="F89" s="135">
        <f>'Class Allocations'!E$144*Functional!$F89+'Class Allocations'!E$148*Functional!$G89+'Class Allocations'!E$152*Functional!$I89+'Class Allocations'!E$156*Functional!$H89+'Class Allocations'!E$160*Functional!$J89+'Class Allocations'!E$166*Functional!$K89+'Class Allocations'!E$172*Functional!$L89+'Class Allocations'!E$178*Functional!$M89+'Class Allocations'!E$184*Functional!$N89+Functional!$O89</f>
        <v>2108014.3377159331</v>
      </c>
      <c r="G89" s="135">
        <f>'Class Allocations'!F$144*Functional!$F89+'Class Allocations'!F$148*Functional!$G89+'Class Allocations'!F$152*Functional!$I89+'Class Allocations'!F$156*Functional!$H89+'Class Allocations'!F$160*Functional!$J89+'Class Allocations'!F$166*Functional!$K89+'Class Allocations'!F$172*Functional!$L89+'Class Allocations'!F$178*Functional!$M89+'Class Allocations'!F$184*Functional!$N89</f>
        <v>736577.82262880227</v>
      </c>
      <c r="H89" s="135">
        <f t="shared" si="30"/>
        <v>2844592.1603447353</v>
      </c>
      <c r="I89" s="4">
        <f>'Class Allocations'!H$144*Functional!$F89+'Class Allocations'!H$148*Functional!$G89+'Class Allocations'!H$152*Functional!$I89+'Class Allocations'!H$156*Functional!$H89+'Class Allocations'!H$160*Functional!$J89+'Class Allocations'!H$166*Functional!$K89+'Class Allocations'!H$172*Functional!$L89+'Class Allocations'!H$178*Functional!$M89+'Class Allocations'!H$184*Functional!$N89</f>
        <v>153912.49487766228</v>
      </c>
      <c r="J89" s="4">
        <f>'Class Allocations'!I$144*Functional!$F89+'Class Allocations'!I$148*Functional!$G89+'Class Allocations'!I$152*Functional!$I89+'Class Allocations'!I$156*Functional!$H89+'Class Allocations'!I$160*Functional!$J89+'Class Allocations'!I$166*Functional!$K89+'Class Allocations'!I$172*Functional!$L89+'Class Allocations'!I$178*Functional!$M89+'Class Allocations'!I$184*Functional!$N89</f>
        <v>16987.852433014545</v>
      </c>
      <c r="K89" s="4">
        <f>'Class Allocations'!J$144*Functional!$F89+'Class Allocations'!J$148*Functional!$G89+'Class Allocations'!J$152*Functional!$I89+'Class Allocations'!J$156*Functional!$H89+'Class Allocations'!J$160*Functional!$J89+'Class Allocations'!J$166*Functional!$K89+'Class Allocations'!J$172*Functional!$L89+'Class Allocations'!J$178*Functional!$M89+'Class Allocations'!J$184*Functional!$N89</f>
        <v>16857.762915814223</v>
      </c>
      <c r="L89" s="4">
        <f>'Class Allocations'!K$144*Functional!$F89+'Class Allocations'!K$148*Functional!$G89+'Class Allocations'!K$152*Functional!$I89+'Class Allocations'!K$156*Functional!$H89+'Class Allocations'!K$160*Functional!$J89+'Class Allocations'!K$166*Functional!$K89+'Class Allocations'!K$172*Functional!$L89+'Class Allocations'!K$178*Functional!$M89+'Class Allocations'!K$184*Functional!$N89</f>
        <v>176222.73838548805</v>
      </c>
      <c r="M89" s="4">
        <f>'Class Allocations'!L$144*Functional!$F89+'Class Allocations'!L$148*Functional!$G89+'Class Allocations'!L$152*Functional!$I89+'Class Allocations'!L$156*Functional!$H89+'Class Allocations'!L$160*Functional!$J89+'Class Allocations'!L$166*Functional!$K89+'Class Allocations'!L$172*Functional!$L89+'Class Allocations'!L$178*Functional!$M89+'Class Allocations'!L$184*Functional!$N89</f>
        <v>24468.272664120654</v>
      </c>
      <c r="N89" s="4">
        <f>'Class Allocations'!M$144*Functional!$F89+'Class Allocations'!M$148*Functional!$G89+'Class Allocations'!M$152*Functional!$I89+'Class Allocations'!M$156*Functional!$H89+'Class Allocations'!M$160*Functional!$J89+'Class Allocations'!M$166*Functional!$K89+'Class Allocations'!M$172*Functional!$L89+'Class Allocations'!M$178*Functional!$M89+'Class Allocations'!M$184*Functional!$N89+Functional!$P89</f>
        <v>14727.619787730795</v>
      </c>
      <c r="O89" s="4">
        <f>'Class Allocations'!N$144*Functional!$F89+'Class Allocations'!N$148*Functional!$G89+'Class Allocations'!N$152*Functional!$I89+'Class Allocations'!N$156*Functional!$H89+'Class Allocations'!N$160*Functional!$J89+'Class Allocations'!N$166*Functional!$K89+'Class Allocations'!N$172*Functional!$L89+'Class Allocations'!N$178*Functional!$M89+'Class Allocations'!N$184*Functional!$N89+Functional!$Q89</f>
        <v>14589.541039435071</v>
      </c>
      <c r="P89" s="4">
        <f t="shared" si="34"/>
        <v>417766.28210326564</v>
      </c>
      <c r="R89" s="124">
        <f t="shared" si="32"/>
        <v>0</v>
      </c>
      <c r="S89" s="124"/>
    </row>
    <row r="90" spans="1:19">
      <c r="A90" s="117">
        <f>IF(ISBLANK(C90),"",MAX($A$38:$A89)+1)</f>
        <v>48</v>
      </c>
      <c r="B90" s="148">
        <v>392.06</v>
      </c>
      <c r="C90" s="137" t="s">
        <v>271</v>
      </c>
      <c r="E90" s="135">
        <f>Functional!$E90</f>
        <v>1027857.551008</v>
      </c>
      <c r="F90" s="135">
        <f>'Class Allocations'!E$144*Functional!$F90+'Class Allocations'!E$148*Functional!$G90+'Class Allocations'!E$152*Functional!$I90+'Class Allocations'!E$156*Functional!$H90+'Class Allocations'!E$160*Functional!$J90+'Class Allocations'!E$166*Functional!$K90+'Class Allocations'!E$172*Functional!$L90+'Class Allocations'!E$178*Functional!$M90+'Class Allocations'!E$184*Functional!$N90+Functional!$O90</f>
        <v>664163.20980001753</v>
      </c>
      <c r="G90" s="135">
        <f>'Class Allocations'!F$144*Functional!$F90+'Class Allocations'!F$148*Functional!$G90+'Class Allocations'!F$152*Functional!$I90+'Class Allocations'!F$156*Functional!$H90+'Class Allocations'!F$160*Functional!$J90+'Class Allocations'!F$166*Functional!$K90+'Class Allocations'!F$172*Functional!$L90+'Class Allocations'!F$178*Functional!$M90+'Class Allocations'!F$184*Functional!$N90</f>
        <v>232070.47608353457</v>
      </c>
      <c r="H90" s="135">
        <f t="shared" si="30"/>
        <v>896233.68588355207</v>
      </c>
      <c r="I90" s="4">
        <f>'Class Allocations'!H$144*Functional!$F90+'Class Allocations'!H$148*Functional!$G90+'Class Allocations'!H$152*Functional!$I90+'Class Allocations'!H$156*Functional!$H90+'Class Allocations'!H$160*Functional!$J90+'Class Allocations'!H$166*Functional!$K90+'Class Allocations'!H$172*Functional!$L90+'Class Allocations'!H$178*Functional!$M90+'Class Allocations'!H$184*Functional!$N90</f>
        <v>48492.562311998889</v>
      </c>
      <c r="J90" s="4">
        <f>'Class Allocations'!I$144*Functional!$F90+'Class Allocations'!I$148*Functional!$G90+'Class Allocations'!I$152*Functional!$I90+'Class Allocations'!I$156*Functional!$H90+'Class Allocations'!I$160*Functional!$J90+'Class Allocations'!I$166*Functional!$K90+'Class Allocations'!I$172*Functional!$L90+'Class Allocations'!I$178*Functional!$M90+'Class Allocations'!I$184*Functional!$N90</f>
        <v>5352.2912048809731</v>
      </c>
      <c r="K90" s="4">
        <f>'Class Allocations'!J$144*Functional!$F90+'Class Allocations'!J$148*Functional!$G90+'Class Allocations'!J$152*Functional!$I90+'Class Allocations'!J$156*Functional!$H90+'Class Allocations'!J$160*Functional!$J90+'Class Allocations'!J$166*Functional!$K90+'Class Allocations'!J$172*Functional!$L90+'Class Allocations'!J$178*Functional!$M90+'Class Allocations'!J$184*Functional!$N90</f>
        <v>5311.3044479319124</v>
      </c>
      <c r="L90" s="4">
        <f>'Class Allocations'!K$144*Functional!$F90+'Class Allocations'!K$148*Functional!$G90+'Class Allocations'!K$152*Functional!$I90+'Class Allocations'!K$156*Functional!$H90+'Class Allocations'!K$160*Functional!$J90+'Class Allocations'!K$166*Functional!$K90+'Class Allocations'!K$172*Functional!$L90+'Class Allocations'!K$178*Functional!$M90+'Class Allocations'!K$184*Functional!$N90</f>
        <v>55521.756883622496</v>
      </c>
      <c r="M90" s="4">
        <f>'Class Allocations'!L$144*Functional!$F90+'Class Allocations'!L$148*Functional!$G90+'Class Allocations'!L$152*Functional!$I90+'Class Allocations'!L$156*Functional!$H90+'Class Allocations'!L$160*Functional!$J90+'Class Allocations'!L$166*Functional!$K90+'Class Allocations'!L$172*Functional!$L90+'Class Allocations'!L$178*Functional!$M90+'Class Allocations'!L$184*Functional!$N90</f>
        <v>7709.1157399206968</v>
      </c>
      <c r="N90" s="4">
        <f>'Class Allocations'!M$144*Functional!$F90+'Class Allocations'!M$148*Functional!$G90+'Class Allocations'!M$152*Functional!$I90+'Class Allocations'!M$156*Functional!$H90+'Class Allocations'!M$160*Functional!$J90+'Class Allocations'!M$166*Functional!$K90+'Class Allocations'!M$172*Functional!$L90+'Class Allocations'!M$178*Functional!$M90+'Class Allocations'!M$184*Functional!$N90+Functional!$P90</f>
        <v>4640.1692132378939</v>
      </c>
      <c r="O90" s="4">
        <f>'Class Allocations'!N$144*Functional!$F90+'Class Allocations'!N$148*Functional!$G90+'Class Allocations'!N$152*Functional!$I90+'Class Allocations'!N$156*Functional!$H90+'Class Allocations'!N$160*Functional!$J90+'Class Allocations'!N$166*Functional!$K90+'Class Allocations'!N$172*Functional!$L90+'Class Allocations'!N$178*Functional!$M90+'Class Allocations'!N$184*Functional!$N90+Functional!$Q90</f>
        <v>4596.665322855144</v>
      </c>
      <c r="P90" s="4">
        <f t="shared" si="34"/>
        <v>131623.86512444803</v>
      </c>
      <c r="R90" s="124">
        <f t="shared" si="32"/>
        <v>0</v>
      </c>
      <c r="S90" s="124"/>
    </row>
    <row r="91" spans="1:19">
      <c r="A91" s="117">
        <f>IF(ISBLANK(C91),"",MAX($A$38:$A90)+1)</f>
        <v>49</v>
      </c>
      <c r="B91" s="148">
        <v>393</v>
      </c>
      <c r="C91" s="137" t="s">
        <v>131</v>
      </c>
      <c r="E91" s="135">
        <f>Functional!$E91</f>
        <v>28177.52</v>
      </c>
      <c r="F91" s="135">
        <f>'Class Allocations'!E$144*Functional!$F91+'Class Allocations'!E$148*Functional!$G91+'Class Allocations'!E$152*Functional!$I91+'Class Allocations'!E$156*Functional!$H91+'Class Allocations'!E$160*Functional!$J91+'Class Allocations'!E$166*Functional!$K91+'Class Allocations'!E$172*Functional!$L91+'Class Allocations'!E$178*Functional!$M91+'Class Allocations'!E$184*Functional!$N91+Functional!$O91</f>
        <v>18207.26238674928</v>
      </c>
      <c r="G91" s="135">
        <f>'Class Allocations'!F$144*Functional!$F91+'Class Allocations'!F$148*Functional!$G91+'Class Allocations'!F$152*Functional!$I91+'Class Allocations'!F$156*Functional!$H91+'Class Allocations'!F$160*Functional!$J91+'Class Allocations'!F$166*Functional!$K91+'Class Allocations'!F$172*Functional!$L91+'Class Allocations'!F$178*Functional!$M91+'Class Allocations'!F$184*Functional!$N91</f>
        <v>6361.9423477898072</v>
      </c>
      <c r="H91" s="135">
        <f t="shared" si="30"/>
        <v>24569.204734539089</v>
      </c>
      <c r="I91" s="4">
        <f>'Class Allocations'!H$144*Functional!$F91+'Class Allocations'!H$148*Functional!$G91+'Class Allocations'!H$152*Functional!$I91+'Class Allocations'!H$156*Functional!$H91+'Class Allocations'!H$160*Functional!$J91+'Class Allocations'!H$166*Functional!$K91+'Class Allocations'!H$172*Functional!$L91+'Class Allocations'!H$178*Functional!$M91+'Class Allocations'!H$184*Functional!$N91</f>
        <v>1329.3672290071643</v>
      </c>
      <c r="J91" s="4">
        <f>'Class Allocations'!I$144*Functional!$F91+'Class Allocations'!I$148*Functional!$G91+'Class Allocations'!I$152*Functional!$I91+'Class Allocations'!I$156*Functional!$H91+'Class Allocations'!I$160*Functional!$J91+'Class Allocations'!I$166*Functional!$K91+'Class Allocations'!I$172*Functional!$L91+'Class Allocations'!I$178*Functional!$M91+'Class Allocations'!I$184*Functional!$N91</f>
        <v>146.72684198647667</v>
      </c>
      <c r="K91" s="4">
        <f>'Class Allocations'!J$144*Functional!$F91+'Class Allocations'!J$148*Functional!$G91+'Class Allocations'!J$152*Functional!$I91+'Class Allocations'!J$156*Functional!$H91+'Class Allocations'!J$160*Functional!$J91+'Class Allocations'!J$166*Functional!$K91+'Class Allocations'!J$172*Functional!$L91+'Class Allocations'!J$178*Functional!$M91+'Class Allocations'!J$184*Functional!$N91</f>
        <v>145.6032376868977</v>
      </c>
      <c r="L91" s="4">
        <f>'Class Allocations'!K$144*Functional!$F91+'Class Allocations'!K$148*Functional!$G91+'Class Allocations'!K$152*Functional!$I91+'Class Allocations'!K$156*Functional!$H91+'Class Allocations'!K$160*Functional!$J91+'Class Allocations'!K$166*Functional!$K91+'Class Allocations'!K$172*Functional!$L91+'Class Allocations'!K$178*Functional!$M91+'Class Allocations'!K$184*Functional!$N91</f>
        <v>1522.0644275942414</v>
      </c>
      <c r="M91" s="4">
        <f>'Class Allocations'!L$144*Functional!$F91+'Class Allocations'!L$148*Functional!$G91+'Class Allocations'!L$152*Functional!$I91+'Class Allocations'!L$156*Functional!$H91+'Class Allocations'!L$160*Functional!$J91+'Class Allocations'!L$166*Functional!$K91+'Class Allocations'!L$172*Functional!$L91+'Class Allocations'!L$178*Functional!$M91+'Class Allocations'!L$184*Functional!$N91</f>
        <v>211.3364470892908</v>
      </c>
      <c r="N91" s="4">
        <f>'Class Allocations'!M$144*Functional!$F91+'Class Allocations'!M$148*Functional!$G91+'Class Allocations'!M$152*Functional!$I91+'Class Allocations'!M$156*Functional!$H91+'Class Allocations'!M$160*Functional!$J91+'Class Allocations'!M$166*Functional!$K91+'Class Allocations'!M$172*Functional!$L91+'Class Allocations'!M$178*Functional!$M91+'Class Allocations'!M$184*Functional!$N91+Functional!$P91</f>
        <v>127.20484534182049</v>
      </c>
      <c r="O91" s="4">
        <f>'Class Allocations'!N$144*Functional!$F91+'Class Allocations'!N$148*Functional!$G91+'Class Allocations'!N$152*Functional!$I91+'Class Allocations'!N$156*Functional!$H91+'Class Allocations'!N$160*Functional!$J91+'Class Allocations'!N$166*Functional!$K91+'Class Allocations'!N$172*Functional!$L91+'Class Allocations'!N$178*Functional!$M91+'Class Allocations'!N$184*Functional!$N91+Functional!$Q91</f>
        <v>126.01223675502207</v>
      </c>
      <c r="P91" s="4">
        <f t="shared" si="34"/>
        <v>3608.3152654609135</v>
      </c>
      <c r="R91" s="124">
        <f t="shared" si="32"/>
        <v>0</v>
      </c>
      <c r="S91" s="124">
        <f t="shared" si="33"/>
        <v>0</v>
      </c>
    </row>
    <row r="92" spans="1:19">
      <c r="A92" s="117">
        <f>IF(ISBLANK(C92),"",MAX($A$38:$A91)+1)</f>
        <v>50</v>
      </c>
      <c r="B92" s="148">
        <v>394</v>
      </c>
      <c r="C92" s="137" t="s">
        <v>272</v>
      </c>
      <c r="E92" s="135">
        <f>Functional!$E92</f>
        <v>14026733.278991999</v>
      </c>
      <c r="F92" s="135">
        <f>'Class Allocations'!E$144*Functional!$F92+'Class Allocations'!E$148*Functional!$G92+'Class Allocations'!E$152*Functional!$I92+'Class Allocations'!E$156*Functional!$H92+'Class Allocations'!E$160*Functional!$J92+'Class Allocations'!E$166*Functional!$K92+'Class Allocations'!E$172*Functional!$L92+'Class Allocations'!E$178*Functional!$M92+'Class Allocations'!E$184*Functional!$N92+Functional!$O92</f>
        <v>9063551.839890644</v>
      </c>
      <c r="G92" s="135">
        <f>'Class Allocations'!F$144*Functional!$F92+'Class Allocations'!F$148*Functional!$G92+'Class Allocations'!F$152*Functional!$I92+'Class Allocations'!F$156*Functional!$H92+'Class Allocations'!F$160*Functional!$J92+'Class Allocations'!F$166*Functional!$K92+'Class Allocations'!F$172*Functional!$L92+'Class Allocations'!F$178*Functional!$M92+'Class Allocations'!F$184*Functional!$N92</f>
        <v>3166966.7326568044</v>
      </c>
      <c r="H92" s="135">
        <f t="shared" si="30"/>
        <v>12230518.572547449</v>
      </c>
      <c r="I92" s="4">
        <f>'Class Allocations'!H$144*Functional!$F92+'Class Allocations'!H$148*Functional!$G92+'Class Allocations'!H$152*Functional!$I92+'Class Allocations'!H$156*Functional!$H92+'Class Allocations'!H$160*Functional!$J92+'Class Allocations'!H$166*Functional!$K92+'Class Allocations'!H$172*Functional!$L92+'Class Allocations'!H$178*Functional!$M92+'Class Allocations'!H$184*Functional!$N92</f>
        <v>661757.29983036721</v>
      </c>
      <c r="J92" s="4">
        <f>'Class Allocations'!I$144*Functional!$F92+'Class Allocations'!I$148*Functional!$G92+'Class Allocations'!I$152*Functional!$I92+'Class Allocations'!I$156*Functional!$H92+'Class Allocations'!I$160*Functional!$J92+'Class Allocations'!I$166*Functional!$K92+'Class Allocations'!I$172*Functional!$L92+'Class Allocations'!I$178*Functional!$M92+'Class Allocations'!I$184*Functional!$N92</f>
        <v>73040.433558848104</v>
      </c>
      <c r="K92" s="4">
        <f>'Class Allocations'!J$144*Functional!$F92+'Class Allocations'!J$148*Functional!$G92+'Class Allocations'!J$152*Functional!$I92+'Class Allocations'!J$156*Functional!$H92+'Class Allocations'!J$160*Functional!$J92+'Class Allocations'!J$166*Functional!$K92+'Class Allocations'!J$172*Functional!$L92+'Class Allocations'!J$178*Functional!$M92+'Class Allocations'!J$184*Functional!$N92</f>
        <v>72481.104781108836</v>
      </c>
      <c r="L92" s="4">
        <f>'Class Allocations'!K$144*Functional!$F92+'Class Allocations'!K$148*Functional!$G92+'Class Allocations'!K$152*Functional!$I92+'Class Allocations'!K$156*Functional!$H92+'Class Allocations'!K$160*Functional!$J92+'Class Allocations'!K$166*Functional!$K92+'Class Allocations'!K$172*Functional!$L92+'Class Allocations'!K$178*Functional!$M92+'Class Allocations'!K$184*Functional!$N92</f>
        <v>757681.71788383275</v>
      </c>
      <c r="M92" s="4">
        <f>'Class Allocations'!L$144*Functional!$F92+'Class Allocations'!L$148*Functional!$G92+'Class Allocations'!L$152*Functional!$I92+'Class Allocations'!L$156*Functional!$H92+'Class Allocations'!L$160*Functional!$J92+'Class Allocations'!L$166*Functional!$K92+'Class Allocations'!L$172*Functional!$L92+'Class Allocations'!L$178*Functional!$M92+'Class Allocations'!L$184*Functional!$N92</f>
        <v>105203.01202700903</v>
      </c>
      <c r="N92" s="4">
        <f>'Class Allocations'!M$144*Functional!$F92+'Class Allocations'!M$148*Functional!$G92+'Class Allocations'!M$152*Functional!$I92+'Class Allocations'!M$156*Functional!$H92+'Class Allocations'!M$160*Functional!$J92+'Class Allocations'!M$166*Functional!$K92+'Class Allocations'!M$172*Functional!$L92+'Class Allocations'!M$178*Functional!$M92+'Class Allocations'!M$184*Functional!$N92+Functional!$P92</f>
        <v>63322.408693353558</v>
      </c>
      <c r="O92" s="4">
        <f>'Class Allocations'!N$144*Functional!$F92+'Class Allocations'!N$148*Functional!$G92+'Class Allocations'!N$152*Functional!$I92+'Class Allocations'!N$156*Functional!$H92+'Class Allocations'!N$160*Functional!$J92+'Class Allocations'!N$166*Functional!$K92+'Class Allocations'!N$172*Functional!$L92+'Class Allocations'!N$178*Functional!$M92+'Class Allocations'!N$184*Functional!$N92+Functional!$Q92</f>
        <v>62728.729670030822</v>
      </c>
      <c r="P92" s="4">
        <f t="shared" si="34"/>
        <v>1796214.7064445501</v>
      </c>
      <c r="R92" s="124">
        <f t="shared" si="32"/>
        <v>0</v>
      </c>
      <c r="S92" s="124">
        <f t="shared" si="33"/>
        <v>0</v>
      </c>
    </row>
    <row r="93" spans="1:19">
      <c r="A93" s="117">
        <f>IF(ISBLANK(C93),"",MAX($A$38:$A92)+1)</f>
        <v>51</v>
      </c>
      <c r="B93" s="148">
        <v>395</v>
      </c>
      <c r="C93" s="137" t="s">
        <v>132</v>
      </c>
      <c r="E93" s="135">
        <f>Functional!$E93</f>
        <v>88802.52</v>
      </c>
      <c r="F93" s="135">
        <f>'Class Allocations'!E$144*Functional!$F93+'Class Allocations'!E$148*Functional!$G93+'Class Allocations'!E$152*Functional!$I93+'Class Allocations'!E$156*Functional!$H93+'Class Allocations'!E$160*Functional!$J93+'Class Allocations'!E$166*Functional!$K93+'Class Allocations'!E$172*Functional!$L93+'Class Allocations'!E$178*Functional!$M93+'Class Allocations'!E$184*Functional!$N93+Functional!$O93</f>
        <v>57380.876040352407</v>
      </c>
      <c r="G93" s="135">
        <f>'Class Allocations'!F$144*Functional!$F93+'Class Allocations'!F$148*Functional!$G93+'Class Allocations'!F$152*Functional!$I93+'Class Allocations'!F$156*Functional!$H93+'Class Allocations'!F$160*Functional!$J93+'Class Allocations'!F$166*Functional!$K93+'Class Allocations'!F$172*Functional!$L93+'Class Allocations'!F$178*Functional!$M93+'Class Allocations'!F$184*Functional!$N93</f>
        <v>20049.901928148793</v>
      </c>
      <c r="H93" s="135">
        <f t="shared" si="30"/>
        <v>77430.777968501206</v>
      </c>
      <c r="I93" s="4">
        <f>'Class Allocations'!H$144*Functional!$F93+'Class Allocations'!H$148*Functional!$G93+'Class Allocations'!H$152*Functional!$I93+'Class Allocations'!H$156*Functional!$H93+'Class Allocations'!H$160*Functional!$J93+'Class Allocations'!H$166*Functional!$K93+'Class Allocations'!H$172*Functional!$L93+'Class Allocations'!H$178*Functional!$M93+'Class Allocations'!H$184*Functional!$N93</f>
        <v>4189.5511010640139</v>
      </c>
      <c r="J93" s="4">
        <f>'Class Allocations'!I$144*Functional!$F93+'Class Allocations'!I$148*Functional!$G93+'Class Allocations'!I$152*Functional!$I93+'Class Allocations'!I$156*Functional!$H93+'Class Allocations'!I$160*Functional!$J93+'Class Allocations'!I$166*Functional!$K93+'Class Allocations'!I$172*Functional!$L93+'Class Allocations'!I$178*Functional!$M93+'Class Allocations'!I$184*Functional!$N93</f>
        <v>462.41519197008608</v>
      </c>
      <c r="K93" s="4">
        <f>'Class Allocations'!J$144*Functional!$F93+'Class Allocations'!J$148*Functional!$G93+'Class Allocations'!J$152*Functional!$I93+'Class Allocations'!J$156*Functional!$H93+'Class Allocations'!J$160*Functional!$J93+'Class Allocations'!J$166*Functional!$K93+'Class Allocations'!J$172*Functional!$L93+'Class Allocations'!J$178*Functional!$M93+'Class Allocations'!J$184*Functional!$N93</f>
        <v>458.87411052340616</v>
      </c>
      <c r="L93" s="4">
        <f>'Class Allocations'!K$144*Functional!$F93+'Class Allocations'!K$148*Functional!$G93+'Class Allocations'!K$152*Functional!$I93+'Class Allocations'!K$156*Functional!$H93+'Class Allocations'!K$160*Functional!$J93+'Class Allocations'!K$166*Functional!$K93+'Class Allocations'!K$172*Functional!$L93+'Class Allocations'!K$178*Functional!$M93+'Class Allocations'!K$184*Functional!$N93</f>
        <v>4796.8436105351429</v>
      </c>
      <c r="M93" s="4">
        <f>'Class Allocations'!L$144*Functional!$F93+'Class Allocations'!L$148*Functional!$G93+'Class Allocations'!L$152*Functional!$I93+'Class Allocations'!L$156*Functional!$H93+'Class Allocations'!L$160*Functional!$J93+'Class Allocations'!L$166*Functional!$K93+'Class Allocations'!L$172*Functional!$L93+'Class Allocations'!L$178*Functional!$M93+'Class Allocations'!L$184*Functional!$N93</f>
        <v>666.03480609278915</v>
      </c>
      <c r="N93" s="4">
        <f>'Class Allocations'!M$144*Functional!$F93+'Class Allocations'!M$148*Functional!$G93+'Class Allocations'!M$152*Functional!$I93+'Class Allocations'!M$156*Functional!$H93+'Class Allocations'!M$160*Functional!$J93+'Class Allocations'!M$166*Functional!$K93+'Class Allocations'!M$172*Functional!$L93+'Class Allocations'!M$178*Functional!$M93+'Class Allocations'!M$184*Functional!$N93+Functional!$P93</f>
        <v>400.89088119053486</v>
      </c>
      <c r="O93" s="4">
        <f>'Class Allocations'!N$144*Functional!$F93+'Class Allocations'!N$148*Functional!$G93+'Class Allocations'!N$152*Functional!$I93+'Class Allocations'!N$156*Functional!$H93+'Class Allocations'!N$160*Functional!$J93+'Class Allocations'!N$166*Functional!$K93+'Class Allocations'!N$172*Functional!$L93+'Class Allocations'!N$178*Functional!$M93+'Class Allocations'!N$184*Functional!$N93+Functional!$Q93</f>
        <v>397.1323301228278</v>
      </c>
      <c r="P93" s="4">
        <f t="shared" si="34"/>
        <v>11371.742031498801</v>
      </c>
      <c r="R93" s="124">
        <f t="shared" si="32"/>
        <v>0</v>
      </c>
      <c r="S93" s="124">
        <f t="shared" si="33"/>
        <v>0</v>
      </c>
    </row>
    <row r="94" spans="1:19">
      <c r="A94" s="117">
        <f>IF(ISBLANK(C94),"",MAX($A$38:$A93)+1)</f>
        <v>52</v>
      </c>
      <c r="B94" s="148">
        <v>396</v>
      </c>
      <c r="C94" s="137" t="s">
        <v>550</v>
      </c>
      <c r="E94" s="135">
        <f>Functional!$E94</f>
        <v>5497463.7499999991</v>
      </c>
      <c r="F94" s="135">
        <f>'Class Allocations'!E$144*Functional!$F94+'Class Allocations'!E$148*Functional!$G94+'Class Allocations'!E$152*Functional!$I94+'Class Allocations'!E$156*Functional!$H94+'Class Allocations'!E$160*Functional!$J94+'Class Allocations'!E$166*Functional!$K94+'Class Allocations'!E$172*Functional!$L94+'Class Allocations'!E$178*Functional!$M94+'Class Allocations'!E$184*Functional!$N94+Functional!$O94</f>
        <v>3552256.016778362</v>
      </c>
      <c r="G94" s="135">
        <f>'Class Allocations'!F$144*Functional!$F94+'Class Allocations'!F$148*Functional!$G94+'Class Allocations'!F$152*Functional!$I94+'Class Allocations'!F$156*Functional!$H94+'Class Allocations'!F$160*Functional!$J94+'Class Allocations'!F$166*Functional!$K94+'Class Allocations'!F$172*Functional!$L94+'Class Allocations'!F$178*Functional!$M94+'Class Allocations'!F$184*Functional!$N94</f>
        <v>1241221.6347132165</v>
      </c>
      <c r="H94" s="135">
        <f t="shared" si="30"/>
        <v>4793477.6514915787</v>
      </c>
      <c r="I94" s="4">
        <f>'Class Allocations'!H$144*Functional!$F94+'Class Allocations'!H$148*Functional!$G94+'Class Allocations'!H$152*Functional!$I94+'Class Allocations'!H$156*Functional!$H94+'Class Allocations'!H$160*Functional!$J94+'Class Allocations'!H$166*Functional!$K94+'Class Allocations'!H$172*Functional!$L94+'Class Allocations'!H$178*Functional!$M94+'Class Allocations'!H$184*Functional!$N94</f>
        <v>259360.94276234505</v>
      </c>
      <c r="J94" s="4">
        <f>'Class Allocations'!I$144*Functional!$F94+'Class Allocations'!I$148*Functional!$G94+'Class Allocations'!I$152*Functional!$I94+'Class Allocations'!I$156*Functional!$H94+'Class Allocations'!I$160*Functional!$J94+'Class Allocations'!I$166*Functional!$K94+'Class Allocations'!I$172*Functional!$L94+'Class Allocations'!I$178*Functional!$M94+'Class Allocations'!I$184*Functional!$N94</f>
        <v>28626.560995170385</v>
      </c>
      <c r="K94" s="4">
        <f>'Class Allocations'!J$144*Functional!$F94+'Class Allocations'!J$148*Functional!$G94+'Class Allocations'!J$152*Functional!$I94+'Class Allocations'!J$156*Functional!$H94+'Class Allocations'!J$160*Functional!$J94+'Class Allocations'!J$166*Functional!$K94+'Class Allocations'!J$172*Functional!$L94+'Class Allocations'!J$178*Functional!$M94+'Class Allocations'!J$184*Functional!$N94</f>
        <v>28407.344616075286</v>
      </c>
      <c r="L94" s="4">
        <f>'Class Allocations'!K$144*Functional!$F94+'Class Allocations'!K$148*Functional!$G94+'Class Allocations'!K$152*Functional!$I94+'Class Allocations'!K$156*Functional!$H94+'Class Allocations'!K$160*Functional!$J94+'Class Allocations'!K$166*Functional!$K94+'Class Allocations'!K$172*Functional!$L94+'Class Allocations'!K$178*Functional!$M94+'Class Allocations'!K$184*Functional!$N94</f>
        <v>296956.36861809844</v>
      </c>
      <c r="M94" s="4">
        <f>'Class Allocations'!L$144*Functional!$F94+'Class Allocations'!L$148*Functional!$G94+'Class Allocations'!L$152*Functional!$I94+'Class Allocations'!L$156*Functional!$H94+'Class Allocations'!L$160*Functional!$J94+'Class Allocations'!L$166*Functional!$K94+'Class Allocations'!L$172*Functional!$L94+'Class Allocations'!L$178*Functional!$M94+'Class Allocations'!L$184*Functional!$N94</f>
        <v>41231.962817422158</v>
      </c>
      <c r="N94" s="4">
        <f>'Class Allocations'!M$144*Functional!$F94+'Class Allocations'!M$148*Functional!$G94+'Class Allocations'!M$152*Functional!$I94+'Class Allocations'!M$156*Functional!$H94+'Class Allocations'!M$160*Functional!$J94+'Class Allocations'!M$166*Functional!$K94+'Class Allocations'!M$172*Functional!$L94+'Class Allocations'!M$178*Functional!$M94+'Class Allocations'!M$184*Functional!$N94+Functional!$P94</f>
        <v>24817.798943661979</v>
      </c>
      <c r="O94" s="4">
        <f>'Class Allocations'!N$144*Functional!$F94+'Class Allocations'!N$148*Functional!$G94+'Class Allocations'!N$152*Functional!$I94+'Class Allocations'!N$156*Functional!$H94+'Class Allocations'!N$160*Functional!$J94+'Class Allocations'!N$166*Functional!$K94+'Class Allocations'!N$172*Functional!$L94+'Class Allocations'!N$178*Functional!$M94+'Class Allocations'!N$184*Functional!$N94+Functional!$Q94</f>
        <v>24585.119755647458</v>
      </c>
      <c r="P94" s="4">
        <f t="shared" si="34"/>
        <v>703986.09850842075</v>
      </c>
      <c r="R94" s="124">
        <f t="shared" si="32"/>
        <v>0</v>
      </c>
      <c r="S94" s="124">
        <f t="shared" si="33"/>
        <v>0</v>
      </c>
    </row>
    <row r="95" spans="1:19">
      <c r="A95" s="117">
        <f>IF(ISBLANK(C95),"",MAX($A$38:$A94)+1)</f>
        <v>53</v>
      </c>
      <c r="B95" s="148">
        <v>397</v>
      </c>
      <c r="C95" s="137" t="s">
        <v>133</v>
      </c>
      <c r="E95" s="135">
        <f>Functional!$E95</f>
        <v>846080.4</v>
      </c>
      <c r="F95" s="135">
        <f>'Class Allocations'!E$144*Functional!$F95+'Class Allocations'!E$148*Functional!$G95+'Class Allocations'!E$152*Functional!$I95+'Class Allocations'!E$156*Functional!$H95+'Class Allocations'!E$160*Functional!$J95+'Class Allocations'!E$166*Functional!$K95+'Class Allocations'!E$172*Functional!$L95+'Class Allocations'!E$178*Functional!$M95+'Class Allocations'!E$184*Functional!$N95+Functional!$O95</f>
        <v>546705.59520801646</v>
      </c>
      <c r="G95" s="135">
        <f>'Class Allocations'!F$144*Functional!$F95+'Class Allocations'!F$148*Functional!$G95+'Class Allocations'!F$152*Functional!$I95+'Class Allocations'!F$156*Functional!$H95+'Class Allocations'!F$160*Functional!$J95+'Class Allocations'!F$166*Functional!$K95+'Class Allocations'!F$172*Functional!$L95+'Class Allocations'!F$178*Functional!$M95+'Class Allocations'!F$184*Functional!$N95</f>
        <v>191028.68976385923</v>
      </c>
      <c r="H95" s="135">
        <f t="shared" si="30"/>
        <v>737734.28497187572</v>
      </c>
      <c r="I95" s="4">
        <f>'Class Allocations'!H$144*Functional!$F95+'Class Allocations'!H$148*Functional!$G95+'Class Allocations'!H$152*Functional!$I95+'Class Allocations'!H$156*Functional!$H95+'Class Allocations'!H$160*Functional!$J95+'Class Allocations'!H$166*Functional!$K95+'Class Allocations'!H$172*Functional!$L95+'Class Allocations'!H$178*Functional!$M95+'Class Allocations'!H$184*Functional!$N95</f>
        <v>39916.627044014982</v>
      </c>
      <c r="J95" s="4">
        <f>'Class Allocations'!I$144*Functional!$F95+'Class Allocations'!I$148*Functional!$G95+'Class Allocations'!I$152*Functional!$I95+'Class Allocations'!I$156*Functional!$H95+'Class Allocations'!I$160*Functional!$J95+'Class Allocations'!I$166*Functional!$K95+'Class Allocations'!I$172*Functional!$L95+'Class Allocations'!I$178*Functional!$M95+'Class Allocations'!I$184*Functional!$N95</f>
        <v>4405.7356771871691</v>
      </c>
      <c r="K95" s="4">
        <f>'Class Allocations'!J$144*Functional!$F95+'Class Allocations'!J$148*Functional!$G95+'Class Allocations'!J$152*Functional!$I95+'Class Allocations'!J$156*Functional!$H95+'Class Allocations'!J$160*Functional!$J95+'Class Allocations'!J$166*Functional!$K95+'Class Allocations'!J$172*Functional!$L95+'Class Allocations'!J$178*Functional!$M95+'Class Allocations'!J$184*Functional!$N95</f>
        <v>4371.9974498616448</v>
      </c>
      <c r="L95" s="4">
        <f>'Class Allocations'!K$144*Functional!$F95+'Class Allocations'!K$148*Functional!$G95+'Class Allocations'!K$152*Functional!$I95+'Class Allocations'!K$156*Functional!$H95+'Class Allocations'!K$160*Functional!$J95+'Class Allocations'!K$166*Functional!$K95+'Class Allocations'!K$172*Functional!$L95+'Class Allocations'!K$178*Functional!$M95+'Class Allocations'!K$184*Functional!$N95</f>
        <v>45702.704841473176</v>
      </c>
      <c r="M95" s="4">
        <f>'Class Allocations'!L$144*Functional!$F95+'Class Allocations'!L$148*Functional!$G95+'Class Allocations'!L$152*Functional!$I95+'Class Allocations'!L$156*Functional!$H95+'Class Allocations'!L$160*Functional!$J95+'Class Allocations'!L$166*Functional!$K95+'Class Allocations'!L$172*Functional!$L95+'Class Allocations'!L$178*Functional!$M95+'Class Allocations'!L$184*Functional!$N95</f>
        <v>6345.754547876677</v>
      </c>
      <c r="N95" s="4">
        <f>'Class Allocations'!M$144*Functional!$F95+'Class Allocations'!M$148*Functional!$G95+'Class Allocations'!M$152*Functional!$I95+'Class Allocations'!M$156*Functional!$H95+'Class Allocations'!M$160*Functional!$J95+'Class Allocations'!M$166*Functional!$K95+'Class Allocations'!M$172*Functional!$L95+'Class Allocations'!M$178*Functional!$M95+'Class Allocations'!M$184*Functional!$N95+Functional!$P95</f>
        <v>3819.5528360460967</v>
      </c>
      <c r="O95" s="4">
        <f>'Class Allocations'!N$144*Functional!$F95+'Class Allocations'!N$148*Functional!$G95+'Class Allocations'!N$152*Functional!$I95+'Class Allocations'!N$156*Functional!$H95+'Class Allocations'!N$160*Functional!$J95+'Class Allocations'!N$166*Functional!$K95+'Class Allocations'!N$172*Functional!$L95+'Class Allocations'!N$178*Functional!$M95+'Class Allocations'!N$184*Functional!$N95+Functional!$Q95</f>
        <v>3783.7426316646665</v>
      </c>
      <c r="P95" s="4">
        <f t="shared" si="34"/>
        <v>108346.11502812442</v>
      </c>
      <c r="R95" s="124">
        <f t="shared" si="32"/>
        <v>0</v>
      </c>
      <c r="S95" s="124">
        <f t="shared" si="33"/>
        <v>-1.1641532182693481E-10</v>
      </c>
    </row>
    <row r="96" spans="1:19">
      <c r="A96" s="117">
        <f>IF(ISBLANK(C96),"",MAX($A$38:$A95)+1)</f>
        <v>54</v>
      </c>
      <c r="B96" s="148">
        <v>398</v>
      </c>
      <c r="C96" s="137" t="s">
        <v>273</v>
      </c>
      <c r="E96" s="135">
        <f>Functional!$E96</f>
        <v>177567.56999999998</v>
      </c>
      <c r="F96" s="135">
        <f>'Class Allocations'!E$144*Functional!$F96+'Class Allocations'!E$148*Functional!$G96+'Class Allocations'!E$152*Functional!$I96+'Class Allocations'!E$156*Functional!$H96+'Class Allocations'!E$160*Functional!$J96+'Class Allocations'!E$166*Functional!$K96+'Class Allocations'!E$172*Functional!$L96+'Class Allocations'!E$178*Functional!$M96+'Class Allocations'!E$184*Functional!$N96+Functional!$O96</f>
        <v>114737.54036435676</v>
      </c>
      <c r="G96" s="135">
        <f>'Class Allocations'!F$144*Functional!$F96+'Class Allocations'!F$148*Functional!$G96+'Class Allocations'!F$152*Functional!$I96+'Class Allocations'!F$156*Functional!$H96+'Class Allocations'!F$160*Functional!$J96+'Class Allocations'!F$166*Functional!$K96+'Class Allocations'!F$172*Functional!$L96+'Class Allocations'!F$178*Functional!$M96+'Class Allocations'!F$184*Functional!$N96</f>
        <v>40091.343850599013</v>
      </c>
      <c r="H96" s="135">
        <f t="shared" si="30"/>
        <v>154828.88421495576</v>
      </c>
      <c r="I96" s="4">
        <f>'Class Allocations'!H$144*Functional!$F96+'Class Allocations'!H$148*Functional!$G96+'Class Allocations'!H$152*Functional!$I96+'Class Allocations'!H$156*Functional!$H96+'Class Allocations'!H$160*Functional!$J96+'Class Allocations'!H$166*Functional!$K96+'Class Allocations'!H$172*Functional!$L96+'Class Allocations'!H$178*Functional!$M96+'Class Allocations'!H$184*Functional!$N96</f>
        <v>8377.3344315765062</v>
      </c>
      <c r="J96" s="4">
        <f>'Class Allocations'!I$144*Functional!$F96+'Class Allocations'!I$148*Functional!$G96+'Class Allocations'!I$152*Functional!$I96+'Class Allocations'!I$156*Functional!$H96+'Class Allocations'!I$160*Functional!$J96+'Class Allocations'!I$166*Functional!$K96+'Class Allocations'!I$172*Functional!$L96+'Class Allocations'!I$178*Functional!$M96+'Class Allocations'!I$184*Functional!$N96</f>
        <v>924.63526901276759</v>
      </c>
      <c r="K96" s="4">
        <f>'Class Allocations'!J$144*Functional!$F96+'Class Allocations'!J$148*Functional!$G96+'Class Allocations'!J$152*Functional!$I96+'Class Allocations'!J$156*Functional!$H96+'Class Allocations'!J$160*Functional!$J96+'Class Allocations'!J$166*Functional!$K96+'Class Allocations'!J$172*Functional!$L96+'Class Allocations'!J$178*Functional!$M96+'Class Allocations'!J$184*Functional!$N96</f>
        <v>917.55460026981939</v>
      </c>
      <c r="L96" s="4">
        <f>'Class Allocations'!K$144*Functional!$F96+'Class Allocations'!K$148*Functional!$G96+'Class Allocations'!K$152*Functional!$I96+'Class Allocations'!K$156*Functional!$H96+'Class Allocations'!K$160*Functional!$J96+'Class Allocations'!K$166*Functional!$K96+'Class Allocations'!K$172*Functional!$L96+'Class Allocations'!K$178*Functional!$M96+'Class Allocations'!K$184*Functional!$N96</f>
        <v>9591.6632049715663</v>
      </c>
      <c r="M96" s="4">
        <f>'Class Allocations'!L$144*Functional!$F96+'Class Allocations'!L$148*Functional!$G96+'Class Allocations'!L$152*Functional!$I96+'Class Allocations'!L$156*Functional!$H96+'Class Allocations'!L$160*Functional!$J96+'Class Allocations'!L$166*Functional!$K96+'Class Allocations'!L$172*Functional!$L96+'Class Allocations'!L$178*Functional!$M96+'Class Allocations'!L$184*Functional!$N96</f>
        <v>1331.7885804740422</v>
      </c>
      <c r="N96" s="4">
        <f>'Class Allocations'!M$144*Functional!$F96+'Class Allocations'!M$148*Functional!$G96+'Class Allocations'!M$152*Functional!$I96+'Class Allocations'!M$156*Functional!$H96+'Class Allocations'!M$160*Functional!$J96+'Class Allocations'!M$166*Functional!$K96+'Class Allocations'!M$172*Functional!$L96+'Class Allocations'!M$178*Functional!$M96+'Class Allocations'!M$184*Functional!$N96+Functional!$P96</f>
        <v>801.61260748188192</v>
      </c>
      <c r="O96" s="4">
        <f>'Class Allocations'!N$144*Functional!$F96+'Class Allocations'!N$148*Functional!$G96+'Class Allocations'!N$152*Functional!$I96+'Class Allocations'!N$156*Functional!$H96+'Class Allocations'!N$160*Functional!$J96+'Class Allocations'!N$166*Functional!$K96+'Class Allocations'!N$172*Functional!$L96+'Class Allocations'!N$178*Functional!$M96+'Class Allocations'!N$184*Functional!$N96+Functional!$Q96</f>
        <v>794.09709125763914</v>
      </c>
      <c r="P96" s="4">
        <f t="shared" si="34"/>
        <v>22738.685785044225</v>
      </c>
      <c r="R96" s="124">
        <f t="shared" si="32"/>
        <v>0</v>
      </c>
      <c r="S96" s="124">
        <f t="shared" si="33"/>
        <v>0</v>
      </c>
    </row>
    <row r="97" spans="1:19">
      <c r="A97" s="117">
        <f>IF(ISBLANK(C97),"",MAX($A$38:$A96)+1)</f>
        <v>55</v>
      </c>
      <c r="B97" s="148">
        <v>399</v>
      </c>
      <c r="C97" s="137" t="s">
        <v>198</v>
      </c>
      <c r="E97" s="135">
        <f>Functional!$E97</f>
        <v>0</v>
      </c>
      <c r="F97" s="135">
        <f>'Class Allocations'!E$144*Functional!$F97+'Class Allocations'!E$148*Functional!$G97+'Class Allocations'!E$152*Functional!$I97+'Class Allocations'!E$156*Functional!$H97+'Class Allocations'!E$160*Functional!$J97+'Class Allocations'!E$166*Functional!$K97+'Class Allocations'!E$172*Functional!$L97+'Class Allocations'!E$178*Functional!$M97+'Class Allocations'!E$184*Functional!$N97+Functional!$O97</f>
        <v>0</v>
      </c>
      <c r="G97" s="135">
        <f>'Class Allocations'!F$144*Functional!$F97+'Class Allocations'!F$148*Functional!$G97+'Class Allocations'!F$152*Functional!$I97+'Class Allocations'!F$156*Functional!$H97+'Class Allocations'!F$160*Functional!$J97+'Class Allocations'!F$166*Functional!$K97+'Class Allocations'!F$172*Functional!$L97+'Class Allocations'!F$178*Functional!$M97+'Class Allocations'!F$184*Functional!$N97</f>
        <v>0</v>
      </c>
      <c r="H97" s="135">
        <f t="shared" si="30"/>
        <v>0</v>
      </c>
      <c r="I97" s="4">
        <f>'Class Allocations'!H$144*Functional!$F97+'Class Allocations'!H$148*Functional!$G97+'Class Allocations'!H$152*Functional!$I97+'Class Allocations'!H$156*Functional!$H97+'Class Allocations'!H$160*Functional!$J97+'Class Allocations'!H$166*Functional!$K97+'Class Allocations'!H$172*Functional!$L97+'Class Allocations'!H$178*Functional!$M97+'Class Allocations'!H$184*Functional!$N97</f>
        <v>0</v>
      </c>
      <c r="J97" s="4">
        <f>'Class Allocations'!I$144*Functional!$F97+'Class Allocations'!I$148*Functional!$G97+'Class Allocations'!I$152*Functional!$I97+'Class Allocations'!I$156*Functional!$H97+'Class Allocations'!I$160*Functional!$J97+'Class Allocations'!I$166*Functional!$K97+'Class Allocations'!I$172*Functional!$L97+'Class Allocations'!I$178*Functional!$M97+'Class Allocations'!I$184*Functional!$N97</f>
        <v>0</v>
      </c>
      <c r="K97" s="4">
        <f>'Class Allocations'!J$144*Functional!$F97+'Class Allocations'!J$148*Functional!$G97+'Class Allocations'!J$152*Functional!$I97+'Class Allocations'!J$156*Functional!$H97+'Class Allocations'!J$160*Functional!$J97+'Class Allocations'!J$166*Functional!$K97+'Class Allocations'!J$172*Functional!$L97+'Class Allocations'!J$178*Functional!$M97+'Class Allocations'!J$184*Functional!$N97</f>
        <v>0</v>
      </c>
      <c r="L97" s="4">
        <f>'Class Allocations'!K$144*Functional!$F97+'Class Allocations'!K$148*Functional!$G97+'Class Allocations'!K$152*Functional!$I97+'Class Allocations'!K$156*Functional!$H97+'Class Allocations'!K$160*Functional!$J97+'Class Allocations'!K$166*Functional!$K97+'Class Allocations'!K$172*Functional!$L97+'Class Allocations'!K$178*Functional!$M97+'Class Allocations'!K$184*Functional!$N97</f>
        <v>0</v>
      </c>
      <c r="M97" s="4">
        <f>'Class Allocations'!L$144*Functional!$F97+'Class Allocations'!L$148*Functional!$G97+'Class Allocations'!L$152*Functional!$I97+'Class Allocations'!L$156*Functional!$H97+'Class Allocations'!L$160*Functional!$J97+'Class Allocations'!L$166*Functional!$K97+'Class Allocations'!L$172*Functional!$L97+'Class Allocations'!L$178*Functional!$M97+'Class Allocations'!L$184*Functional!$N97</f>
        <v>0</v>
      </c>
      <c r="N97" s="4">
        <f>'Class Allocations'!M$144*Functional!$F97+'Class Allocations'!M$148*Functional!$G97+'Class Allocations'!M$152*Functional!$I97+'Class Allocations'!M$156*Functional!$H97+'Class Allocations'!M$160*Functional!$J97+'Class Allocations'!M$166*Functional!$K97+'Class Allocations'!M$172*Functional!$L97+'Class Allocations'!M$178*Functional!$M97+'Class Allocations'!M$184*Functional!$N97+Functional!$P97</f>
        <v>0</v>
      </c>
      <c r="O97" s="4">
        <f>'Class Allocations'!N$144*Functional!$F97+'Class Allocations'!N$148*Functional!$G97+'Class Allocations'!N$152*Functional!$I97+'Class Allocations'!N$156*Functional!$H97+'Class Allocations'!N$160*Functional!$J97+'Class Allocations'!N$166*Functional!$K97+'Class Allocations'!N$172*Functional!$L97+'Class Allocations'!N$178*Functional!$M97+'Class Allocations'!N$184*Functional!$N97+Functional!$Q97</f>
        <v>0</v>
      </c>
      <c r="P97" s="4">
        <f t="shared" si="34"/>
        <v>0</v>
      </c>
      <c r="R97" s="124">
        <f t="shared" si="32"/>
        <v>0</v>
      </c>
      <c r="S97" s="124">
        <f t="shared" si="33"/>
        <v>0</v>
      </c>
    </row>
    <row r="98" spans="1:19">
      <c r="A98" s="117">
        <f>IF(ISBLANK(C98),"",MAX($A$38:$A97)+1)</f>
        <v>56</v>
      </c>
      <c r="B98" s="138"/>
      <c r="C98" s="149" t="str">
        <f>Functional!$C98</f>
        <v>Total General Plant</v>
      </c>
      <c r="E98" s="309">
        <f t="shared" ref="E98:P98" si="35">SUM(E75:E97)</f>
        <v>104026242.83</v>
      </c>
      <c r="F98" s="309">
        <f t="shared" si="35"/>
        <v>67217877.87972492</v>
      </c>
      <c r="G98" s="309">
        <f t="shared" si="35"/>
        <v>23487125.891194213</v>
      </c>
      <c r="H98" s="309">
        <f t="shared" si="35"/>
        <v>90705003.770919114</v>
      </c>
      <c r="I98" s="310">
        <f t="shared" si="35"/>
        <v>4907780.3218645034</v>
      </c>
      <c r="J98" s="310">
        <f t="shared" si="35"/>
        <v>541688.62604531087</v>
      </c>
      <c r="K98" s="310">
        <f t="shared" si="35"/>
        <v>537540.48477124411</v>
      </c>
      <c r="L98" s="310">
        <f t="shared" si="35"/>
        <v>5619183.0845235325</v>
      </c>
      <c r="M98" s="310">
        <f t="shared" si="35"/>
        <v>780215.45415423391</v>
      </c>
      <c r="N98" s="310">
        <f t="shared" si="35"/>
        <v>469616.99009284028</v>
      </c>
      <c r="O98" s="310">
        <f t="shared" si="35"/>
        <v>465214.09762922279</v>
      </c>
      <c r="P98" s="310">
        <f t="shared" si="35"/>
        <v>13321239.059080888</v>
      </c>
      <c r="R98" s="124">
        <f t="shared" si="32"/>
        <v>0</v>
      </c>
      <c r="S98" s="124">
        <f t="shared" si="33"/>
        <v>0</v>
      </c>
    </row>
    <row r="99" spans="1:19">
      <c r="A99" s="117" t="str">
        <f>IF(ISBLANK(C99),"",MAX($A$38:$A98)+1)</f>
        <v/>
      </c>
      <c r="B99" s="138"/>
      <c r="C99" s="138"/>
      <c r="E99" s="491"/>
      <c r="F99" s="491"/>
      <c r="G99" s="135"/>
      <c r="H99" s="135"/>
      <c r="I99" s="4"/>
      <c r="J99" s="4"/>
      <c r="K99" s="4"/>
      <c r="L99" s="4"/>
      <c r="M99" s="4"/>
      <c r="N99" s="4"/>
      <c r="O99" s="4"/>
      <c r="P99" s="4"/>
      <c r="R99" s="124"/>
      <c r="S99" s="124"/>
    </row>
    <row r="100" spans="1:19">
      <c r="A100" s="117">
        <f>IF(ISBLANK(C100),"",MAX($A$38:$A99)+1)</f>
        <v>57</v>
      </c>
      <c r="B100" s="300">
        <v>118</v>
      </c>
      <c r="C100" s="138" t="s">
        <v>599</v>
      </c>
      <c r="E100" s="135">
        <f>Functional!$E100</f>
        <v>12965643.674929507</v>
      </c>
      <c r="F100" s="311">
        <f>'Class Allocations'!E$144*Functional!$F100+'Class Allocations'!E$148*Functional!$G100+'Class Allocations'!E$152*Functional!$I100+'Class Allocations'!E$156*Functional!$H100+'Class Allocations'!E$160*Functional!$J100+'Class Allocations'!E$166*Functional!$K100+'Class Allocations'!E$172*Functional!$L100+'Class Allocations'!E$178*Functional!$M100+'Class Allocations'!E$184*Functional!$N100+Functional!$O100</f>
        <v>10336550.191118836</v>
      </c>
      <c r="G100" s="311">
        <f>'Class Allocations'!F$144*Functional!$F100+'Class Allocations'!F$148*Functional!$G100+'Class Allocations'!F$152*Functional!$I100+'Class Allocations'!F$156*Functional!$H100+'Class Allocations'!F$160*Functional!$J100+'Class Allocations'!F$166*Functional!$K100+'Class Allocations'!F$172*Functional!$L100+'Class Allocations'!F$178*Functional!$M100+'Class Allocations'!F$184*Functional!$N100</f>
        <v>1964376.3073528763</v>
      </c>
      <c r="H100" s="311">
        <f t="shared" ref="H100:H101" si="36">SUM(F100:G100)</f>
        <v>12300926.498471713</v>
      </c>
      <c r="I100" s="312">
        <f>'Class Allocations'!H$144*Functional!$F100+'Class Allocations'!H$148*Functional!$G100+'Class Allocations'!H$152*Functional!$I100+'Class Allocations'!H$156*Functional!$H100+'Class Allocations'!H$160*Functional!$J100+'Class Allocations'!H$166*Functional!$K100+'Class Allocations'!H$172*Functional!$L100+'Class Allocations'!H$178*Functional!$M100+'Class Allocations'!H$184*Functional!$N100</f>
        <v>535953.99636911438</v>
      </c>
      <c r="J100" s="312">
        <f>'Class Allocations'!I$144*Functional!$F100+'Class Allocations'!I$148*Functional!$G100+'Class Allocations'!I$152*Functional!$I100+'Class Allocations'!I$156*Functional!$H100+'Class Allocations'!I$160*Functional!$J100+'Class Allocations'!I$166*Functional!$K100+'Class Allocations'!I$172*Functional!$L100+'Class Allocations'!I$178*Functional!$M100+'Class Allocations'!I$184*Functional!$N100</f>
        <v>7883.4600054293815</v>
      </c>
      <c r="K100" s="312">
        <f>'Class Allocations'!J$144*Functional!$F100+'Class Allocations'!J$148*Functional!$G100+'Class Allocations'!J$152*Functional!$I100+'Class Allocations'!J$156*Functional!$H100+'Class Allocations'!J$160*Functional!$J100+'Class Allocations'!J$166*Functional!$K100+'Class Allocations'!J$172*Functional!$L100+'Class Allocations'!J$178*Functional!$M100+'Class Allocations'!J$184*Functional!$N100</f>
        <v>48109.320033133139</v>
      </c>
      <c r="L100" s="312">
        <f>'Class Allocations'!K$144*Functional!$F100+'Class Allocations'!K$148*Functional!$G100+'Class Allocations'!K$152*Functional!$I100+'Class Allocations'!K$156*Functional!$H100+'Class Allocations'!K$160*Functional!$J100+'Class Allocations'!K$166*Functional!$K100+'Class Allocations'!K$172*Functional!$L100+'Class Allocations'!K$178*Functional!$M100+'Class Allocations'!K$184*Functional!$N100</f>
        <v>51747.840035639005</v>
      </c>
      <c r="M100" s="312">
        <f>'Class Allocations'!L$144*Functional!$F100+'Class Allocations'!L$148*Functional!$G100+'Class Allocations'!L$152*Functional!$I100+'Class Allocations'!L$156*Functional!$H100+'Class Allocations'!L$160*Functional!$J100+'Class Allocations'!L$166*Functional!$K100+'Class Allocations'!L$172*Functional!$L100+'Class Allocations'!L$178*Functional!$M100+'Class Allocations'!L$184*Functional!$N100</f>
        <v>7277.040005011735</v>
      </c>
      <c r="N100" s="312">
        <f>'Class Allocations'!M$144*Functional!$F100+'Class Allocations'!M$148*Functional!$G100+'Class Allocations'!M$152*Functional!$I100+'Class Allocations'!M$156*Functional!$H100+'Class Allocations'!M$160*Functional!$J100+'Class Allocations'!M$166*Functional!$K100+'Class Allocations'!M$172*Functional!$L100+'Class Allocations'!M$178*Functional!$M100+'Class Allocations'!M$184*Functional!$N100+Functional!$P100</f>
        <v>12128.400008352894</v>
      </c>
      <c r="O100" s="312">
        <f>'Class Allocations'!N$144*Functional!$F100+'Class Allocations'!N$148*Functional!$G100+'Class Allocations'!N$152*Functional!$I100+'Class Allocations'!N$156*Functional!$H100+'Class Allocations'!N$160*Functional!$J100+'Class Allocations'!N$166*Functional!$K100+'Class Allocations'!N$172*Functional!$L100+'Class Allocations'!N$178*Functional!$M100+'Class Allocations'!N$184*Functional!$N100+Functional!$Q100</f>
        <v>1617.1200011137189</v>
      </c>
      <c r="P100" s="312">
        <f>SUM(I100:O100)</f>
        <v>664717.17645779427</v>
      </c>
      <c r="R100" s="124">
        <f t="shared" ref="R100:R102" si="37">SUM(F100:G100,I100:O100)-E100</f>
        <v>0</v>
      </c>
      <c r="S100" s="124">
        <f t="shared" ref="S100:S102" si="38">E100-H100-P100</f>
        <v>0</v>
      </c>
    </row>
    <row r="101" spans="1:19">
      <c r="A101" s="117">
        <f>IF(ISBLANK(C101),"",MAX($A$38:$A100)+1)</f>
        <v>58</v>
      </c>
      <c r="B101" s="300">
        <v>118</v>
      </c>
      <c r="C101" s="138" t="s">
        <v>600</v>
      </c>
      <c r="E101" s="298">
        <f>Functional!$E101</f>
        <v>15939073.541234924</v>
      </c>
      <c r="F101" s="298">
        <f>'Class Allocations'!E$144*Functional!$F101+'Class Allocations'!E$148*Functional!$G101+'Class Allocations'!E$152*Functional!$I101+'Class Allocations'!E$156*Functional!$H101+'Class Allocations'!E$160*Functional!$J101+'Class Allocations'!E$166*Functional!$K101+'Class Allocations'!E$172*Functional!$L101+'Class Allocations'!E$178*Functional!$M101+'Class Allocations'!E$184*Functional!$N101+Functional!$O101</f>
        <v>10299234.785991007</v>
      </c>
      <c r="G101" s="298">
        <f>'Class Allocations'!F$144*Functional!$F101+'Class Allocations'!F$148*Functional!$G101+'Class Allocations'!F$152*Functional!$I101+'Class Allocations'!F$156*Functional!$H101+'Class Allocations'!F$160*Functional!$J101+'Class Allocations'!F$166*Functional!$K101+'Class Allocations'!F$172*Functional!$L101+'Class Allocations'!F$178*Functional!$M101+'Class Allocations'!F$184*Functional!$N101</f>
        <v>3598736.402157411</v>
      </c>
      <c r="H101" s="298">
        <f t="shared" si="36"/>
        <v>13897971.188148418</v>
      </c>
      <c r="I101" s="5">
        <f>'Class Allocations'!H$144*Functional!$F101+'Class Allocations'!H$148*Functional!$G101+'Class Allocations'!H$152*Functional!$I101+'Class Allocations'!H$156*Functional!$H101+'Class Allocations'!H$160*Functional!$J101+'Class Allocations'!H$166*Functional!$K101+'Class Allocations'!H$172*Functional!$L101+'Class Allocations'!H$178*Functional!$M101+'Class Allocations'!H$184*Functional!$N101</f>
        <v>751978.24458834121</v>
      </c>
      <c r="J101" s="5">
        <f>'Class Allocations'!I$144*Functional!$F101+'Class Allocations'!I$148*Functional!$G101+'Class Allocations'!I$152*Functional!$I101+'Class Allocations'!I$156*Functional!$H101+'Class Allocations'!I$160*Functional!$J101+'Class Allocations'!I$166*Functional!$K101+'Class Allocations'!I$172*Functional!$L101+'Class Allocations'!I$178*Functional!$M101+'Class Allocations'!I$184*Functional!$N101</f>
        <v>82998.430127832689</v>
      </c>
      <c r="K101" s="5">
        <f>'Class Allocations'!J$144*Functional!$F101+'Class Allocations'!J$148*Functional!$G101+'Class Allocations'!J$152*Functional!$I101+'Class Allocations'!J$156*Functional!$H101+'Class Allocations'!J$160*Functional!$J101+'Class Allocations'!J$166*Functional!$K101+'Class Allocations'!J$172*Functional!$L101+'Class Allocations'!J$178*Functional!$M101+'Class Allocations'!J$184*Functional!$N101</f>
        <v>82362.845038646788</v>
      </c>
      <c r="L101" s="5">
        <f>'Class Allocations'!K$144*Functional!$F101+'Class Allocations'!K$148*Functional!$G101+'Class Allocations'!K$152*Functional!$I101+'Class Allocations'!K$156*Functional!$H101+'Class Allocations'!K$160*Functional!$J101+'Class Allocations'!K$166*Functional!$K101+'Class Allocations'!K$172*Functional!$L101+'Class Allocations'!K$178*Functional!$M101+'Class Allocations'!K$184*Functional!$N101</f>
        <v>860980.55634144717</v>
      </c>
      <c r="M101" s="5">
        <f>'Class Allocations'!L$144*Functional!$F101+'Class Allocations'!L$148*Functional!$G101+'Class Allocations'!L$152*Functional!$I101+'Class Allocations'!L$156*Functional!$H101+'Class Allocations'!L$160*Functional!$J101+'Class Allocations'!L$166*Functional!$K101+'Class Allocations'!L$172*Functional!$L101+'Class Allocations'!L$178*Functional!$M101+'Class Allocations'!L$184*Functional!$N101</f>
        <v>119545.90652759753</v>
      </c>
      <c r="N101" s="5">
        <f>'Class Allocations'!M$144*Functional!$F101+'Class Allocations'!M$148*Functional!$G101+'Class Allocations'!M$152*Functional!$I101+'Class Allocations'!M$156*Functional!$H101+'Class Allocations'!M$160*Functional!$J101+'Class Allocations'!M$166*Functional!$K101+'Class Allocations'!M$172*Functional!$L101+'Class Allocations'!M$178*Functional!$M101+'Class Allocations'!M$184*Functional!$N101+Functional!$P101</f>
        <v>71955.49447590459</v>
      </c>
      <c r="O101" s="5">
        <f>'Class Allocations'!N$144*Functional!$F101+'Class Allocations'!N$148*Functional!$G101+'Class Allocations'!N$152*Functional!$I101+'Class Allocations'!N$156*Functional!$H101+'Class Allocations'!N$160*Functional!$J101+'Class Allocations'!N$166*Functional!$K101+'Class Allocations'!N$172*Functional!$L101+'Class Allocations'!N$178*Functional!$M101+'Class Allocations'!N$184*Functional!$N101+Functional!$Q101</f>
        <v>71280.875986737054</v>
      </c>
      <c r="P101" s="5">
        <f>SUM(I101:O101)</f>
        <v>2041102.3530865069</v>
      </c>
      <c r="R101" s="124">
        <f t="shared" si="37"/>
        <v>0</v>
      </c>
      <c r="S101" s="124">
        <f t="shared" si="38"/>
        <v>-1.862645149230957E-9</v>
      </c>
    </row>
    <row r="102" spans="1:19">
      <c r="A102" s="117">
        <f>IF(ISBLANK(C102),"",MAX($A$38:$A101)+1)</f>
        <v>59</v>
      </c>
      <c r="B102" s="138"/>
      <c r="C102" s="149" t="str">
        <f>Functional!$C102</f>
        <v>Total Corporate Shared Assets</v>
      </c>
      <c r="E102" s="135">
        <f>SUM(E100:E101)</f>
        <v>28904717.216164432</v>
      </c>
      <c r="F102" s="135">
        <f t="shared" ref="F102:P102" si="39">SUM(F100:F101)</f>
        <v>20635784.977109842</v>
      </c>
      <c r="G102" s="135">
        <f t="shared" si="39"/>
        <v>5563112.7095102873</v>
      </c>
      <c r="H102" s="135">
        <f t="shared" si="39"/>
        <v>26198897.686620131</v>
      </c>
      <c r="I102" s="135">
        <f t="shared" si="39"/>
        <v>1287932.2409574557</v>
      </c>
      <c r="J102" s="135">
        <f t="shared" si="39"/>
        <v>90881.890133262074</v>
      </c>
      <c r="K102" s="135">
        <f t="shared" si="39"/>
        <v>130472.16507177992</v>
      </c>
      <c r="L102" s="135">
        <f t="shared" si="39"/>
        <v>912728.39637708617</v>
      </c>
      <c r="M102" s="135">
        <f t="shared" si="39"/>
        <v>126822.94653260926</v>
      </c>
      <c r="N102" s="135">
        <f t="shared" si="39"/>
        <v>84083.894484257486</v>
      </c>
      <c r="O102" s="135">
        <f t="shared" si="39"/>
        <v>72897.995987850765</v>
      </c>
      <c r="P102" s="135">
        <f t="shared" si="39"/>
        <v>2705819.5295443013</v>
      </c>
      <c r="R102" s="124">
        <f t="shared" si="37"/>
        <v>0</v>
      </c>
      <c r="S102" s="124">
        <f t="shared" si="38"/>
        <v>0</v>
      </c>
    </row>
    <row r="103" spans="1:19">
      <c r="A103" s="117"/>
      <c r="B103" s="138"/>
      <c r="C103" s="138"/>
      <c r="E103" s="135"/>
      <c r="F103" s="135"/>
      <c r="G103" s="135"/>
      <c r="H103" s="135"/>
      <c r="I103" s="4"/>
      <c r="J103" s="4"/>
      <c r="K103" s="4"/>
      <c r="L103" s="4"/>
      <c r="M103" s="4"/>
      <c r="N103" s="4"/>
      <c r="O103" s="4"/>
      <c r="P103" s="4"/>
      <c r="R103" s="124"/>
      <c r="S103" s="124"/>
    </row>
    <row r="104" spans="1:19">
      <c r="A104" s="117">
        <f>IF(ISBLANK(C104),"",MAX($A$38:$A103)+1)</f>
        <v>60</v>
      </c>
      <c r="B104" s="138"/>
      <c r="C104" s="138" t="str">
        <f>Functional!$C104</f>
        <v>Total General Plant</v>
      </c>
      <c r="E104" s="301">
        <f>E98+E102</f>
        <v>132930960.04616442</v>
      </c>
      <c r="F104" s="301">
        <f t="shared" ref="F104:P104" si="40">F98+F102</f>
        <v>87853662.856834769</v>
      </c>
      <c r="G104" s="301">
        <f t="shared" si="40"/>
        <v>29050238.600704499</v>
      </c>
      <c r="H104" s="301">
        <f t="shared" si="40"/>
        <v>116903901.45753925</v>
      </c>
      <c r="I104" s="301">
        <f t="shared" si="40"/>
        <v>6195712.5628219591</v>
      </c>
      <c r="J104" s="301">
        <f t="shared" si="40"/>
        <v>632570.5161785729</v>
      </c>
      <c r="K104" s="301">
        <f t="shared" si="40"/>
        <v>668012.64984302409</v>
      </c>
      <c r="L104" s="301">
        <f t="shared" si="40"/>
        <v>6531911.4809006192</v>
      </c>
      <c r="M104" s="301">
        <f t="shared" si="40"/>
        <v>907038.4006868432</v>
      </c>
      <c r="N104" s="301">
        <f t="shared" si="40"/>
        <v>553700.88457709772</v>
      </c>
      <c r="O104" s="301">
        <f t="shared" si="40"/>
        <v>538112.09361707349</v>
      </c>
      <c r="P104" s="301">
        <f t="shared" si="40"/>
        <v>16027058.588625189</v>
      </c>
      <c r="R104" s="124">
        <f t="shared" ref="R104:R105" si="41">SUM(F104:G104,I104:O104)-E104</f>
        <v>0</v>
      </c>
      <c r="S104" s="124">
        <f t="shared" ref="S104:S105" si="42">E104-H104-P104</f>
        <v>0</v>
      </c>
    </row>
    <row r="105" spans="1:19">
      <c r="A105" s="117">
        <f>IF(ISBLANK(C105),"",MAX($A$38:$A104)+1)</f>
        <v>61</v>
      </c>
      <c r="B105" s="138"/>
      <c r="C105" s="138" t="str">
        <f>Functional!$C105</f>
        <v>Total Plant in Service</v>
      </c>
      <c r="E105" s="135">
        <f t="shared" ref="E105:P105" si="43">E46+E53+E72+E104</f>
        <v>936940581.96910679</v>
      </c>
      <c r="F105" s="135">
        <f t="shared" si="43"/>
        <v>581415399.62202311</v>
      </c>
      <c r="G105" s="135">
        <f t="shared" si="43"/>
        <v>226428527.23445588</v>
      </c>
      <c r="H105" s="135">
        <f t="shared" si="43"/>
        <v>807843926.85647893</v>
      </c>
      <c r="I105" s="135">
        <f t="shared" si="43"/>
        <v>46081304.685705923</v>
      </c>
      <c r="J105" s="135">
        <f t="shared" si="43"/>
        <v>5495674.9873175574</v>
      </c>
      <c r="K105" s="135">
        <f t="shared" si="43"/>
        <v>4851477.9369550291</v>
      </c>
      <c r="L105" s="135">
        <f t="shared" si="43"/>
        <v>57519238.673164591</v>
      </c>
      <c r="M105" s="135">
        <f t="shared" si="43"/>
        <v>8370456.4057548307</v>
      </c>
      <c r="N105" s="135">
        <f t="shared" si="43"/>
        <v>3229352.7766806325</v>
      </c>
      <c r="O105" s="135">
        <f t="shared" si="43"/>
        <v>3549149.6470492957</v>
      </c>
      <c r="P105" s="135">
        <f t="shared" si="43"/>
        <v>129096655.11262785</v>
      </c>
      <c r="R105" s="124">
        <f t="shared" si="41"/>
        <v>0</v>
      </c>
      <c r="S105" s="124">
        <f t="shared" si="42"/>
        <v>0</v>
      </c>
    </row>
    <row r="106" spans="1:19">
      <c r="A106" s="117"/>
      <c r="B106" s="138"/>
      <c r="C106" s="138"/>
      <c r="E106" s="491"/>
      <c r="F106" s="491"/>
      <c r="G106" s="135"/>
      <c r="H106" s="135"/>
      <c r="I106" s="4"/>
      <c r="J106" s="4"/>
      <c r="K106" s="4"/>
      <c r="L106" s="4"/>
      <c r="M106" s="4"/>
      <c r="N106" s="4"/>
      <c r="O106" s="4"/>
      <c r="P106" s="4"/>
      <c r="R106" s="124"/>
      <c r="S106" s="124"/>
    </row>
    <row r="107" spans="1:19">
      <c r="A107" s="117"/>
      <c r="B107" s="138"/>
      <c r="C107" s="138"/>
      <c r="E107" s="211"/>
      <c r="F107" s="491"/>
      <c r="G107" s="135"/>
      <c r="H107" s="135"/>
      <c r="I107" s="4"/>
      <c r="J107" s="4"/>
      <c r="K107" s="4"/>
      <c r="L107" s="4"/>
      <c r="M107" s="4"/>
      <c r="N107" s="4"/>
      <c r="O107" s="4"/>
      <c r="P107" s="4"/>
      <c r="R107" s="124"/>
      <c r="S107" s="124"/>
    </row>
    <row r="108" spans="1:19">
      <c r="A108" s="113" t="str">
        <f>$A$1</f>
        <v>Black Hills Nebraska Gas, LLC</v>
      </c>
      <c r="B108" s="114"/>
      <c r="C108" s="115"/>
      <c r="D108" s="115"/>
      <c r="E108" s="143"/>
      <c r="F108" s="143"/>
      <c r="G108" s="143"/>
      <c r="H108" s="143"/>
      <c r="I108" s="302"/>
      <c r="J108" s="302"/>
      <c r="K108" s="302"/>
      <c r="L108" s="302"/>
      <c r="M108" s="302"/>
      <c r="N108" s="302"/>
      <c r="O108" s="302"/>
      <c r="P108" s="302"/>
      <c r="R108" s="124"/>
      <c r="S108" s="124"/>
    </row>
    <row r="109" spans="1:19">
      <c r="A109" s="113" t="str">
        <f>$A$2</f>
        <v>RATE BASE AND COST OF SERVICE BY CUSTOMER CLASS</v>
      </c>
      <c r="B109" s="114"/>
      <c r="C109" s="115"/>
      <c r="D109" s="115"/>
      <c r="E109" s="143"/>
      <c r="F109" s="143"/>
      <c r="G109" s="143"/>
      <c r="H109" s="143"/>
      <c r="I109" s="302"/>
      <c r="J109" s="302"/>
      <c r="K109" s="302"/>
      <c r="L109" s="302"/>
      <c r="M109" s="302"/>
      <c r="N109" s="302"/>
      <c r="O109" s="302"/>
      <c r="P109" s="302"/>
      <c r="R109" s="124"/>
      <c r="S109" s="124"/>
    </row>
    <row r="110" spans="1:19">
      <c r="A110" s="113" t="str">
        <f>$A$3</f>
        <v>FOR THE PRO FORMA PERIOD ENDED DECEMBER 31, 2020</v>
      </c>
      <c r="B110" s="114"/>
      <c r="C110" s="115"/>
      <c r="D110" s="115"/>
      <c r="E110" s="143"/>
      <c r="F110" s="143"/>
      <c r="G110" s="143"/>
      <c r="H110" s="143"/>
      <c r="I110" s="302"/>
      <c r="J110" s="302"/>
      <c r="K110" s="302"/>
      <c r="L110" s="302"/>
      <c r="M110" s="302"/>
      <c r="N110" s="302"/>
      <c r="O110" s="302"/>
      <c r="P110" s="302"/>
      <c r="R110" s="124"/>
      <c r="S110" s="124"/>
    </row>
    <row r="111" spans="1:19">
      <c r="E111" s="135"/>
      <c r="F111" s="135"/>
      <c r="G111" s="135"/>
      <c r="H111" s="135"/>
      <c r="I111" s="4"/>
      <c r="J111" s="4"/>
      <c r="K111" s="4"/>
      <c r="L111" s="4"/>
      <c r="M111" s="4"/>
      <c r="N111" s="4"/>
      <c r="O111" s="4"/>
      <c r="P111" s="4"/>
      <c r="R111" s="124"/>
      <c r="S111" s="124"/>
    </row>
    <row r="112" spans="1:19">
      <c r="E112" s="135"/>
      <c r="F112" s="135"/>
      <c r="G112" s="135"/>
      <c r="H112" s="135"/>
      <c r="I112" s="4"/>
      <c r="J112" s="4"/>
      <c r="K112" s="4"/>
      <c r="L112" s="4"/>
      <c r="M112" s="4"/>
      <c r="N112" s="4"/>
      <c r="O112" s="4"/>
      <c r="P112" s="4"/>
      <c r="R112" s="124"/>
      <c r="S112" s="124"/>
    </row>
    <row r="113" spans="1:19">
      <c r="A113" s="117"/>
      <c r="B113" s="117" t="s">
        <v>0</v>
      </c>
      <c r="C113" s="115" t="s">
        <v>1</v>
      </c>
      <c r="D113" s="115"/>
      <c r="E113" s="117" t="s">
        <v>2</v>
      </c>
      <c r="F113" s="117" t="s">
        <v>3</v>
      </c>
      <c r="G113" s="117" t="s">
        <v>4</v>
      </c>
      <c r="H113" s="117" t="s">
        <v>26</v>
      </c>
      <c r="I113" s="148" t="s">
        <v>61</v>
      </c>
      <c r="J113" s="148" t="s">
        <v>62</v>
      </c>
      <c r="K113" s="148" t="s">
        <v>63</v>
      </c>
      <c r="L113" s="148" t="s">
        <v>64</v>
      </c>
      <c r="M113" s="148" t="s">
        <v>79</v>
      </c>
      <c r="N113" s="148" t="s">
        <v>80</v>
      </c>
      <c r="O113" s="148" t="s">
        <v>195</v>
      </c>
      <c r="P113" s="148" t="s">
        <v>196</v>
      </c>
      <c r="Q113" s="117"/>
      <c r="R113" s="124"/>
      <c r="S113" s="124"/>
    </row>
    <row r="114" spans="1:19">
      <c r="R114" s="124"/>
      <c r="S114" s="124"/>
    </row>
    <row r="115" spans="1:19">
      <c r="A115" s="118"/>
      <c r="B115" s="119"/>
      <c r="C115" s="119"/>
      <c r="D115" s="120"/>
      <c r="E115" s="118"/>
      <c r="F115" s="118"/>
      <c r="G115" s="118"/>
      <c r="H115" s="118"/>
      <c r="I115" s="218" t="s">
        <v>197</v>
      </c>
      <c r="J115" s="219"/>
      <c r="K115" s="219"/>
      <c r="L115" s="219"/>
      <c r="M115" s="219"/>
      <c r="N115" s="219"/>
      <c r="O115" s="219"/>
      <c r="P115" s="296"/>
      <c r="Q115" s="117"/>
      <c r="R115" s="124"/>
      <c r="S115" s="124"/>
    </row>
    <row r="116" spans="1:19">
      <c r="A116" s="125" t="s">
        <v>6</v>
      </c>
      <c r="B116" s="126" t="s">
        <v>87</v>
      </c>
      <c r="C116" s="126"/>
      <c r="D116" s="117"/>
      <c r="E116" s="125" t="s">
        <v>20</v>
      </c>
      <c r="F116" s="125" t="s">
        <v>22</v>
      </c>
      <c r="G116" s="125" t="s">
        <v>24</v>
      </c>
      <c r="H116" s="125" t="s">
        <v>20</v>
      </c>
      <c r="I116" s="205"/>
      <c r="J116" s="205"/>
      <c r="K116" s="205" t="s">
        <v>76</v>
      </c>
      <c r="L116" s="205" t="s">
        <v>418</v>
      </c>
      <c r="M116" s="205" t="s">
        <v>418</v>
      </c>
      <c r="N116" s="205" t="s">
        <v>418</v>
      </c>
      <c r="O116" s="220" t="s">
        <v>418</v>
      </c>
      <c r="P116" s="205" t="s">
        <v>20</v>
      </c>
      <c r="Q116" s="117"/>
      <c r="R116" s="124"/>
      <c r="S116" s="124"/>
    </row>
    <row r="117" spans="1:19">
      <c r="A117" s="130" t="s">
        <v>88</v>
      </c>
      <c r="B117" s="131" t="s">
        <v>88</v>
      </c>
      <c r="C117" s="127" t="s">
        <v>8</v>
      </c>
      <c r="D117" s="129"/>
      <c r="E117" s="130" t="s">
        <v>219</v>
      </c>
      <c r="F117" s="130" t="s">
        <v>23</v>
      </c>
      <c r="G117" s="130" t="s">
        <v>23</v>
      </c>
      <c r="H117" s="130" t="s">
        <v>21</v>
      </c>
      <c r="I117" s="208" t="s">
        <v>416</v>
      </c>
      <c r="J117" s="208" t="s">
        <v>436</v>
      </c>
      <c r="K117" s="208" t="s">
        <v>417</v>
      </c>
      <c r="L117" s="208" t="s">
        <v>45</v>
      </c>
      <c r="M117" s="208" t="s">
        <v>42</v>
      </c>
      <c r="N117" s="208" t="s">
        <v>47</v>
      </c>
      <c r="O117" s="221" t="s">
        <v>41</v>
      </c>
      <c r="P117" s="208" t="s">
        <v>77</v>
      </c>
      <c r="Q117" s="117"/>
      <c r="R117" s="124"/>
      <c r="S117" s="124"/>
    </row>
    <row r="118" spans="1:19">
      <c r="A118" s="117" t="str">
        <f>IF(ISBLANK(C118),"",MAX($A$38:$A117)+1)</f>
        <v/>
      </c>
      <c r="B118" s="117"/>
      <c r="C118" s="117"/>
      <c r="D118" s="117"/>
      <c r="E118" s="117" t="s">
        <v>27</v>
      </c>
      <c r="F118" s="117" t="s">
        <v>27</v>
      </c>
      <c r="G118" s="117" t="s">
        <v>27</v>
      </c>
      <c r="H118" s="117" t="s">
        <v>27</v>
      </c>
      <c r="I118" s="148" t="s">
        <v>27</v>
      </c>
      <c r="J118" s="148" t="s">
        <v>27</v>
      </c>
      <c r="K118" s="148" t="s">
        <v>27</v>
      </c>
      <c r="L118" s="148" t="s">
        <v>27</v>
      </c>
      <c r="M118" s="148" t="s">
        <v>27</v>
      </c>
      <c r="N118" s="148" t="s">
        <v>27</v>
      </c>
      <c r="O118" s="148" t="s">
        <v>27</v>
      </c>
      <c r="P118" s="148" t="s">
        <v>27</v>
      </c>
      <c r="Q118" s="117"/>
      <c r="R118" s="124"/>
      <c r="S118" s="124"/>
    </row>
    <row r="119" spans="1:19">
      <c r="A119" s="117">
        <f>IF(ISBLANK(C119),"",MAX($A$38:$A118)+1)</f>
        <v>62</v>
      </c>
      <c r="C119" s="134" t="str">
        <f>Functional!$C119</f>
        <v>Accumulated Depreciation</v>
      </c>
      <c r="E119" s="135"/>
      <c r="F119" s="135"/>
      <c r="G119" s="135"/>
      <c r="H119" s="135"/>
      <c r="I119" s="4"/>
      <c r="J119" s="4"/>
      <c r="K119" s="4"/>
      <c r="L119" s="4"/>
      <c r="M119" s="4"/>
      <c r="N119" s="4"/>
      <c r="O119" s="4"/>
      <c r="P119" s="4"/>
      <c r="R119" s="124"/>
      <c r="S119" s="124"/>
    </row>
    <row r="120" spans="1:19">
      <c r="A120" s="117" t="str">
        <f>IF(ISBLANK(C120),"",MAX($A$38:$A119)+1)</f>
        <v/>
      </c>
      <c r="E120" s="135"/>
      <c r="F120" s="135"/>
      <c r="G120" s="135"/>
      <c r="H120" s="135"/>
      <c r="I120" s="4"/>
      <c r="J120" s="4"/>
      <c r="K120" s="4"/>
      <c r="L120" s="4"/>
      <c r="M120" s="4"/>
      <c r="N120" s="4"/>
      <c r="O120" s="4"/>
      <c r="P120" s="4"/>
      <c r="R120" s="124"/>
      <c r="S120" s="124"/>
    </row>
    <row r="121" spans="1:19">
      <c r="A121" s="117">
        <f>IF(ISBLANK(C121),"",MAX($A$38:$A120)+1)</f>
        <v>63</v>
      </c>
      <c r="C121" s="140" t="s">
        <v>104</v>
      </c>
      <c r="E121" s="211">
        <f>Functional!$E121</f>
        <v>-1052017.6099999999</v>
      </c>
      <c r="F121" s="135">
        <f>'Class Allocations'!E$144*Functional!$F121+'Class Allocations'!E$148*Functional!$G121+'Class Allocations'!E$152*Functional!$I121+'Class Allocations'!E$156*Functional!$H121+'Class Allocations'!E$160*Functional!$J121+'Class Allocations'!E$166*Functional!$K121+'Class Allocations'!E$172*Functional!$L121+'Class Allocations'!E$178*Functional!$M121+'Class Allocations'!E$184*Functional!$N121+Functional!$O121</f>
        <v>-679774.53873693908</v>
      </c>
      <c r="G121" s="135">
        <f>'Class Allocations'!F$144*Functional!$F121+'Class Allocations'!F$148*Functional!$G121+'Class Allocations'!F$152*Functional!$I121+'Class Allocations'!F$156*Functional!$H121+'Class Allocations'!F$160*Functional!$J121+'Class Allocations'!F$166*Functional!$K121+'Class Allocations'!F$172*Functional!$L121+'Class Allocations'!F$178*Functional!$M121+'Class Allocations'!F$184*Functional!$N121</f>
        <v>-237525.3529650452</v>
      </c>
      <c r="H121" s="135">
        <f t="shared" ref="H121:H126" si="44">SUM(F121:G121)</f>
        <v>-917299.89170198422</v>
      </c>
      <c r="I121" s="135">
        <f>'Class Allocations'!H$144*Functional!$F121+'Class Allocations'!H$148*Functional!$G121+'Class Allocations'!H$152*Functional!$I121+'Class Allocations'!H$156*Functional!$H121+'Class Allocations'!H$160*Functional!$J121+'Class Allocations'!H$166*Functional!$K121+'Class Allocations'!H$172*Functional!$L121+'Class Allocations'!H$178*Functional!$M121+'Class Allocations'!H$184*Functional!$N121</f>
        <v>-49632.392597802769</v>
      </c>
      <c r="J121" s="135">
        <f>'Class Allocations'!I$144*Functional!$F121+'Class Allocations'!I$148*Functional!$G121+'Class Allocations'!I$152*Functional!$I121+'Class Allocations'!I$156*Functional!$H121+'Class Allocations'!I$160*Functional!$J121+'Class Allocations'!I$166*Functional!$K121+'Class Allocations'!I$172*Functional!$L121+'Class Allocations'!I$178*Functional!$M121+'Class Allocations'!I$184*Functional!$N121</f>
        <v>-5478.0982013129933</v>
      </c>
      <c r="K121" s="135">
        <f>'Class Allocations'!J$144*Functional!$F121+'Class Allocations'!J$148*Functional!$G121+'Class Allocations'!J$152*Functional!$I121+'Class Allocations'!J$156*Functional!$H121+'Class Allocations'!J$160*Functional!$J121+'Class Allocations'!J$166*Functional!$K121+'Class Allocations'!J$172*Functional!$L121+'Class Allocations'!J$178*Functional!$M121+'Class Allocations'!J$184*Functional!$N121</f>
        <v>-5436.1480399847824</v>
      </c>
      <c r="L121" s="135">
        <f>'Class Allocations'!K$144*Functional!$F121+'Class Allocations'!K$148*Functional!$G121+'Class Allocations'!K$152*Functional!$I121+'Class Allocations'!K$156*Functional!$H121+'Class Allocations'!K$160*Functional!$J121+'Class Allocations'!K$166*Functional!$K121+'Class Allocations'!K$172*Functional!$L121+'Class Allocations'!K$178*Functional!$M121+'Class Allocations'!K$184*Functional!$N121</f>
        <v>-56826.810215509104</v>
      </c>
      <c r="M121" s="135">
        <f>'Class Allocations'!L$144*Functional!$F121+'Class Allocations'!L$148*Functional!$G121+'Class Allocations'!L$152*Functional!$I121+'Class Allocations'!L$156*Functional!$H121+'Class Allocations'!L$160*Functional!$J121+'Class Allocations'!L$166*Functional!$K121+'Class Allocations'!L$172*Functional!$L121+'Class Allocations'!L$178*Functional!$M121+'Class Allocations'!L$184*Functional!$N121</f>
        <v>-7890.3205098520802</v>
      </c>
      <c r="N121" s="135">
        <f>'Class Allocations'!M$144*Functional!$F121+'Class Allocations'!M$148*Functional!$G121+'Class Allocations'!M$152*Functional!$I121+'Class Allocations'!M$156*Functional!$H121+'Class Allocations'!M$160*Functional!$J121+'Class Allocations'!M$166*Functional!$K121+'Class Allocations'!M$172*Functional!$L121+'Class Allocations'!M$178*Functional!$M121+'Class Allocations'!M$184*Functional!$N121+Functional!$P121</f>
        <v>-4749.2375970958974</v>
      </c>
      <c r="O121" s="135">
        <f>'Class Allocations'!N$144*Functional!$F121+'Class Allocations'!N$148*Functional!$G121+'Class Allocations'!N$152*Functional!$I121+'Class Allocations'!N$156*Functional!$H121+'Class Allocations'!N$160*Functional!$J121+'Class Allocations'!N$166*Functional!$K121+'Class Allocations'!N$172*Functional!$L121+'Class Allocations'!N$178*Functional!$M121+'Class Allocations'!N$184*Functional!$N121+Functional!$Q121</f>
        <v>-4704.7111364581579</v>
      </c>
      <c r="P121" s="135">
        <f t="shared" ref="P121" si="45">SUM(I121:O121)</f>
        <v>-134717.7182980158</v>
      </c>
      <c r="R121" s="124">
        <f t="shared" ref="R121:R135" si="46">SUM(F121:G121,I121:O121)-E121</f>
        <v>0</v>
      </c>
      <c r="S121" s="124">
        <f t="shared" ref="S121:S133" si="47">E121-H121-P121</f>
        <v>0</v>
      </c>
    </row>
    <row r="122" spans="1:19">
      <c r="A122" s="117">
        <f>IF(ISBLANK(C122),"",MAX($A$38:$A121)+1)</f>
        <v>64</v>
      </c>
      <c r="C122" s="140" t="s">
        <v>42</v>
      </c>
      <c r="E122" s="211">
        <f>Functional!$E122</f>
        <v>-4310806.18</v>
      </c>
      <c r="F122" s="135">
        <f>'Class Allocations'!E$144*Functional!$F122+'Class Allocations'!E$148*Functional!$G122+'Class Allocations'!E$152*Functional!$I122+'Class Allocations'!E$156*Functional!$H122+'Class Allocations'!E$160*Functional!$J122+'Class Allocations'!E$166*Functional!$K122+'Class Allocations'!E$172*Functional!$L122+'Class Allocations'!E$178*Functional!$M122+'Class Allocations'!E$184*Functional!$N122+Functional!$O122</f>
        <v>-1419962.3790090061</v>
      </c>
      <c r="G122" s="135">
        <f>'Class Allocations'!F$144*Functional!$F122+'Class Allocations'!F$148*Functional!$G122+'Class Allocations'!F$152*Functional!$I122+'Class Allocations'!F$156*Functional!$H122+'Class Allocations'!F$160*Functional!$J122+'Class Allocations'!F$166*Functional!$K122+'Class Allocations'!F$172*Functional!$L122+'Class Allocations'!F$178*Functional!$M122+'Class Allocations'!F$184*Functional!$N122</f>
        <v>-980695.2000695871</v>
      </c>
      <c r="H122" s="135">
        <f t="shared" si="44"/>
        <v>-2400657.5790785933</v>
      </c>
      <c r="I122" s="4">
        <f>'Class Allocations'!H$144*Functional!$F122+'Class Allocations'!H$148*Functional!$G122+'Class Allocations'!H$152*Functional!$I122+'Class Allocations'!H$156*Functional!$H122+'Class Allocations'!H$160*Functional!$J122+'Class Allocations'!H$166*Functional!$K122+'Class Allocations'!H$172*Functional!$L122+'Class Allocations'!H$178*Functional!$M122+'Class Allocations'!H$184*Functional!$N122</f>
        <v>-180004.62488654646</v>
      </c>
      <c r="J122" s="4">
        <f>'Class Allocations'!I$144*Functional!$F122+'Class Allocations'!I$148*Functional!$G122+'Class Allocations'!I$152*Functional!$I122+'Class Allocations'!I$156*Functional!$H122+'Class Allocations'!I$160*Functional!$J122+'Class Allocations'!I$166*Functional!$K122+'Class Allocations'!I$172*Functional!$L122+'Class Allocations'!I$178*Functional!$M122+'Class Allocations'!I$184*Functional!$N122</f>
        <v>-58790.863243594315</v>
      </c>
      <c r="K122" s="4">
        <f>'Class Allocations'!J$144*Functional!$F122+'Class Allocations'!J$148*Functional!$G122+'Class Allocations'!J$152*Functional!$I122+'Class Allocations'!J$156*Functional!$H122+'Class Allocations'!J$160*Functional!$J122+'Class Allocations'!J$166*Functional!$K122+'Class Allocations'!J$172*Functional!$L122+'Class Allocations'!J$178*Functional!$M122+'Class Allocations'!J$184*Functional!$N122</f>
        <v>-40247.163555163512</v>
      </c>
      <c r="L122" s="4">
        <f>'Class Allocations'!K$144*Functional!$F122+'Class Allocations'!K$148*Functional!$G122+'Class Allocations'!K$152*Functional!$I122+'Class Allocations'!K$156*Functional!$H122+'Class Allocations'!K$160*Functional!$J122+'Class Allocations'!K$166*Functional!$K122+'Class Allocations'!K$172*Functional!$L122+'Class Allocations'!K$178*Functional!$M122+'Class Allocations'!K$184*Functional!$N122</f>
        <v>-629817.56818488508</v>
      </c>
      <c r="M122" s="4">
        <f>'Class Allocations'!L$144*Functional!$F122+'Class Allocations'!L$148*Functional!$G122+'Class Allocations'!L$152*Functional!$I122+'Class Allocations'!L$156*Functional!$H122+'Class Allocations'!L$160*Functional!$J122+'Class Allocations'!L$166*Functional!$K122+'Class Allocations'!L$172*Functional!$L122+'Class Allocations'!L$178*Functional!$M122+'Class Allocations'!L$184*Functional!$N122</f>
        <v>-399911.03877782787</v>
      </c>
      <c r="N122" s="4">
        <f>'Class Allocations'!M$144*Functional!$F122+'Class Allocations'!M$148*Functional!$G122+'Class Allocations'!M$152*Functional!$I122+'Class Allocations'!M$156*Functional!$H122+'Class Allocations'!M$160*Functional!$J122+'Class Allocations'!M$166*Functional!$K122+'Class Allocations'!M$172*Functional!$L122+'Class Allocations'!M$178*Functional!$M122+'Class Allocations'!M$184*Functional!$N122+Functional!$P122</f>
        <v>-601377.34227338876</v>
      </c>
      <c r="O122" s="4">
        <f>'Class Allocations'!N$144*Functional!$F122+'Class Allocations'!N$148*Functional!$G122+'Class Allocations'!N$152*Functional!$I122+'Class Allocations'!N$156*Functional!$H122+'Class Allocations'!N$160*Functional!$J122+'Class Allocations'!N$166*Functional!$K122+'Class Allocations'!N$172*Functional!$L122+'Class Allocations'!N$178*Functional!$M122+'Class Allocations'!N$184*Functional!$N122+Functional!$Q122</f>
        <v>0</v>
      </c>
      <c r="P122" s="4">
        <f t="shared" ref="P122:P126" si="48">SUM(I122:O122)</f>
        <v>-1910148.6009214059</v>
      </c>
      <c r="R122" s="124">
        <f t="shared" si="46"/>
        <v>0</v>
      </c>
      <c r="S122" s="124">
        <f t="shared" si="47"/>
        <v>0</v>
      </c>
    </row>
    <row r="123" spans="1:19">
      <c r="A123" s="117">
        <f>IF(ISBLANK(C123),"",MAX($A$38:$A122)+1)</f>
        <v>65</v>
      </c>
      <c r="C123" s="140" t="s">
        <v>45</v>
      </c>
      <c r="E123" s="211">
        <f>Functional!$E123</f>
        <v>-265816114.47031307</v>
      </c>
      <c r="F123" s="135">
        <f>'Class Allocations'!E$144*Functional!$F123+'Class Allocations'!E$148*Functional!$G123+'Class Allocations'!E$152*Functional!$I123+'Class Allocations'!E$156*Functional!$H123+'Class Allocations'!E$160*Functional!$J123+'Class Allocations'!E$166*Functional!$K123+'Class Allocations'!E$172*Functional!$L123+'Class Allocations'!E$178*Functional!$M123+'Class Allocations'!E$184*Functional!$N123+Functional!$O123</f>
        <v>-163748470.05556545</v>
      </c>
      <c r="G123" s="135">
        <f>'Class Allocations'!F$144*Functional!$F123+'Class Allocations'!F$148*Functional!$G123+'Class Allocations'!F$152*Functional!$I123+'Class Allocations'!F$156*Functional!$H123+'Class Allocations'!F$160*Functional!$J123+'Class Allocations'!F$166*Functional!$K123+'Class Allocations'!F$172*Functional!$L123+'Class Allocations'!F$178*Functional!$M123+'Class Allocations'!F$184*Functional!$N123</f>
        <v>-65301840.528899856</v>
      </c>
      <c r="H123" s="135">
        <f t="shared" si="44"/>
        <v>-229050310.5844653</v>
      </c>
      <c r="I123" s="4">
        <f>'Class Allocations'!H$144*Functional!$F123+'Class Allocations'!H$148*Functional!$G123+'Class Allocations'!H$152*Functional!$I123+'Class Allocations'!H$156*Functional!$H123+'Class Allocations'!H$160*Functional!$J123+'Class Allocations'!H$166*Functional!$K123+'Class Allocations'!H$172*Functional!$L123+'Class Allocations'!H$178*Functional!$M123+'Class Allocations'!H$184*Functional!$N123</f>
        <v>-13203957.256707245</v>
      </c>
      <c r="J123" s="4">
        <f>'Class Allocations'!I$144*Functional!$F123+'Class Allocations'!I$148*Functional!$G123+'Class Allocations'!I$152*Functional!$I123+'Class Allocations'!I$156*Functional!$H123+'Class Allocations'!I$160*Functional!$J123+'Class Allocations'!I$166*Functional!$K123+'Class Allocations'!I$172*Functional!$L123+'Class Allocations'!I$178*Functional!$M123+'Class Allocations'!I$184*Functional!$N123</f>
        <v>-1592577.068556508</v>
      </c>
      <c r="K123" s="4">
        <f>'Class Allocations'!J$144*Functional!$F123+'Class Allocations'!J$148*Functional!$G123+'Class Allocations'!J$152*Functional!$I123+'Class Allocations'!J$156*Functional!$H123+'Class Allocations'!J$160*Functional!$J123+'Class Allocations'!J$166*Functional!$K123+'Class Allocations'!J$172*Functional!$L123+'Class Allocations'!J$178*Functional!$M123+'Class Allocations'!J$184*Functional!$N123</f>
        <v>-1374622.727612372</v>
      </c>
      <c r="L123" s="4">
        <f>'Class Allocations'!K$144*Functional!$F123+'Class Allocations'!K$148*Functional!$G123+'Class Allocations'!K$152*Functional!$I123+'Class Allocations'!K$156*Functional!$H123+'Class Allocations'!K$160*Functional!$J123+'Class Allocations'!K$166*Functional!$K123+'Class Allocations'!K$172*Functional!$L123+'Class Allocations'!K$178*Functional!$M123+'Class Allocations'!K$184*Functional!$N123</f>
        <v>-16691267.554943461</v>
      </c>
      <c r="M123" s="4">
        <f>'Class Allocations'!L$144*Functional!$F123+'Class Allocations'!L$148*Functional!$G123+'Class Allocations'!L$152*Functional!$I123+'Class Allocations'!L$156*Functional!$H123+'Class Allocations'!L$160*Functional!$J123+'Class Allocations'!L$166*Functional!$K123+'Class Allocations'!L$172*Functional!$L123+'Class Allocations'!L$178*Functional!$M123+'Class Allocations'!L$184*Functional!$N123</f>
        <v>-2296577.5303945593</v>
      </c>
      <c r="N123" s="4">
        <f>'Class Allocations'!M$144*Functional!$F123+'Class Allocations'!M$148*Functional!$G123+'Class Allocations'!M$152*Functional!$I123+'Class Allocations'!M$156*Functional!$H123+'Class Allocations'!M$160*Functional!$J123+'Class Allocations'!M$166*Functional!$K123+'Class Allocations'!M$172*Functional!$L123+'Class Allocations'!M$178*Functional!$M123+'Class Allocations'!M$184*Functional!$N123+Functional!$P123</f>
        <v>-603940.52653495863</v>
      </c>
      <c r="O123" s="4">
        <f>'Class Allocations'!N$144*Functional!$F123+'Class Allocations'!N$148*Functional!$G123+'Class Allocations'!N$152*Functional!$I123+'Class Allocations'!N$156*Functional!$H123+'Class Allocations'!N$160*Functional!$J123+'Class Allocations'!N$166*Functional!$K123+'Class Allocations'!N$172*Functional!$L123+'Class Allocations'!N$178*Functional!$M123+'Class Allocations'!N$184*Functional!$N123+Functional!$Q123</f>
        <v>-1002861.2210987039</v>
      </c>
      <c r="P123" s="4">
        <f t="shared" si="48"/>
        <v>-36765803.885847814</v>
      </c>
      <c r="R123" s="124">
        <f t="shared" si="46"/>
        <v>0</v>
      </c>
      <c r="S123" s="124">
        <f t="shared" si="47"/>
        <v>0</v>
      </c>
    </row>
    <row r="124" spans="1:19">
      <c r="A124" s="117">
        <f>IF(ISBLANK(C124),"",MAX($A$38:$A123)+1)</f>
        <v>66</v>
      </c>
      <c r="C124" s="140" t="s">
        <v>105</v>
      </c>
      <c r="E124" s="211">
        <f>Functional!$E124</f>
        <v>-17439178.911993302</v>
      </c>
      <c r="F124" s="135">
        <f>'Class Allocations'!E$144*Functional!$F124+'Class Allocations'!E$148*Functional!$G124+'Class Allocations'!E$152*Functional!$I124+'Class Allocations'!E$156*Functional!$H124+'Class Allocations'!E$160*Functional!$J124+'Class Allocations'!E$166*Functional!$K124+'Class Allocations'!E$172*Functional!$L124+'Class Allocations'!E$178*Functional!$M124+'Class Allocations'!E$184*Functional!$N124+Functional!$O124</f>
        <v>-11525499.733863458</v>
      </c>
      <c r="G124" s="135">
        <f>'Class Allocations'!F$144*Functional!$F124+'Class Allocations'!F$148*Functional!$G124+'Class Allocations'!F$152*Functional!$I124+'Class Allocations'!F$156*Functional!$H124+'Class Allocations'!F$160*Functional!$J124+'Class Allocations'!F$166*Functional!$K124+'Class Allocations'!F$172*Functional!$L124+'Class Allocations'!F$178*Functional!$M124+'Class Allocations'!F$184*Functional!$N124</f>
        <v>-3811093.4293850195</v>
      </c>
      <c r="H124" s="135">
        <f t="shared" si="44"/>
        <v>-15336593.163248478</v>
      </c>
      <c r="I124" s="4">
        <f>'Class Allocations'!H$144*Functional!$F124+'Class Allocations'!H$148*Functional!$G124+'Class Allocations'!H$152*Functional!$I124+'Class Allocations'!H$156*Functional!$H124+'Class Allocations'!H$160*Functional!$J124+'Class Allocations'!H$166*Functional!$K124+'Class Allocations'!H$172*Functional!$L124+'Class Allocations'!H$178*Functional!$M124+'Class Allocations'!H$184*Functional!$N124</f>
        <v>-812813.95871069911</v>
      </c>
      <c r="J124" s="4">
        <f>'Class Allocations'!I$144*Functional!$F124+'Class Allocations'!I$148*Functional!$G124+'Class Allocations'!I$152*Functional!$I124+'Class Allocations'!I$156*Functional!$H124+'Class Allocations'!I$160*Functional!$J124+'Class Allocations'!I$166*Functional!$K124+'Class Allocations'!I$172*Functional!$L124+'Class Allocations'!I$178*Functional!$M124+'Class Allocations'!I$184*Functional!$N124</f>
        <v>-82986.76547780179</v>
      </c>
      <c r="K124" s="4">
        <f>'Class Allocations'!J$144*Functional!$F124+'Class Allocations'!J$148*Functional!$G124+'Class Allocations'!J$152*Functional!$I124+'Class Allocations'!J$156*Functional!$H124+'Class Allocations'!J$160*Functional!$J124+'Class Allocations'!J$166*Functional!$K124+'Class Allocations'!J$172*Functional!$L124+'Class Allocations'!J$178*Functional!$M124+'Class Allocations'!J$184*Functional!$N124</f>
        <v>-87636.409998404779</v>
      </c>
      <c r="L124" s="4">
        <f>'Class Allocations'!K$144*Functional!$F124+'Class Allocations'!K$148*Functional!$G124+'Class Allocations'!K$152*Functional!$I124+'Class Allocations'!K$156*Functional!$H124+'Class Allocations'!K$160*Functional!$J124+'Class Allocations'!K$166*Functional!$K124+'Class Allocations'!K$172*Functional!$L124+'Class Allocations'!K$178*Functional!$M124+'Class Allocations'!K$184*Functional!$N124</f>
        <v>-856919.80944973126</v>
      </c>
      <c r="M124" s="4">
        <f>'Class Allocations'!L$144*Functional!$F124+'Class Allocations'!L$148*Functional!$G124+'Class Allocations'!L$152*Functional!$I124+'Class Allocations'!L$156*Functional!$H124+'Class Allocations'!L$160*Functional!$J124+'Class Allocations'!L$166*Functional!$K124+'Class Allocations'!L$172*Functional!$L124+'Class Allocations'!L$178*Functional!$M124+'Class Allocations'!L$184*Functional!$N124</f>
        <v>-118994.13758941359</v>
      </c>
      <c r="N124" s="4">
        <f>'Class Allocations'!M$144*Functional!$F124+'Class Allocations'!M$148*Functional!$G124+'Class Allocations'!M$152*Functional!$I124+'Class Allocations'!M$156*Functional!$H124+'Class Allocations'!M$160*Functional!$J124+'Class Allocations'!M$166*Functional!$K124+'Class Allocations'!M$172*Functional!$L124+'Class Allocations'!M$178*Functional!$M124+'Class Allocations'!M$184*Functional!$N124+Functional!$P124</f>
        <v>-72639.878524277417</v>
      </c>
      <c r="O124" s="4">
        <f>'Class Allocations'!N$144*Functional!$F124+'Class Allocations'!N$148*Functional!$G124+'Class Allocations'!N$152*Functional!$I124+'Class Allocations'!N$156*Functional!$H124+'Class Allocations'!N$160*Functional!$J124+'Class Allocations'!N$166*Functional!$K124+'Class Allocations'!N$172*Functional!$L124+'Class Allocations'!N$178*Functional!$M124+'Class Allocations'!N$184*Functional!$N124+Functional!$Q124</f>
        <v>-70594.788994501097</v>
      </c>
      <c r="P124" s="4">
        <f t="shared" si="48"/>
        <v>-2102585.7487448291</v>
      </c>
      <c r="R124" s="124">
        <f t="shared" si="46"/>
        <v>0</v>
      </c>
      <c r="S124" s="124">
        <f t="shared" si="47"/>
        <v>4.1909515857696533E-9</v>
      </c>
    </row>
    <row r="125" spans="1:19">
      <c r="A125" s="117">
        <f>IF(ISBLANK(C125),"",MAX($A$38:$A124)+1)</f>
        <v>67</v>
      </c>
      <c r="C125" s="140" t="s">
        <v>599</v>
      </c>
      <c r="E125" s="211">
        <f>Functional!$E125</f>
        <v>625655.50084761553</v>
      </c>
      <c r="F125" s="135">
        <f>'Class Allocations'!E$144*Functional!$F125+'Class Allocations'!E$148*Functional!$G125+'Class Allocations'!E$152*Functional!$I125+'Class Allocations'!E$156*Functional!$H125+'Class Allocations'!E$160*Functional!$J125+'Class Allocations'!E$166*Functional!$K125+'Class Allocations'!E$172*Functional!$L125+'Class Allocations'!E$178*Functional!$M125+'Class Allocations'!E$184*Functional!$N125+Functional!$O125</f>
        <v>498788.92625792703</v>
      </c>
      <c r="G125" s="135">
        <f>'Class Allocations'!F$144*Functional!$F125+'Class Allocations'!F$148*Functional!$G125+'Class Allocations'!F$152*Functional!$I125+'Class Allocations'!F$156*Functional!$H125+'Class Allocations'!F$160*Functional!$J125+'Class Allocations'!F$166*Functional!$K125+'Class Allocations'!F$172*Functional!$L125+'Class Allocations'!F$178*Functional!$M125+'Class Allocations'!F$184*Functional!$N125</f>
        <v>94790.73104611873</v>
      </c>
      <c r="H125" s="135">
        <f t="shared" si="44"/>
        <v>593579.65730404574</v>
      </c>
      <c r="I125" s="4">
        <f>'Class Allocations'!H$144*Functional!$F125+'Class Allocations'!H$148*Functional!$G125+'Class Allocations'!H$152*Functional!$I125+'Class Allocations'!H$156*Functional!$H125+'Class Allocations'!H$160*Functional!$J125+'Class Allocations'!H$166*Functional!$K125+'Class Allocations'!H$172*Functional!$L125+'Class Allocations'!H$178*Functional!$M125+'Class Allocations'!H$184*Functional!$N125</f>
        <v>25862.392522631351</v>
      </c>
      <c r="J125" s="4">
        <f>'Class Allocations'!I$144*Functional!$F125+'Class Allocations'!I$148*Functional!$G125+'Class Allocations'!I$152*Functional!$I125+'Class Allocations'!I$156*Functional!$H125+'Class Allocations'!I$160*Functional!$J125+'Class Allocations'!I$166*Functional!$K125+'Class Allocations'!I$172*Functional!$L125+'Class Allocations'!I$178*Functional!$M125+'Class Allocations'!I$184*Functional!$N125</f>
        <v>380.41536862888387</v>
      </c>
      <c r="K125" s="4">
        <f>'Class Allocations'!J$144*Functional!$F125+'Class Allocations'!J$148*Functional!$G125+'Class Allocations'!J$152*Functional!$I125+'Class Allocations'!J$156*Functional!$H125+'Class Allocations'!J$160*Functional!$J125+'Class Allocations'!J$166*Functional!$K125+'Class Allocations'!J$172*Functional!$L125+'Class Allocations'!J$178*Functional!$M125+'Class Allocations'!J$184*Functional!$N125</f>
        <v>2321.5091726583169</v>
      </c>
      <c r="L125" s="4">
        <f>'Class Allocations'!K$144*Functional!$F125+'Class Allocations'!K$148*Functional!$G125+'Class Allocations'!K$152*Functional!$I125+'Class Allocations'!K$156*Functional!$H125+'Class Allocations'!K$160*Functional!$J125+'Class Allocations'!K$166*Functional!$K125+'Class Allocations'!K$172*Functional!$L125+'Class Allocations'!K$178*Functional!$M125+'Class Allocations'!K$184*Functional!$N125</f>
        <v>2497.0854966408783</v>
      </c>
      <c r="M125" s="4">
        <f>'Class Allocations'!L$144*Functional!$F125+'Class Allocations'!L$148*Functional!$G125+'Class Allocations'!L$152*Functional!$I125+'Class Allocations'!L$156*Functional!$H125+'Class Allocations'!L$160*Functional!$J125+'Class Allocations'!L$166*Functional!$K125+'Class Allocations'!L$172*Functional!$L125+'Class Allocations'!L$178*Functional!$M125+'Class Allocations'!L$184*Functional!$N125</f>
        <v>351.15264796512355</v>
      </c>
      <c r="N125" s="4">
        <f>'Class Allocations'!M$144*Functional!$F125+'Class Allocations'!M$148*Functional!$G125+'Class Allocations'!M$152*Functional!$I125+'Class Allocations'!M$156*Functional!$H125+'Class Allocations'!M$160*Functional!$J125+'Class Allocations'!M$166*Functional!$K125+'Class Allocations'!M$172*Functional!$L125+'Class Allocations'!M$178*Functional!$M125+'Class Allocations'!M$184*Functional!$N125+Functional!$P125</f>
        <v>585.25441327520593</v>
      </c>
      <c r="O125" s="4">
        <f>'Class Allocations'!N$144*Functional!$F125+'Class Allocations'!N$148*Functional!$G125+'Class Allocations'!N$152*Functional!$I125+'Class Allocations'!N$156*Functional!$H125+'Class Allocations'!N$160*Functional!$J125+'Class Allocations'!N$166*Functional!$K125+'Class Allocations'!N$172*Functional!$L125+'Class Allocations'!N$178*Functional!$M125+'Class Allocations'!N$184*Functional!$N125+Functional!$Q125</f>
        <v>78.033921770027447</v>
      </c>
      <c r="P125" s="4">
        <f t="shared" si="48"/>
        <v>32075.843543569783</v>
      </c>
      <c r="R125" s="124">
        <f t="shared" ref="R125" si="49">SUM(F125:G125,I125:O125)-E125</f>
        <v>0</v>
      </c>
      <c r="S125" s="124">
        <f t="shared" ref="S125" si="50">E125-H125-P125</f>
        <v>0</v>
      </c>
    </row>
    <row r="126" spans="1:19">
      <c r="A126" s="117">
        <f>IF(ISBLANK(C126),"",MAX($A$38:$A125)+1)</f>
        <v>68</v>
      </c>
      <c r="C126" s="140" t="s">
        <v>600</v>
      </c>
      <c r="E126" s="418">
        <f>Functional!$E126</f>
        <v>-438077.85316301603</v>
      </c>
      <c r="F126" s="298">
        <f>'Class Allocations'!E$144*Functional!$F126+'Class Allocations'!E$148*Functional!$G126+'Class Allocations'!E$152*Functional!$I126+'Class Allocations'!E$156*Functional!$H126+'Class Allocations'!E$160*Functional!$J126+'Class Allocations'!E$166*Functional!$K126+'Class Allocations'!E$172*Functional!$L126+'Class Allocations'!E$178*Functional!$M126+'Class Allocations'!E$184*Functional!$N126+Functional!$O126</f>
        <v>-283069.56816507824</v>
      </c>
      <c r="G126" s="298">
        <f>'Class Allocations'!F$144*Functional!$F126+'Class Allocations'!F$148*Functional!$G126+'Class Allocations'!F$152*Functional!$I126+'Class Allocations'!F$156*Functional!$H126+'Class Allocations'!F$160*Functional!$J126+'Class Allocations'!F$166*Functional!$K126+'Class Allocations'!F$172*Functional!$L126+'Class Allocations'!F$178*Functional!$M126+'Class Allocations'!F$184*Functional!$N126</f>
        <v>-98909.557891064789</v>
      </c>
      <c r="H126" s="298">
        <f t="shared" si="44"/>
        <v>-381979.12605614302</v>
      </c>
      <c r="I126" s="5">
        <f>'Class Allocations'!H$144*Functional!$F126+'Class Allocations'!H$148*Functional!$G126+'Class Allocations'!H$152*Functional!$I126+'Class Allocations'!H$156*Functional!$H126+'Class Allocations'!H$160*Functional!$J126+'Class Allocations'!H$166*Functional!$K126+'Class Allocations'!H$172*Functional!$L126+'Class Allocations'!H$178*Functional!$M126+'Class Allocations'!H$184*Functional!$N126</f>
        <v>-20667.764293973563</v>
      </c>
      <c r="J126" s="5">
        <f>'Class Allocations'!I$144*Functional!$F126+'Class Allocations'!I$148*Functional!$G126+'Class Allocations'!I$152*Functional!$I126+'Class Allocations'!I$156*Functional!$H126+'Class Allocations'!I$160*Functional!$J126+'Class Allocations'!I$166*Functional!$K126+'Class Allocations'!I$172*Functional!$L126+'Class Allocations'!I$178*Functional!$M126+'Class Allocations'!I$184*Functional!$N126</f>
        <v>-2281.1723650209378</v>
      </c>
      <c r="K126" s="5">
        <f>'Class Allocations'!J$144*Functional!$F126+'Class Allocations'!J$148*Functional!$G126+'Class Allocations'!J$152*Functional!$I126+'Class Allocations'!J$156*Functional!$H126+'Class Allocations'!J$160*Functional!$J126+'Class Allocations'!J$166*Functional!$K126+'Class Allocations'!J$172*Functional!$L126+'Class Allocations'!J$178*Functional!$M126+'Class Allocations'!J$184*Functional!$N126</f>
        <v>-2263.7036112284009</v>
      </c>
      <c r="L126" s="5">
        <f>'Class Allocations'!K$144*Functional!$F126+'Class Allocations'!K$148*Functional!$G126+'Class Allocations'!K$152*Functional!$I126+'Class Allocations'!K$156*Functional!$H126+'Class Allocations'!K$160*Functional!$J126+'Class Allocations'!K$166*Functional!$K126+'Class Allocations'!K$172*Functional!$L126+'Class Allocations'!K$178*Functional!$M126+'Class Allocations'!K$184*Functional!$N126</f>
        <v>-23663.640973949456</v>
      </c>
      <c r="M126" s="5">
        <f>'Class Allocations'!L$144*Functional!$F126+'Class Allocations'!L$148*Functional!$G126+'Class Allocations'!L$152*Functional!$I126+'Class Allocations'!L$156*Functional!$H126+'Class Allocations'!L$160*Functional!$J126+'Class Allocations'!L$166*Functional!$K126+'Class Allocations'!L$172*Functional!$L126+'Class Allocations'!L$178*Functional!$M126+'Class Allocations'!L$184*Functional!$N126</f>
        <v>-3285.6623661690546</v>
      </c>
      <c r="N126" s="5">
        <f>'Class Allocations'!M$144*Functional!$F126+'Class Allocations'!M$148*Functional!$G126+'Class Allocations'!M$152*Functional!$I126+'Class Allocations'!M$156*Functional!$H126+'Class Allocations'!M$160*Functional!$J126+'Class Allocations'!M$166*Functional!$K126+'Class Allocations'!M$172*Functional!$L126+'Class Allocations'!M$178*Functional!$M126+'Class Allocations'!M$184*Functional!$N126+Functional!$P126</f>
        <v>-1977.6625323760995</v>
      </c>
      <c r="O126" s="5">
        <f>'Class Allocations'!N$144*Functional!$F126+'Class Allocations'!N$148*Functional!$G126+'Class Allocations'!N$152*Functional!$I126+'Class Allocations'!N$156*Functional!$H126+'Class Allocations'!N$160*Functional!$J126+'Class Allocations'!N$166*Functional!$K126+'Class Allocations'!N$172*Functional!$L126+'Class Allocations'!N$178*Functional!$M126+'Class Allocations'!N$184*Functional!$N126+Functional!$Q126</f>
        <v>-1959.1209641554606</v>
      </c>
      <c r="P126" s="5">
        <f t="shared" si="48"/>
        <v>-56098.727106872968</v>
      </c>
      <c r="R126" s="124">
        <f t="shared" si="46"/>
        <v>0</v>
      </c>
      <c r="S126" s="124">
        <f t="shared" si="47"/>
        <v>0</v>
      </c>
    </row>
    <row r="127" spans="1:19">
      <c r="A127" s="117">
        <f>IF(ISBLANK(C127),"",MAX($A$38:$A126)+1)</f>
        <v>69</v>
      </c>
      <c r="C127" s="169" t="str">
        <f>Functional!$C127</f>
        <v>Total Accumulated Depreciation</v>
      </c>
      <c r="E127" s="135">
        <f t="shared" ref="E127:P127" si="51">SUM(E121:E126)</f>
        <v>-288430539.52462178</v>
      </c>
      <c r="F127" s="135">
        <f t="shared" si="51"/>
        <v>-177157987.34908196</v>
      </c>
      <c r="G127" s="135">
        <f t="shared" si="51"/>
        <v>-70335273.338164449</v>
      </c>
      <c r="H127" s="135">
        <f t="shared" si="51"/>
        <v>-247493260.68724644</v>
      </c>
      <c r="I127" s="4">
        <f t="shared" si="51"/>
        <v>-14241213.604673637</v>
      </c>
      <c r="J127" s="4">
        <f t="shared" si="51"/>
        <v>-1741733.5524756091</v>
      </c>
      <c r="K127" s="4">
        <f t="shared" si="51"/>
        <v>-1507884.6436444954</v>
      </c>
      <c r="L127" s="4">
        <f t="shared" si="51"/>
        <v>-18255998.298270892</v>
      </c>
      <c r="M127" s="4">
        <f t="shared" si="51"/>
        <v>-2826307.536989857</v>
      </c>
      <c r="N127" s="4">
        <f t="shared" si="51"/>
        <v>-1284099.3930488215</v>
      </c>
      <c r="O127" s="4">
        <f t="shared" si="51"/>
        <v>-1080041.8082720486</v>
      </c>
      <c r="P127" s="4">
        <f t="shared" si="51"/>
        <v>-40937278.83737538</v>
      </c>
      <c r="R127" s="124">
        <f t="shared" si="46"/>
        <v>0</v>
      </c>
      <c r="S127" s="124">
        <f t="shared" si="47"/>
        <v>0</v>
      </c>
    </row>
    <row r="128" spans="1:19">
      <c r="A128" s="117" t="str">
        <f>IF(ISBLANK(C128),"",MAX($A$38:$A127)+1)</f>
        <v/>
      </c>
      <c r="E128" s="491"/>
      <c r="F128" s="491"/>
      <c r="G128" s="345"/>
      <c r="H128" s="135"/>
      <c r="I128" s="4"/>
      <c r="J128" s="4"/>
      <c r="K128" s="4"/>
      <c r="L128" s="4"/>
      <c r="M128" s="4"/>
      <c r="N128" s="4"/>
      <c r="O128" s="4"/>
      <c r="P128" s="4"/>
      <c r="R128" s="124"/>
      <c r="S128" s="124"/>
    </row>
    <row r="129" spans="1:19">
      <c r="A129" s="117">
        <f>IF(ISBLANK(C129),"",MAX($A$38:$A128)+1)</f>
        <v>70</v>
      </c>
      <c r="C129" s="169" t="str">
        <f>Functional!$C129</f>
        <v>Net Plant</v>
      </c>
      <c r="E129" s="135">
        <f>E105+E127</f>
        <v>648510042.44448495</v>
      </c>
      <c r="F129" s="135">
        <f>F105+F127</f>
        <v>404257412.27294111</v>
      </c>
      <c r="G129" s="135">
        <f>G105+G127</f>
        <v>156093253.89629143</v>
      </c>
      <c r="H129" s="135">
        <f t="shared" ref="H129:P129" si="52">H105+H127</f>
        <v>560350666.16923249</v>
      </c>
      <c r="I129" s="135">
        <f t="shared" si="52"/>
        <v>31840091.081032284</v>
      </c>
      <c r="J129" s="135">
        <f t="shared" si="52"/>
        <v>3753941.4348419486</v>
      </c>
      <c r="K129" s="135">
        <f t="shared" si="52"/>
        <v>3343593.2933105337</v>
      </c>
      <c r="L129" s="135">
        <f t="shared" si="52"/>
        <v>39263240.374893695</v>
      </c>
      <c r="M129" s="135">
        <f t="shared" si="52"/>
        <v>5544148.8687649742</v>
      </c>
      <c r="N129" s="135">
        <f t="shared" si="52"/>
        <v>1945253.383631811</v>
      </c>
      <c r="O129" s="135">
        <f t="shared" si="52"/>
        <v>2469107.8387772469</v>
      </c>
      <c r="P129" s="135">
        <f t="shared" si="52"/>
        <v>88159376.275252461</v>
      </c>
      <c r="R129" s="124">
        <f t="shared" si="46"/>
        <v>0</v>
      </c>
      <c r="S129" s="124">
        <f t="shared" si="47"/>
        <v>0</v>
      </c>
    </row>
    <row r="130" spans="1:19">
      <c r="A130" s="117" t="str">
        <f>IF(ISBLANK(C130),"",MAX($A$38:$A129)+1)</f>
        <v/>
      </c>
      <c r="E130" s="135"/>
      <c r="F130" s="135"/>
      <c r="G130" s="135"/>
      <c r="H130" s="135"/>
      <c r="I130" s="4"/>
      <c r="J130" s="4"/>
      <c r="K130" s="4"/>
      <c r="L130" s="4"/>
      <c r="M130" s="4"/>
      <c r="N130" s="4"/>
      <c r="O130" s="4"/>
      <c r="P130" s="4"/>
      <c r="R130" s="124"/>
      <c r="S130" s="124"/>
    </row>
    <row r="131" spans="1:19">
      <c r="A131" s="117">
        <f>IF(ISBLANK(#REF!),"",MAX($A$38:$A130)+1)</f>
        <v>71</v>
      </c>
      <c r="C131" s="134" t="str">
        <f>Functional!$C131</f>
        <v>Other Rate Base Items</v>
      </c>
      <c r="E131" s="135"/>
      <c r="F131" s="135"/>
      <c r="G131" s="135"/>
      <c r="H131" s="135"/>
      <c r="I131" s="4"/>
      <c r="J131" s="4"/>
      <c r="K131" s="4"/>
      <c r="L131" s="4"/>
      <c r="M131" s="4"/>
      <c r="N131" s="4"/>
      <c r="O131" s="4"/>
      <c r="P131" s="4"/>
      <c r="R131" s="124"/>
      <c r="S131" s="124"/>
    </row>
    <row r="132" spans="1:19">
      <c r="A132" s="117">
        <f>IF(ISBLANK(#REF!),"",MAX($A$38:$A131)+1)</f>
        <v>72</v>
      </c>
      <c r="C132" s="140" t="s">
        <v>213</v>
      </c>
      <c r="E132" s="135"/>
      <c r="F132" s="135"/>
      <c r="G132" s="135"/>
      <c r="H132" s="135"/>
      <c r="I132" s="4"/>
      <c r="J132" s="4"/>
      <c r="K132" s="4"/>
      <c r="L132" s="4"/>
      <c r="M132" s="4"/>
      <c r="N132" s="4"/>
      <c r="O132" s="4"/>
      <c r="P132" s="4"/>
      <c r="R132" s="124"/>
      <c r="S132" s="124"/>
    </row>
    <row r="133" spans="1:19">
      <c r="A133" s="117">
        <f>IF(ISBLANK(#REF!),"",MAX($A$38:$A132)+1)</f>
        <v>73</v>
      </c>
      <c r="C133" s="169" t="s">
        <v>214</v>
      </c>
      <c r="E133" s="135">
        <f>Functional!$E133</f>
        <v>1282220.2394626469</v>
      </c>
      <c r="F133" s="135">
        <f>'Class Allocations'!E$144*Functional!$F133+'Class Allocations'!E$148*Functional!$G133+'Class Allocations'!E$152*Functional!$I133+'Class Allocations'!E$156*Functional!$H133+'Class Allocations'!E$160*Functional!$J133+'Class Allocations'!E$166*Functional!$K133+'Class Allocations'!E$172*Functional!$L133+'Class Allocations'!E$178*Functional!$M133+'Class Allocations'!E$184*Functional!$N133+Functional!$O133</f>
        <v>748615.85950521042</v>
      </c>
      <c r="G133" s="135">
        <f>'Class Allocations'!F$144*Functional!$F133+'Class Allocations'!F$148*Functional!$G133+'Class Allocations'!F$152*Functional!$I133+'Class Allocations'!F$156*Functional!$H133+'Class Allocations'!F$160*Functional!$J133+'Class Allocations'!F$166*Functional!$K133+'Class Allocations'!F$172*Functional!$L133+'Class Allocations'!F$178*Functional!$M133+'Class Allocations'!F$184*Functional!$N133</f>
        <v>528029.15337672329</v>
      </c>
      <c r="H133" s="135">
        <f t="shared" ref="H133:H140" si="53">SUM(F133:G133)</f>
        <v>1276645.0128819337</v>
      </c>
      <c r="I133" s="4">
        <f>'Class Allocations'!H$144*Functional!$F133+'Class Allocations'!H$148*Functional!$G133+'Class Allocations'!H$152*Functional!$I133+'Class Allocations'!H$156*Functional!$H133+'Class Allocations'!H$160*Functional!$J133+'Class Allocations'!H$166*Functional!$K133+'Class Allocations'!H$172*Functional!$L133+'Class Allocations'!H$178*Functional!$M133+'Class Allocations'!H$184*Functional!$N133</f>
        <v>0</v>
      </c>
      <c r="J133" s="4">
        <f>'Class Allocations'!I$144*Functional!$F133+'Class Allocations'!I$148*Functional!$G133+'Class Allocations'!I$152*Functional!$I133+'Class Allocations'!I$156*Functional!$H133+'Class Allocations'!I$160*Functional!$J133+'Class Allocations'!I$166*Functional!$K133+'Class Allocations'!I$172*Functional!$L133+'Class Allocations'!I$178*Functional!$M133+'Class Allocations'!I$184*Functional!$N133</f>
        <v>0</v>
      </c>
      <c r="K133" s="4">
        <f>'Class Allocations'!J$144*Functional!$F133+'Class Allocations'!J$148*Functional!$G133+'Class Allocations'!J$152*Functional!$I133+'Class Allocations'!J$156*Functional!$H133+'Class Allocations'!J$160*Functional!$J133+'Class Allocations'!J$166*Functional!$K133+'Class Allocations'!J$172*Functional!$L133+'Class Allocations'!J$178*Functional!$M133+'Class Allocations'!J$184*Functional!$N133</f>
        <v>5575.2265807132098</v>
      </c>
      <c r="L133" s="4">
        <f>'Class Allocations'!K$144*Functional!$F133+'Class Allocations'!K$148*Functional!$G133+'Class Allocations'!K$152*Functional!$I133+'Class Allocations'!K$156*Functional!$H133+'Class Allocations'!K$160*Functional!$J133+'Class Allocations'!K$166*Functional!$K133+'Class Allocations'!K$172*Functional!$L133+'Class Allocations'!K$178*Functional!$M133+'Class Allocations'!K$184*Functional!$N133</f>
        <v>0</v>
      </c>
      <c r="M133" s="4">
        <f>'Class Allocations'!L$144*Functional!$F133+'Class Allocations'!L$148*Functional!$G133+'Class Allocations'!L$152*Functional!$I133+'Class Allocations'!L$156*Functional!$H133+'Class Allocations'!L$160*Functional!$J133+'Class Allocations'!L$166*Functional!$K133+'Class Allocations'!L$172*Functional!$L133+'Class Allocations'!L$178*Functional!$M133+'Class Allocations'!L$184*Functional!$N133</f>
        <v>0</v>
      </c>
      <c r="N133" s="4">
        <f>'Class Allocations'!M$144*Functional!$F133+'Class Allocations'!M$148*Functional!$G133+'Class Allocations'!M$152*Functional!$I133+'Class Allocations'!M$156*Functional!$H133+'Class Allocations'!M$160*Functional!$J133+'Class Allocations'!M$166*Functional!$K133+'Class Allocations'!M$172*Functional!$L133+'Class Allocations'!M$178*Functional!$M133+'Class Allocations'!M$184*Functional!$N133+Functional!$P133</f>
        <v>0</v>
      </c>
      <c r="O133" s="4">
        <f>'Class Allocations'!N$144*Functional!$F133+'Class Allocations'!N$148*Functional!$G133+'Class Allocations'!N$152*Functional!$I133+'Class Allocations'!N$156*Functional!$H133+'Class Allocations'!N$160*Functional!$J133+'Class Allocations'!N$166*Functional!$K133+'Class Allocations'!N$172*Functional!$L133+'Class Allocations'!N$178*Functional!$M133+'Class Allocations'!N$184*Functional!$N133+Functional!$Q133</f>
        <v>0</v>
      </c>
      <c r="P133" s="4">
        <f t="shared" ref="P133:P138" si="54">SUM(I133:O133)</f>
        <v>5575.2265807132098</v>
      </c>
      <c r="R133" s="124">
        <f t="shared" si="46"/>
        <v>0</v>
      </c>
      <c r="S133" s="124">
        <f t="shared" si="47"/>
        <v>-3.2741809263825417E-11</v>
      </c>
    </row>
    <row r="134" spans="1:19">
      <c r="A134" s="117">
        <f>IF(ISBLANK(#REF!),"",MAX($A$38:$A133)+1)</f>
        <v>74</v>
      </c>
      <c r="C134" s="169" t="s">
        <v>411</v>
      </c>
      <c r="E134" s="135">
        <f>Functional!$E134</f>
        <v>-3838072.9862808832</v>
      </c>
      <c r="F134" s="135">
        <f>'Class Allocations'!E$144*Functional!$F134+'Class Allocations'!E$148*Functional!$G134+'Class Allocations'!E$152*Functional!$I134+'Class Allocations'!E$156*Functional!$H134+'Class Allocations'!E$160*Functional!$J134+'Class Allocations'!E$166*Functional!$K134+'Class Allocations'!E$172*Functional!$L134+'Class Allocations'!E$178*Functional!$M134+'Class Allocations'!E$184*Functional!$N134+Functional!$O134</f>
        <v>-2392514.150899074</v>
      </c>
      <c r="G134" s="135">
        <f>'Class Allocations'!F$144*Functional!$F134+'Class Allocations'!F$148*Functional!$G134+'Class Allocations'!F$152*Functional!$I134+'Class Allocations'!F$156*Functional!$H134+'Class Allocations'!F$160*Functional!$J134+'Class Allocations'!F$166*Functional!$K134+'Class Allocations'!F$172*Functional!$L134+'Class Allocations'!F$178*Functional!$M134+'Class Allocations'!F$184*Functional!$N134</f>
        <v>-923805.74225467688</v>
      </c>
      <c r="H134" s="135">
        <f t="shared" si="53"/>
        <v>-3316319.8931537508</v>
      </c>
      <c r="I134" s="4">
        <f>'Class Allocations'!H$144*Functional!$F134+'Class Allocations'!H$148*Functional!$G134+'Class Allocations'!H$152*Functional!$I134+'Class Allocations'!H$156*Functional!$H134+'Class Allocations'!H$160*Functional!$J134+'Class Allocations'!H$166*Functional!$K134+'Class Allocations'!H$172*Functional!$L134+'Class Allocations'!H$178*Functional!$M134+'Class Allocations'!H$184*Functional!$N134</f>
        <v>-188439.01475788499</v>
      </c>
      <c r="J134" s="4">
        <f>'Class Allocations'!I$144*Functional!$F134+'Class Allocations'!I$148*Functional!$G134+'Class Allocations'!I$152*Functional!$I134+'Class Allocations'!I$156*Functional!$H134+'Class Allocations'!I$160*Functional!$J134+'Class Allocations'!I$166*Functional!$K134+'Class Allocations'!I$172*Functional!$L134+'Class Allocations'!I$178*Functional!$M134+'Class Allocations'!I$184*Functional!$N134</f>
        <v>-22216.928451621858</v>
      </c>
      <c r="K134" s="4">
        <f>'Class Allocations'!J$144*Functional!$F134+'Class Allocations'!J$148*Functional!$G134+'Class Allocations'!J$152*Functional!$I134+'Class Allocations'!J$156*Functional!$H134+'Class Allocations'!J$160*Functional!$J134+'Class Allocations'!J$166*Functional!$K134+'Class Allocations'!J$172*Functional!$L134+'Class Allocations'!J$178*Functional!$M134+'Class Allocations'!J$184*Functional!$N134</f>
        <v>-19788.367575300344</v>
      </c>
      <c r="L134" s="4">
        <f>'Class Allocations'!K$144*Functional!$F134+'Class Allocations'!K$148*Functional!$G134+'Class Allocations'!K$152*Functional!$I134+'Class Allocations'!K$156*Functional!$H134+'Class Allocations'!K$160*Functional!$J134+'Class Allocations'!K$166*Functional!$K134+'Class Allocations'!K$172*Functional!$L134+'Class Allocations'!K$178*Functional!$M134+'Class Allocations'!K$184*Functional!$N134</f>
        <v>-232371.39346170198</v>
      </c>
      <c r="M134" s="4">
        <f>'Class Allocations'!L$144*Functional!$F134+'Class Allocations'!L$148*Functional!$G134+'Class Allocations'!L$152*Functional!$I134+'Class Allocations'!L$156*Functional!$H134+'Class Allocations'!L$160*Functional!$J134+'Class Allocations'!L$166*Functional!$K134+'Class Allocations'!L$172*Functional!$L134+'Class Allocations'!L$178*Functional!$M134+'Class Allocations'!L$184*Functional!$N134</f>
        <v>-32811.90207158299</v>
      </c>
      <c r="N134" s="4">
        <f>'Class Allocations'!M$144*Functional!$F134+'Class Allocations'!M$148*Functional!$G134+'Class Allocations'!M$152*Functional!$I134+'Class Allocations'!M$156*Functional!$H134+'Class Allocations'!M$160*Functional!$J134+'Class Allocations'!M$166*Functional!$K134+'Class Allocations'!M$172*Functional!$L134+'Class Allocations'!M$178*Functional!$M134+'Class Allocations'!M$184*Functional!$N134+Functional!$P134</f>
        <v>-11512.581108299271</v>
      </c>
      <c r="O134" s="4">
        <f>'Class Allocations'!N$144*Functional!$F134+'Class Allocations'!N$148*Functional!$G134+'Class Allocations'!N$152*Functional!$I134+'Class Allocations'!N$156*Functional!$H134+'Class Allocations'!N$160*Functional!$J134+'Class Allocations'!N$166*Functional!$K134+'Class Allocations'!N$172*Functional!$L134+'Class Allocations'!N$178*Functional!$M134+'Class Allocations'!N$184*Functional!$N134+Functional!$Q134</f>
        <v>-14612.905700741805</v>
      </c>
      <c r="P134" s="4">
        <f t="shared" si="54"/>
        <v>-521753.09312713315</v>
      </c>
      <c r="R134" s="124">
        <f t="shared" si="46"/>
        <v>0</v>
      </c>
      <c r="S134" s="124"/>
    </row>
    <row r="135" spans="1:19">
      <c r="A135" s="117">
        <f>IF(ISBLANK(#REF!),"",MAX($A$38:$A134)+1)</f>
        <v>75</v>
      </c>
      <c r="C135" s="169" t="s">
        <v>215</v>
      </c>
      <c r="E135" s="135">
        <f>Functional!$E135</f>
        <v>329739.79002712434</v>
      </c>
      <c r="F135" s="211">
        <f>'Class Allocations'!E$144*Functional!$F135+'Class Allocations'!E$148*Functional!$G135+'Class Allocations'!E$152*Functional!$I135+'Class Allocations'!E$156*Functional!$H135+'Class Allocations'!E$160*Functional!$J135+'Class Allocations'!E$166*Functional!$K135+'Class Allocations'!E$172*Functional!$L135+'Class Allocations'!E$178*Functional!$M135+'Class Allocations'!E$184*Functional!$N135+Functional!$O135</f>
        <v>213065.55283699441</v>
      </c>
      <c r="G135" s="211">
        <f>'Class Allocations'!F$144*Functional!$F135+'Class Allocations'!F$148*Functional!$G135+'Class Allocations'!F$152*Functional!$I135+'Class Allocations'!F$156*Functional!$H135+'Class Allocations'!F$160*Functional!$J135+'Class Allocations'!F$166*Functional!$K135+'Class Allocations'!F$172*Functional!$L135+'Class Allocations'!F$178*Functional!$M135+'Class Allocations'!F$184*Functional!$N135</f>
        <v>74448.905862718966</v>
      </c>
      <c r="H135" s="211">
        <f t="shared" si="53"/>
        <v>287514.45869971334</v>
      </c>
      <c r="I135" s="112">
        <f>'Class Allocations'!H$144*Functional!$F135+'Class Allocations'!H$148*Functional!$G135+'Class Allocations'!H$152*Functional!$I135+'Class Allocations'!H$156*Functional!$H135+'Class Allocations'!H$160*Functional!$J135+'Class Allocations'!H$166*Functional!$K135+'Class Allocations'!H$172*Functional!$L135+'Class Allocations'!H$178*Functional!$M135+'Class Allocations'!H$184*Functional!$N135</f>
        <v>15556.559660387516</v>
      </c>
      <c r="J135" s="112">
        <f>'Class Allocations'!I$144*Functional!$F135+'Class Allocations'!I$148*Functional!$G135+'Class Allocations'!I$152*Functional!$I135+'Class Allocations'!I$156*Functional!$H135+'Class Allocations'!I$160*Functional!$J135+'Class Allocations'!I$166*Functional!$K135+'Class Allocations'!I$172*Functional!$L135+'Class Allocations'!I$178*Functional!$M135+'Class Allocations'!I$184*Functional!$N135</f>
        <v>1717.0310967027572</v>
      </c>
      <c r="K135" s="112">
        <f>'Class Allocations'!J$144*Functional!$F135+'Class Allocations'!J$148*Functional!$G135+'Class Allocations'!J$152*Functional!$I135+'Class Allocations'!J$156*Functional!$H135+'Class Allocations'!J$160*Functional!$J135+'Class Allocations'!J$166*Functional!$K135+'Class Allocations'!J$172*Functional!$L135+'Class Allocations'!J$178*Functional!$M135+'Class Allocations'!J$184*Functional!$N135</f>
        <v>1703.8824219500907</v>
      </c>
      <c r="L135" s="112">
        <f>'Class Allocations'!K$144*Functional!$F135+'Class Allocations'!K$148*Functional!$G135+'Class Allocations'!K$152*Functional!$I135+'Class Allocations'!K$156*Functional!$H135+'Class Allocations'!K$160*Functional!$J135+'Class Allocations'!K$166*Functional!$K135+'Class Allocations'!K$172*Functional!$L135+'Class Allocations'!K$178*Functional!$M135+'Class Allocations'!K$184*Functional!$N135</f>
        <v>17811.546394525867</v>
      </c>
      <c r="M135" s="112">
        <f>'Class Allocations'!L$144*Functional!$F135+'Class Allocations'!L$148*Functional!$G135+'Class Allocations'!L$152*Functional!$I135+'Class Allocations'!L$156*Functional!$H135+'Class Allocations'!L$160*Functional!$J135+'Class Allocations'!L$166*Functional!$K135+'Class Allocations'!L$172*Functional!$L135+'Class Allocations'!L$178*Functional!$M135+'Class Allocations'!L$184*Functional!$N135</f>
        <v>2473.1074873977986</v>
      </c>
      <c r="N135" s="112">
        <f>'Class Allocations'!M$144*Functional!$F135+'Class Allocations'!M$148*Functional!$G135+'Class Allocations'!M$152*Functional!$I135+'Class Allocations'!M$156*Functional!$H135+'Class Allocations'!M$160*Functional!$J135+'Class Allocations'!M$166*Functional!$K135+'Class Allocations'!M$172*Functional!$L135+'Class Allocations'!M$178*Functional!$M135+'Class Allocations'!M$184*Functional!$N135+Functional!$P135</f>
        <v>1488.5802225832761</v>
      </c>
      <c r="O135" s="112">
        <f>'Class Allocations'!N$144*Functional!$F135+'Class Allocations'!N$148*Functional!$G135+'Class Allocations'!N$152*Functional!$I135+'Class Allocations'!N$156*Functional!$H135+'Class Allocations'!N$160*Functional!$J135+'Class Allocations'!N$166*Functional!$K135+'Class Allocations'!N$172*Functional!$L135+'Class Allocations'!N$178*Functional!$M135+'Class Allocations'!N$184*Functional!$N135+Functional!$Q135</f>
        <v>1474.6240438636637</v>
      </c>
      <c r="P135" s="4">
        <f t="shared" si="54"/>
        <v>42225.331327410968</v>
      </c>
      <c r="R135" s="124">
        <f t="shared" si="46"/>
        <v>0</v>
      </c>
      <c r="S135" s="124">
        <f t="shared" ref="S135:S140" si="55">E135-H135-P135</f>
        <v>0</v>
      </c>
    </row>
    <row r="136" spans="1:19">
      <c r="A136" s="117">
        <f>IF(ISBLANK(#REF!),"",MAX($A$38:$A135)+1)</f>
        <v>76</v>
      </c>
      <c r="C136" s="140" t="s">
        <v>109</v>
      </c>
      <c r="E136" s="135">
        <f>Functional!$E136</f>
        <v>5048023</v>
      </c>
      <c r="F136" s="135">
        <f>'Class Allocations'!E$144*Functional!$F136+'Class Allocations'!E$148*Functional!$G136+'Class Allocations'!E$152*Functional!$I136+'Class Allocations'!E$156*Functional!$H136+'Class Allocations'!E$160*Functional!$J136+'Class Allocations'!E$166*Functional!$K136+'Class Allocations'!E$172*Functional!$L136+'Class Allocations'!E$178*Functional!$M136+'Class Allocations'!E$184*Functional!$N136+Functional!$O136</f>
        <v>3132534.0862895167</v>
      </c>
      <c r="G136" s="135">
        <f>'Class Allocations'!F$144*Functional!$F136+'Class Allocations'!F$148*Functional!$G136+'Class Allocations'!F$152*Functional!$I136+'Class Allocations'!F$156*Functional!$H136+'Class Allocations'!F$160*Functional!$J136+'Class Allocations'!F$166*Functional!$K136+'Class Allocations'!F$172*Functional!$L136+'Class Allocations'!F$178*Functional!$M136+'Class Allocations'!F$184*Functional!$N136</f>
        <v>1219945.4643467965</v>
      </c>
      <c r="H136" s="135">
        <f t="shared" si="53"/>
        <v>4352479.5506363129</v>
      </c>
      <c r="I136" s="4">
        <f>'Class Allocations'!H$144*Functional!$F136+'Class Allocations'!H$148*Functional!$G136+'Class Allocations'!H$152*Functional!$I136+'Class Allocations'!H$156*Functional!$H136+'Class Allocations'!H$160*Functional!$J136+'Class Allocations'!H$166*Functional!$K136+'Class Allocations'!H$172*Functional!$L136+'Class Allocations'!H$178*Functional!$M136+'Class Allocations'!H$184*Functional!$N136</f>
        <v>248275.60082259445</v>
      </c>
      <c r="J136" s="4">
        <f>'Class Allocations'!I$144*Functional!$F136+'Class Allocations'!I$148*Functional!$G136+'Class Allocations'!I$152*Functional!$I136+'Class Allocations'!I$156*Functional!$H136+'Class Allocations'!I$160*Functional!$J136+'Class Allocations'!I$166*Functional!$K136+'Class Allocations'!I$172*Functional!$L136+'Class Allocations'!I$178*Functional!$M136+'Class Allocations'!I$184*Functional!$N136</f>
        <v>29609.448315494632</v>
      </c>
      <c r="K136" s="4">
        <f>'Class Allocations'!J$144*Functional!$F136+'Class Allocations'!J$148*Functional!$G136+'Class Allocations'!J$152*Functional!$I136+'Class Allocations'!J$156*Functional!$H136+'Class Allocations'!J$160*Functional!$J136+'Class Allocations'!J$166*Functional!$K136+'Class Allocations'!J$172*Functional!$L136+'Class Allocations'!J$178*Functional!$M136+'Class Allocations'!J$184*Functional!$N136</f>
        <v>26138.660957850418</v>
      </c>
      <c r="L136" s="4">
        <f>'Class Allocations'!K$144*Functional!$F136+'Class Allocations'!K$148*Functional!$G136+'Class Allocations'!K$152*Functional!$I136+'Class Allocations'!K$156*Functional!$H136+'Class Allocations'!K$160*Functional!$J136+'Class Allocations'!K$166*Functional!$K136+'Class Allocations'!K$172*Functional!$L136+'Class Allocations'!K$178*Functional!$M136+'Class Allocations'!K$184*Functional!$N136</f>
        <v>309900.59065901174</v>
      </c>
      <c r="M136" s="4">
        <f>'Class Allocations'!L$144*Functional!$F136+'Class Allocations'!L$148*Functional!$G136+'Class Allocations'!L$152*Functional!$I136+'Class Allocations'!L$156*Functional!$H136+'Class Allocations'!L$160*Functional!$J136+'Class Allocations'!L$166*Functional!$K136+'Class Allocations'!L$172*Functional!$L136+'Class Allocations'!L$178*Functional!$M136+'Class Allocations'!L$184*Functional!$N136</f>
        <v>45098.117500626038</v>
      </c>
      <c r="N136" s="4">
        <f>'Class Allocations'!M$144*Functional!$F136+'Class Allocations'!M$148*Functional!$G136+'Class Allocations'!M$152*Functional!$I136+'Class Allocations'!M$156*Functional!$H136+'Class Allocations'!M$160*Functional!$J136+'Class Allocations'!M$166*Functional!$K136+'Class Allocations'!M$172*Functional!$L136+'Class Allocations'!M$178*Functional!$M136+'Class Allocations'!M$184*Functional!$N136+Functional!$P136</f>
        <v>17399.019111262285</v>
      </c>
      <c r="O136" s="4">
        <f>'Class Allocations'!N$144*Functional!$F136+'Class Allocations'!N$148*Functional!$G136+'Class Allocations'!N$152*Functional!$I136+'Class Allocations'!N$156*Functional!$H136+'Class Allocations'!N$160*Functional!$J136+'Class Allocations'!N$166*Functional!$K136+'Class Allocations'!N$172*Functional!$L136+'Class Allocations'!N$178*Functional!$M136+'Class Allocations'!N$184*Functional!$N136+Functional!$Q136</f>
        <v>19122.011996847697</v>
      </c>
      <c r="P136" s="4">
        <f t="shared" si="54"/>
        <v>695543.44936368719</v>
      </c>
      <c r="R136" s="124">
        <f t="shared" ref="R136:R140" si="56">SUM(F136:G136,I136:O136)-E136</f>
        <v>0</v>
      </c>
      <c r="S136" s="124">
        <f t="shared" si="55"/>
        <v>0</v>
      </c>
    </row>
    <row r="137" spans="1:19">
      <c r="A137" s="117">
        <f>IF(ISBLANK(C137),"",MAX($A$38:$A136)+1)</f>
        <v>77</v>
      </c>
      <c r="C137" s="140" t="s">
        <v>110</v>
      </c>
      <c r="E137" s="135">
        <f>Functional!$E137</f>
        <v>394283</v>
      </c>
      <c r="F137" s="135">
        <f>'Class Allocations'!E$144*Functional!$F137+'Class Allocations'!E$148*Functional!$G137+'Class Allocations'!E$152*Functional!$I137+'Class Allocations'!E$156*Functional!$H137+'Class Allocations'!E$160*Functional!$J137+'Class Allocations'!E$166*Functional!$K137+'Class Allocations'!E$172*Functional!$L137+'Class Allocations'!E$178*Functional!$M137+'Class Allocations'!E$184*Functional!$N137+Functional!$O137</f>
        <v>245781.58370902427</v>
      </c>
      <c r="G137" s="135">
        <f>'Class Allocations'!F$144*Functional!$F137+'Class Allocations'!F$148*Functional!$G137+'Class Allocations'!F$152*Functional!$I137+'Class Allocations'!F$156*Functional!$H137+'Class Allocations'!F$160*Functional!$J137+'Class Allocations'!F$166*Functional!$K137+'Class Allocations'!F$172*Functional!$L137+'Class Allocations'!F$178*Functional!$M137+'Class Allocations'!F$184*Functional!$N137</f>
        <v>94902.025254697539</v>
      </c>
      <c r="H137" s="135">
        <f t="shared" si="53"/>
        <v>340683.60896372178</v>
      </c>
      <c r="I137" s="4">
        <f>'Class Allocations'!H$144*Functional!$F137+'Class Allocations'!H$148*Functional!$G137+'Class Allocations'!H$152*Functional!$I137+'Class Allocations'!H$156*Functional!$H137+'Class Allocations'!H$160*Functional!$J137+'Class Allocations'!H$166*Functional!$K137+'Class Allocations'!H$172*Functional!$L137+'Class Allocations'!H$178*Functional!$M137+'Class Allocations'!H$184*Functional!$N137</f>
        <v>19358.230112184163</v>
      </c>
      <c r="J137" s="4">
        <f>'Class Allocations'!I$144*Functional!$F137+'Class Allocations'!I$148*Functional!$G137+'Class Allocations'!I$152*Functional!$I137+'Class Allocations'!I$156*Functional!$H137+'Class Allocations'!I$160*Functional!$J137+'Class Allocations'!I$166*Functional!$K137+'Class Allocations'!I$172*Functional!$L137+'Class Allocations'!I$178*Functional!$M137+'Class Allocations'!I$184*Functional!$N137</f>
        <v>2282.3321057213871</v>
      </c>
      <c r="K137" s="4">
        <f>'Class Allocations'!J$144*Functional!$F137+'Class Allocations'!J$148*Functional!$G137+'Class Allocations'!J$152*Functional!$I137+'Class Allocations'!J$156*Functional!$H137+'Class Allocations'!J$160*Functional!$J137+'Class Allocations'!J$166*Functional!$K137+'Class Allocations'!J$172*Functional!$L137+'Class Allocations'!J$178*Functional!$M137+'Class Allocations'!J$184*Functional!$N137</f>
        <v>2032.8474629276247</v>
      </c>
      <c r="L137" s="4">
        <f>'Class Allocations'!K$144*Functional!$F137+'Class Allocations'!K$148*Functional!$G137+'Class Allocations'!K$152*Functional!$I137+'Class Allocations'!K$156*Functional!$H137+'Class Allocations'!K$160*Functional!$J137+'Class Allocations'!K$166*Functional!$K137+'Class Allocations'!K$172*Functional!$L137+'Class Allocations'!K$178*Functional!$M137+'Class Allocations'!K$184*Functional!$N137</f>
        <v>23871.377760598731</v>
      </c>
      <c r="M137" s="4">
        <f>'Class Allocations'!L$144*Functional!$F137+'Class Allocations'!L$148*Functional!$G137+'Class Allocations'!L$152*Functional!$I137+'Class Allocations'!L$156*Functional!$H137+'Class Allocations'!L$160*Functional!$J137+'Class Allocations'!L$166*Functional!$K137+'Class Allocations'!L$172*Functional!$L137+'Class Allocations'!L$178*Functional!$M137+'Class Allocations'!L$184*Functional!$N137</f>
        <v>3370.7475680461612</v>
      </c>
      <c r="N137" s="4">
        <f>'Class Allocations'!M$144*Functional!$F137+'Class Allocations'!M$148*Functional!$G137+'Class Allocations'!M$152*Functional!$I137+'Class Allocations'!M$156*Functional!$H137+'Class Allocations'!M$160*Functional!$J137+'Class Allocations'!M$166*Functional!$K137+'Class Allocations'!M$172*Functional!$L137+'Class Allocations'!M$178*Functional!$M137+'Class Allocations'!M$184*Functional!$N137+Functional!$P137</f>
        <v>1182.6807445686668</v>
      </c>
      <c r="O137" s="4">
        <f>'Class Allocations'!N$144*Functional!$F137+'Class Allocations'!N$148*Functional!$G137+'Class Allocations'!N$152*Functional!$I137+'Class Allocations'!N$156*Functional!$H137+'Class Allocations'!N$160*Functional!$J137+'Class Allocations'!N$166*Functional!$K137+'Class Allocations'!N$172*Functional!$L137+'Class Allocations'!N$178*Functional!$M137+'Class Allocations'!N$184*Functional!$N137+Functional!$Q137</f>
        <v>1501.1752822315732</v>
      </c>
      <c r="P137" s="4">
        <f t="shared" si="54"/>
        <v>53599.391036278314</v>
      </c>
      <c r="R137" s="124">
        <f t="shared" si="56"/>
        <v>0</v>
      </c>
      <c r="S137" s="124">
        <f t="shared" si="55"/>
        <v>-9.4587448984384537E-11</v>
      </c>
    </row>
    <row r="138" spans="1:19">
      <c r="A138" s="117">
        <f>IF(ISBLANK(C138),"",MAX($A$38:$A137)+1)</f>
        <v>78</v>
      </c>
      <c r="C138" s="140" t="s">
        <v>111</v>
      </c>
      <c r="E138" s="135">
        <f>Functional!$E138</f>
        <v>-3518846</v>
      </c>
      <c r="F138" s="135">
        <f>'Class Allocations'!E$144*Functional!$F138+'Class Allocations'!E$148*Functional!$G138+'Class Allocations'!E$152*Functional!$I138+'Class Allocations'!E$156*Functional!$H138+'Class Allocations'!E$160*Functional!$J138+'Class Allocations'!E$166*Functional!$K138+'Class Allocations'!E$172*Functional!$L138+'Class Allocations'!E$178*Functional!$M138+'Class Allocations'!E$184*Functional!$N138+Functional!$O138</f>
        <v>-2805316.0495339241</v>
      </c>
      <c r="G138" s="135">
        <f>'Class Allocations'!F$144*Functional!$F138+'Class Allocations'!F$148*Functional!$G138+'Class Allocations'!F$152*Functional!$I138+'Class Allocations'!F$156*Functional!$H138+'Class Allocations'!F$160*Functional!$J138+'Class Allocations'!F$166*Functional!$K138+'Class Allocations'!F$172*Functional!$L138+'Class Allocations'!F$178*Functional!$M138+'Class Allocations'!F$184*Functional!$N138</f>
        <v>-533127.23108295817</v>
      </c>
      <c r="H138" s="135">
        <f t="shared" si="53"/>
        <v>-3338443.2806168823</v>
      </c>
      <c r="I138" s="4">
        <f>'Class Allocations'!H$144*Functional!$F138+'Class Allocations'!H$148*Functional!$G138+'Class Allocations'!H$152*Functional!$I138+'Class Allocations'!H$156*Functional!$H138+'Class Allocations'!H$160*Functional!$J138+'Class Allocations'!H$166*Functional!$K138+'Class Allocations'!H$172*Functional!$L138+'Class Allocations'!H$178*Functional!$M138+'Class Allocations'!H$184*Functional!$N138</f>
        <v>-145456.68719510958</v>
      </c>
      <c r="J138" s="4">
        <f>'Class Allocations'!I$144*Functional!$F138+'Class Allocations'!I$148*Functional!$G138+'Class Allocations'!I$152*Functional!$I138+'Class Allocations'!I$156*Functional!$H138+'Class Allocations'!I$160*Functional!$J138+'Class Allocations'!I$166*Functional!$K138+'Class Allocations'!I$172*Functional!$L138+'Class Allocations'!I$178*Functional!$M138+'Class Allocations'!I$184*Functional!$N138</f>
        <v>-2139.5529911025401</v>
      </c>
      <c r="K138" s="4">
        <f>'Class Allocations'!J$144*Functional!$F138+'Class Allocations'!J$148*Functional!$G138+'Class Allocations'!J$152*Functional!$I138+'Class Allocations'!J$156*Functional!$H138+'Class Allocations'!J$160*Functional!$J138+'Class Allocations'!J$166*Functional!$K138+'Class Allocations'!J$172*Functional!$L138+'Class Allocations'!J$178*Functional!$M138+'Class Allocations'!J$184*Functional!$N138</f>
        <v>-13056.759279036012</v>
      </c>
      <c r="L138" s="4">
        <f>'Class Allocations'!K$144*Functional!$F138+'Class Allocations'!K$148*Functional!$G138+'Class Allocations'!K$152*Functional!$I138+'Class Allocations'!K$156*Functional!$H138+'Class Allocations'!K$160*Functional!$J138+'Class Allocations'!K$166*Functional!$K138+'Class Allocations'!K$172*Functional!$L138+'Class Allocations'!K$178*Functional!$M138+'Class Allocations'!K$184*Functional!$N138</f>
        <v>-14044.245274929492</v>
      </c>
      <c r="M138" s="4">
        <f>'Class Allocations'!L$144*Functional!$F138+'Class Allocations'!L$148*Functional!$G138+'Class Allocations'!L$152*Functional!$I138+'Class Allocations'!L$156*Functional!$H138+'Class Allocations'!L$160*Functional!$J138+'Class Allocations'!L$166*Functional!$K138+'Class Allocations'!L$172*Functional!$L138+'Class Allocations'!L$178*Functional!$M138+'Class Allocations'!L$184*Functional!$N138</f>
        <v>-1974.9719917869597</v>
      </c>
      <c r="N138" s="4">
        <f>'Class Allocations'!M$144*Functional!$F138+'Class Allocations'!M$148*Functional!$G138+'Class Allocations'!M$152*Functional!$I138+'Class Allocations'!M$156*Functional!$H138+'Class Allocations'!M$160*Functional!$J138+'Class Allocations'!M$166*Functional!$K138+'Class Allocations'!M$172*Functional!$L138+'Class Allocations'!M$178*Functional!$M138+'Class Allocations'!M$184*Functional!$N138+Functional!$P138</f>
        <v>-3291.6199863115999</v>
      </c>
      <c r="O138" s="4">
        <f>'Class Allocations'!N$144*Functional!$F138+'Class Allocations'!N$148*Functional!$G138+'Class Allocations'!N$152*Functional!$I138+'Class Allocations'!N$156*Functional!$H138+'Class Allocations'!N$160*Functional!$J138+'Class Allocations'!N$166*Functional!$K138+'Class Allocations'!N$172*Functional!$L138+'Class Allocations'!N$178*Functional!$M138+'Class Allocations'!N$184*Functional!$N138+Functional!$Q138</f>
        <v>-438.88266484154661</v>
      </c>
      <c r="P138" s="4">
        <f t="shared" si="54"/>
        <v>-180402.71938311774</v>
      </c>
      <c r="R138" s="124">
        <f t="shared" si="56"/>
        <v>0</v>
      </c>
      <c r="S138" s="124">
        <f t="shared" si="55"/>
        <v>0</v>
      </c>
    </row>
    <row r="139" spans="1:19">
      <c r="A139" s="117">
        <f>IF(ISBLANK(C139),"",MAX($A$38:$A138)+1)</f>
        <v>79</v>
      </c>
      <c r="C139" s="195" t="s">
        <v>641</v>
      </c>
      <c r="E139" s="135">
        <f>Functional!$E139</f>
        <v>-46644274.728433244</v>
      </c>
      <c r="F139" s="135">
        <f>'Class Allocations'!E$144*Functional!$F139+'Class Allocations'!E$148*Functional!$G139+'Class Allocations'!E$152*Functional!$I139+'Class Allocations'!E$156*Functional!$H139+'Class Allocations'!E$160*Functional!$J139+'Class Allocations'!E$166*Functional!$K139+'Class Allocations'!E$172*Functional!$L139+'Class Allocations'!E$178*Functional!$M139+'Class Allocations'!E$184*Functional!$N139+Functional!$O139</f>
        <v>-29076332.770403847</v>
      </c>
      <c r="G139" s="135">
        <f>'Class Allocations'!F$144*Functional!$F139+'Class Allocations'!F$148*Functional!$G139+'Class Allocations'!F$152*Functional!$I139+'Class Allocations'!F$156*Functional!$H139+'Class Allocations'!F$160*Functional!$J139+'Class Allocations'!F$166*Functional!$K139+'Class Allocations'!F$172*Functional!$L139+'Class Allocations'!F$178*Functional!$M139+'Class Allocations'!F$184*Functional!$N139</f>
        <v>-11227053.00067419</v>
      </c>
      <c r="H139" s="135">
        <f t="shared" si="53"/>
        <v>-40303385.771078035</v>
      </c>
      <c r="I139" s="4">
        <f>'Class Allocations'!H$144*Functional!$F139+'Class Allocations'!H$148*Functional!$G139+'Class Allocations'!H$152*Functional!$I139+'Class Allocations'!H$156*Functional!$H139+'Class Allocations'!H$160*Functional!$J139+'Class Allocations'!H$166*Functional!$K139+'Class Allocations'!H$172*Functional!$L139+'Class Allocations'!H$178*Functional!$M139+'Class Allocations'!H$184*Functional!$N139</f>
        <v>-2290107.8758377791</v>
      </c>
      <c r="J139" s="4">
        <f>'Class Allocations'!I$144*Functional!$F139+'Class Allocations'!I$148*Functional!$G139+'Class Allocations'!I$152*Functional!$I139+'Class Allocations'!I$156*Functional!$H139+'Class Allocations'!I$160*Functional!$J139+'Class Allocations'!I$166*Functional!$K139+'Class Allocations'!I$172*Functional!$L139+'Class Allocations'!I$178*Functional!$M139+'Class Allocations'!I$184*Functional!$N139</f>
        <v>-270003.33709744504</v>
      </c>
      <c r="K139" s="4">
        <f>'Class Allocations'!J$144*Functional!$F139+'Class Allocations'!J$148*Functional!$G139+'Class Allocations'!J$152*Functional!$I139+'Class Allocations'!J$156*Functional!$H139+'Class Allocations'!J$160*Functional!$J139+'Class Allocations'!J$166*Functional!$K139+'Class Allocations'!J$172*Functional!$L139+'Class Allocations'!J$178*Functional!$M139+'Class Allocations'!J$184*Functional!$N139</f>
        <v>-240488.92684136686</v>
      </c>
      <c r="L139" s="4">
        <f>'Class Allocations'!K$144*Functional!$F139+'Class Allocations'!K$148*Functional!$G139+'Class Allocations'!K$152*Functional!$I139+'Class Allocations'!K$156*Functional!$H139+'Class Allocations'!K$160*Functional!$J139+'Class Allocations'!K$166*Functional!$K139+'Class Allocations'!K$172*Functional!$L139+'Class Allocations'!K$178*Functional!$M139+'Class Allocations'!K$184*Functional!$N139</f>
        <v>-2824020.0627761753</v>
      </c>
      <c r="M139" s="4">
        <f>'Class Allocations'!L$144*Functional!$F139+'Class Allocations'!L$148*Functional!$G139+'Class Allocations'!L$152*Functional!$I139+'Class Allocations'!L$156*Functional!$H139+'Class Allocations'!L$160*Functional!$J139+'Class Allocations'!L$166*Functional!$K139+'Class Allocations'!L$172*Functional!$L139+'Class Allocations'!L$178*Functional!$M139+'Class Allocations'!L$184*Functional!$N139</f>
        <v>-398764.53107068624</v>
      </c>
      <c r="N139" s="4">
        <f>'Class Allocations'!M$144*Functional!$F139+'Class Allocations'!M$148*Functional!$G139+'Class Allocations'!M$152*Functional!$I139+'Class Allocations'!M$156*Functional!$H139+'Class Allocations'!M$160*Functional!$J139+'Class Allocations'!M$166*Functional!$K139+'Class Allocations'!M$172*Functional!$L139+'Class Allocations'!M$178*Functional!$M139+'Class Allocations'!M$184*Functional!$N139+Functional!$P139</f>
        <v>-139912.91931351056</v>
      </c>
      <c r="O139" s="4">
        <f>'Class Allocations'!N$144*Functional!$F139+'Class Allocations'!N$148*Functional!$G139+'Class Allocations'!N$152*Functional!$I139+'Class Allocations'!N$156*Functional!$H139+'Class Allocations'!N$160*Functional!$J139+'Class Allocations'!N$166*Functional!$K139+'Class Allocations'!N$172*Functional!$L139+'Class Allocations'!N$178*Functional!$M139+'Class Allocations'!N$184*Functional!$N139+Functional!$Q139</f>
        <v>-177591.30441825491</v>
      </c>
      <c r="P139" s="4">
        <f t="shared" ref="P139:P140" si="57">SUM(I139:O139)</f>
        <v>-6340888.957355218</v>
      </c>
      <c r="R139" s="124">
        <f t="shared" si="56"/>
        <v>0</v>
      </c>
      <c r="S139" s="124">
        <f t="shared" si="55"/>
        <v>9.3132257461547852E-9</v>
      </c>
    </row>
    <row r="140" spans="1:19">
      <c r="A140" s="117">
        <f>IF(ISBLANK(C140),"",MAX($A$38:$A139)+1)</f>
        <v>80</v>
      </c>
      <c r="C140" s="195" t="s">
        <v>642</v>
      </c>
      <c r="E140" s="298">
        <f>Functional!$E140</f>
        <v>-15464912.93187424</v>
      </c>
      <c r="F140" s="298">
        <f>'Class Allocations'!$E$120</f>
        <v>-11139956.11991518</v>
      </c>
      <c r="G140" s="298">
        <f>'Class Allocations'!$F$120</f>
        <v>-4324956.811959059</v>
      </c>
      <c r="H140" s="298">
        <f t="shared" si="53"/>
        <v>-15464912.931874238</v>
      </c>
      <c r="I140" s="5">
        <f>'Class Allocations'!H$144*Functional!$F140+'Class Allocations'!H$148*Functional!$G140+'Class Allocations'!H$152*Functional!$I140+'Class Allocations'!H$156*Functional!$H140+'Class Allocations'!H$160*Functional!$J140+'Class Allocations'!H$166*Functional!$K140+'Class Allocations'!H$172*Functional!$L140+'Class Allocations'!H$178*Functional!$M140+'Class Allocations'!H$184*Functional!$N140</f>
        <v>0</v>
      </c>
      <c r="J140" s="5">
        <f>'Class Allocations'!I$144*Functional!$F140+'Class Allocations'!I$148*Functional!$G140+'Class Allocations'!I$152*Functional!$I140+'Class Allocations'!I$156*Functional!$H140+'Class Allocations'!I$160*Functional!$J140+'Class Allocations'!I$166*Functional!$K140+'Class Allocations'!I$172*Functional!$L140+'Class Allocations'!I$178*Functional!$M140+'Class Allocations'!I$184*Functional!$N140</f>
        <v>0</v>
      </c>
      <c r="K140" s="5">
        <f>'Class Allocations'!J$144*Functional!$F140+'Class Allocations'!J$148*Functional!$G140+'Class Allocations'!J$152*Functional!$I140+'Class Allocations'!J$156*Functional!$H140+'Class Allocations'!J$160*Functional!$J140+'Class Allocations'!J$166*Functional!$K140+'Class Allocations'!J$172*Functional!$L140+'Class Allocations'!J$178*Functional!$M140+'Class Allocations'!J$184*Functional!$N140</f>
        <v>0</v>
      </c>
      <c r="L140" s="5">
        <f>'Class Allocations'!K$144*Functional!$F140+'Class Allocations'!K$148*Functional!$G140+'Class Allocations'!K$152*Functional!$I140+'Class Allocations'!K$156*Functional!$H140+'Class Allocations'!K$160*Functional!$J140+'Class Allocations'!K$166*Functional!$K140+'Class Allocations'!K$172*Functional!$L140+'Class Allocations'!K$178*Functional!$M140+'Class Allocations'!K$184*Functional!$N140</f>
        <v>0</v>
      </c>
      <c r="M140" s="5">
        <f>'Class Allocations'!L$144*Functional!$F140+'Class Allocations'!L$148*Functional!$G140+'Class Allocations'!L$152*Functional!$I140+'Class Allocations'!L$156*Functional!$H140+'Class Allocations'!L$160*Functional!$J140+'Class Allocations'!L$166*Functional!$K140+'Class Allocations'!L$172*Functional!$L140+'Class Allocations'!L$178*Functional!$M140+'Class Allocations'!L$184*Functional!$N140</f>
        <v>0</v>
      </c>
      <c r="N140" s="5">
        <f>'Class Allocations'!M$144*Functional!$F140+'Class Allocations'!M$148*Functional!$G140+'Class Allocations'!M$152*Functional!$I140+'Class Allocations'!M$156*Functional!$H140+'Class Allocations'!M$160*Functional!$J140+'Class Allocations'!M$166*Functional!$K140+'Class Allocations'!M$172*Functional!$L140+'Class Allocations'!M$178*Functional!$M140+'Class Allocations'!M$184*Functional!$N140+Functional!$P140</f>
        <v>0</v>
      </c>
      <c r="O140" s="5">
        <f>'Class Allocations'!N$144*Functional!$F140+'Class Allocations'!N$148*Functional!$G140+'Class Allocations'!N$152*Functional!$I140+'Class Allocations'!N$156*Functional!$H140+'Class Allocations'!N$160*Functional!$J140+'Class Allocations'!N$166*Functional!$K140+'Class Allocations'!N$172*Functional!$L140+'Class Allocations'!N$178*Functional!$M140+'Class Allocations'!N$184*Functional!$N140+Functional!$Q140</f>
        <v>0</v>
      </c>
      <c r="P140" s="5">
        <f t="shared" si="57"/>
        <v>0</v>
      </c>
      <c r="R140" s="124">
        <f t="shared" si="56"/>
        <v>0</v>
      </c>
      <c r="S140" s="124">
        <f t="shared" si="55"/>
        <v>-1.862645149230957E-9</v>
      </c>
    </row>
    <row r="141" spans="1:19">
      <c r="A141" s="117">
        <f>IF(ISBLANK(C141),"",MAX($A$38:$A140)+1)</f>
        <v>81</v>
      </c>
      <c r="C141" s="169" t="str">
        <f>Functional!$C141</f>
        <v>Total Other Rate Base Items</v>
      </c>
      <c r="E141" s="135">
        <f>SUM(E133:E140)</f>
        <v>-62411840.617098592</v>
      </c>
      <c r="F141" s="135">
        <f t="shared" ref="F141:P141" si="58">SUM(F132:F140)</f>
        <v>-41074122.008411281</v>
      </c>
      <c r="G141" s="135">
        <f t="shared" si="58"/>
        <v>-15091617.237129949</v>
      </c>
      <c r="H141" s="135">
        <f t="shared" si="58"/>
        <v>-56165739.245541222</v>
      </c>
      <c r="I141" s="4">
        <f t="shared" si="58"/>
        <v>-2340813.1871956075</v>
      </c>
      <c r="J141" s="4">
        <f t="shared" si="58"/>
        <v>-260751.00702225065</v>
      </c>
      <c r="K141" s="4">
        <f t="shared" si="58"/>
        <v>-237883.43627226187</v>
      </c>
      <c r="L141" s="4">
        <f t="shared" si="58"/>
        <v>-2718852.1866986705</v>
      </c>
      <c r="M141" s="4">
        <f t="shared" si="58"/>
        <v>-382609.43257798621</v>
      </c>
      <c r="N141" s="4">
        <f t="shared" si="58"/>
        <v>-134646.84032970719</v>
      </c>
      <c r="O141" s="4">
        <f t="shared" si="58"/>
        <v>-170545.28146089532</v>
      </c>
      <c r="P141" s="4">
        <f t="shared" si="58"/>
        <v>-6246101.3715573791</v>
      </c>
      <c r="R141" s="124">
        <f>SUM(F141:G141,I141:O141)-E141</f>
        <v>0</v>
      </c>
      <c r="S141" s="124">
        <f>E141-H141-P141</f>
        <v>9.3132257461547852E-9</v>
      </c>
    </row>
    <row r="142" spans="1:19">
      <c r="A142" s="117" t="str">
        <f>IF(ISBLANK(C142),"",MAX($A$38:$A141)+1)</f>
        <v/>
      </c>
      <c r="E142" s="135"/>
      <c r="F142" s="135"/>
      <c r="G142" s="135"/>
      <c r="H142" s="135"/>
      <c r="I142" s="4"/>
      <c r="J142" s="4"/>
      <c r="K142" s="4"/>
      <c r="L142" s="4"/>
      <c r="M142" s="4"/>
      <c r="N142" s="4"/>
      <c r="O142" s="4"/>
      <c r="P142" s="4"/>
      <c r="R142" s="124"/>
      <c r="S142" s="124"/>
    </row>
    <row r="143" spans="1:19">
      <c r="A143" s="117">
        <f>IF(ISBLANK(C143),"",MAX($A$38:$A142)+1)</f>
        <v>82</v>
      </c>
      <c r="C143" s="34" t="s">
        <v>51</v>
      </c>
      <c r="E143" s="135">
        <f t="shared" ref="E143:P143" si="59">E129+E141</f>
        <v>586098201.82738638</v>
      </c>
      <c r="F143" s="135">
        <f t="shared" si="59"/>
        <v>363183290.26452982</v>
      </c>
      <c r="G143" s="135">
        <f t="shared" si="59"/>
        <v>141001636.65916148</v>
      </c>
      <c r="H143" s="135">
        <f t="shared" si="59"/>
        <v>504184926.92369127</v>
      </c>
      <c r="I143" s="4">
        <f t="shared" si="59"/>
        <v>29499277.893836677</v>
      </c>
      <c r="J143" s="4">
        <f t="shared" si="59"/>
        <v>3493190.4278196981</v>
      </c>
      <c r="K143" s="4">
        <f t="shared" si="59"/>
        <v>3105709.8570382721</v>
      </c>
      <c r="L143" s="4">
        <f t="shared" si="59"/>
        <v>36544388.188195027</v>
      </c>
      <c r="M143" s="4">
        <f t="shared" si="59"/>
        <v>5161539.4361869879</v>
      </c>
      <c r="N143" s="4">
        <f t="shared" si="59"/>
        <v>1810606.5433021039</v>
      </c>
      <c r="O143" s="4">
        <f t="shared" si="59"/>
        <v>2298562.5573163517</v>
      </c>
      <c r="P143" s="4">
        <f t="shared" si="59"/>
        <v>81913274.903695077</v>
      </c>
      <c r="R143" s="124">
        <f>SUM(F143:G143,I143:O143)-E143</f>
        <v>0</v>
      </c>
      <c r="S143" s="124">
        <f>E143-H143-P143</f>
        <v>0</v>
      </c>
    </row>
    <row r="144" spans="1:19">
      <c r="E144" s="491"/>
      <c r="F144" s="491"/>
      <c r="G144" s="345"/>
      <c r="H144" s="135"/>
      <c r="I144" s="4"/>
      <c r="J144" s="4"/>
      <c r="K144" s="4"/>
      <c r="L144" s="4"/>
      <c r="M144" s="4"/>
      <c r="N144" s="4"/>
      <c r="O144" s="4"/>
      <c r="P144" s="4"/>
      <c r="R144" s="124"/>
      <c r="S144" s="124"/>
    </row>
    <row r="145" spans="1:19">
      <c r="A145" s="113" t="str">
        <f>$A$1</f>
        <v>Black Hills Nebraska Gas, LLC</v>
      </c>
      <c r="B145" s="114"/>
      <c r="C145" s="115"/>
      <c r="D145" s="115"/>
      <c r="E145" s="143"/>
      <c r="F145" s="143"/>
      <c r="G145" s="143"/>
      <c r="H145" s="143"/>
      <c r="I145" s="302"/>
      <c r="J145" s="302"/>
      <c r="K145" s="302"/>
      <c r="L145" s="302"/>
      <c r="M145" s="302"/>
      <c r="N145" s="302"/>
      <c r="O145" s="302"/>
      <c r="P145" s="302"/>
      <c r="R145" s="124"/>
      <c r="S145" s="124"/>
    </row>
    <row r="146" spans="1:19">
      <c r="A146" s="113" t="str">
        <f>$A$2</f>
        <v>RATE BASE AND COST OF SERVICE BY CUSTOMER CLASS</v>
      </c>
      <c r="B146" s="114"/>
      <c r="C146" s="115"/>
      <c r="D146" s="115"/>
      <c r="E146" s="143"/>
      <c r="F146" s="143"/>
      <c r="G146" s="143"/>
      <c r="H146" s="143"/>
      <c r="I146" s="302"/>
      <c r="J146" s="302"/>
      <c r="K146" s="302"/>
      <c r="L146" s="302"/>
      <c r="M146" s="302"/>
      <c r="N146" s="302"/>
      <c r="O146" s="302"/>
      <c r="P146" s="302"/>
      <c r="R146" s="124"/>
      <c r="S146" s="124"/>
    </row>
    <row r="147" spans="1:19">
      <c r="A147" s="113" t="str">
        <f>$A$3</f>
        <v>FOR THE PRO FORMA PERIOD ENDED DECEMBER 31, 2020</v>
      </c>
      <c r="B147" s="114"/>
      <c r="C147" s="115"/>
      <c r="D147" s="115"/>
      <c r="E147" s="143"/>
      <c r="F147" s="143"/>
      <c r="G147" s="143"/>
      <c r="H147" s="143"/>
      <c r="I147" s="302"/>
      <c r="J147" s="302"/>
      <c r="K147" s="302"/>
      <c r="L147" s="302"/>
      <c r="M147" s="302"/>
      <c r="N147" s="302"/>
      <c r="O147" s="302"/>
      <c r="P147" s="302"/>
      <c r="R147" s="124"/>
      <c r="S147" s="124"/>
    </row>
    <row r="148" spans="1:19">
      <c r="E148" s="135"/>
      <c r="F148" s="135"/>
      <c r="G148" s="135"/>
      <c r="H148" s="135"/>
      <c r="I148" s="4"/>
      <c r="J148" s="4"/>
      <c r="K148" s="4"/>
      <c r="L148" s="4"/>
      <c r="M148" s="4"/>
      <c r="N148" s="4"/>
      <c r="O148" s="4"/>
      <c r="P148" s="4"/>
      <c r="R148" s="124"/>
      <c r="S148" s="124"/>
    </row>
    <row r="149" spans="1:19">
      <c r="E149" s="135"/>
      <c r="F149" s="135"/>
      <c r="G149" s="135"/>
      <c r="H149" s="135"/>
      <c r="I149" s="4"/>
      <c r="J149" s="4"/>
      <c r="K149" s="4"/>
      <c r="L149" s="4"/>
      <c r="M149" s="4"/>
      <c r="N149" s="4"/>
      <c r="O149" s="4"/>
      <c r="P149" s="4"/>
      <c r="R149" s="124"/>
      <c r="S149" s="124"/>
    </row>
    <row r="150" spans="1:19">
      <c r="A150" s="117"/>
      <c r="B150" s="117" t="s">
        <v>0</v>
      </c>
      <c r="C150" s="115" t="s">
        <v>1</v>
      </c>
      <c r="D150" s="115"/>
      <c r="E150" s="117" t="s">
        <v>2</v>
      </c>
      <c r="F150" s="117" t="s">
        <v>3</v>
      </c>
      <c r="G150" s="117" t="s">
        <v>4</v>
      </c>
      <c r="H150" s="117" t="s">
        <v>26</v>
      </c>
      <c r="I150" s="148" t="s">
        <v>61</v>
      </c>
      <c r="J150" s="148" t="s">
        <v>62</v>
      </c>
      <c r="K150" s="148" t="s">
        <v>63</v>
      </c>
      <c r="L150" s="148" t="s">
        <v>64</v>
      </c>
      <c r="M150" s="148" t="s">
        <v>79</v>
      </c>
      <c r="N150" s="148" t="s">
        <v>80</v>
      </c>
      <c r="O150" s="148" t="s">
        <v>195</v>
      </c>
      <c r="P150" s="148" t="s">
        <v>196</v>
      </c>
      <c r="Q150" s="117"/>
      <c r="R150" s="124"/>
      <c r="S150" s="124"/>
    </row>
    <row r="151" spans="1:19">
      <c r="R151" s="124"/>
      <c r="S151" s="124"/>
    </row>
    <row r="152" spans="1:19">
      <c r="A152" s="118"/>
      <c r="B152" s="119"/>
      <c r="C152" s="119"/>
      <c r="D152" s="120"/>
      <c r="E152" s="118"/>
      <c r="F152" s="118"/>
      <c r="G152" s="118"/>
      <c r="H152" s="118"/>
      <c r="I152" s="218" t="s">
        <v>197</v>
      </c>
      <c r="J152" s="219"/>
      <c r="K152" s="219"/>
      <c r="L152" s="219"/>
      <c r="M152" s="219"/>
      <c r="N152" s="219"/>
      <c r="O152" s="219"/>
      <c r="P152" s="296"/>
      <c r="Q152" s="117"/>
      <c r="R152" s="124"/>
      <c r="S152" s="124"/>
    </row>
    <row r="153" spans="1:19">
      <c r="A153" s="125" t="s">
        <v>6</v>
      </c>
      <c r="B153" s="126" t="s">
        <v>87</v>
      </c>
      <c r="C153" s="126"/>
      <c r="D153" s="117"/>
      <c r="E153" s="125" t="s">
        <v>20</v>
      </c>
      <c r="F153" s="125" t="s">
        <v>22</v>
      </c>
      <c r="G153" s="125" t="s">
        <v>24</v>
      </c>
      <c r="H153" s="125" t="s">
        <v>20</v>
      </c>
      <c r="I153" s="205"/>
      <c r="J153" s="205"/>
      <c r="K153" s="205" t="s">
        <v>76</v>
      </c>
      <c r="L153" s="205" t="s">
        <v>418</v>
      </c>
      <c r="M153" s="205" t="s">
        <v>418</v>
      </c>
      <c r="N153" s="205" t="s">
        <v>418</v>
      </c>
      <c r="O153" s="220" t="s">
        <v>418</v>
      </c>
      <c r="P153" s="205" t="s">
        <v>20</v>
      </c>
      <c r="Q153" s="117"/>
      <c r="R153" s="124"/>
      <c r="S153" s="124"/>
    </row>
    <row r="154" spans="1:19">
      <c r="A154" s="130" t="s">
        <v>88</v>
      </c>
      <c r="B154" s="131" t="s">
        <v>88</v>
      </c>
      <c r="C154" s="127" t="s">
        <v>8</v>
      </c>
      <c r="D154" s="129"/>
      <c r="E154" s="130" t="s">
        <v>219</v>
      </c>
      <c r="F154" s="130" t="s">
        <v>23</v>
      </c>
      <c r="G154" s="130" t="s">
        <v>23</v>
      </c>
      <c r="H154" s="130" t="s">
        <v>21</v>
      </c>
      <c r="I154" s="208" t="s">
        <v>416</v>
      </c>
      <c r="J154" s="208" t="s">
        <v>436</v>
      </c>
      <c r="K154" s="208" t="s">
        <v>417</v>
      </c>
      <c r="L154" s="208" t="s">
        <v>45</v>
      </c>
      <c r="M154" s="208" t="s">
        <v>42</v>
      </c>
      <c r="N154" s="208" t="s">
        <v>47</v>
      </c>
      <c r="O154" s="221" t="s">
        <v>41</v>
      </c>
      <c r="P154" s="208" t="s">
        <v>77</v>
      </c>
      <c r="Q154" s="117"/>
      <c r="R154" s="124"/>
      <c r="S154" s="124"/>
    </row>
    <row r="155" spans="1:19">
      <c r="A155" s="117"/>
      <c r="B155" s="117"/>
      <c r="C155" s="117"/>
      <c r="D155" s="117"/>
      <c r="E155" s="117" t="s">
        <v>27</v>
      </c>
      <c r="F155" s="117" t="s">
        <v>27</v>
      </c>
      <c r="G155" s="117" t="s">
        <v>27</v>
      </c>
      <c r="H155" s="117" t="s">
        <v>27</v>
      </c>
      <c r="I155" s="148" t="s">
        <v>27</v>
      </c>
      <c r="J155" s="148" t="s">
        <v>27</v>
      </c>
      <c r="K155" s="148" t="s">
        <v>27</v>
      </c>
      <c r="L155" s="148" t="s">
        <v>27</v>
      </c>
      <c r="M155" s="148" t="s">
        <v>27</v>
      </c>
      <c r="N155" s="148" t="s">
        <v>27</v>
      </c>
      <c r="O155" s="148" t="s">
        <v>27</v>
      </c>
      <c r="P155" s="148" t="s">
        <v>27</v>
      </c>
      <c r="Q155" s="117"/>
      <c r="R155" s="124"/>
      <c r="S155" s="124"/>
    </row>
    <row r="156" spans="1:19">
      <c r="A156" s="117">
        <f>IF(ISBLANK(C156),"",MAX($A155:$A$155)+1)</f>
        <v>1</v>
      </c>
      <c r="C156" s="134" t="str">
        <f>Functional!$C156</f>
        <v>O &amp; M Expenses</v>
      </c>
      <c r="E156" s="135"/>
      <c r="F156" s="135"/>
      <c r="G156" s="135"/>
      <c r="H156" s="135"/>
      <c r="I156" s="4"/>
      <c r="J156" s="4"/>
      <c r="K156" s="4"/>
      <c r="L156" s="4"/>
      <c r="M156" s="4"/>
      <c r="N156" s="4"/>
      <c r="O156" s="4"/>
      <c r="P156" s="4"/>
      <c r="R156" s="124"/>
      <c r="S156" s="124"/>
    </row>
    <row r="157" spans="1:19">
      <c r="A157" s="117">
        <f>IF(ISBLANK(C157),"",MAX($A$155:$A156)+1)</f>
        <v>2</v>
      </c>
      <c r="B157" s="117"/>
      <c r="C157" s="34" t="str">
        <f>Functional!$C157</f>
        <v>Transmission Expenses</v>
      </c>
      <c r="E157" s="135"/>
      <c r="F157" s="135"/>
      <c r="G157" s="135"/>
      <c r="H157" s="135"/>
      <c r="I157" s="4"/>
      <c r="J157" s="4"/>
      <c r="K157" s="4"/>
      <c r="L157" s="4"/>
      <c r="M157" s="4"/>
      <c r="N157" s="4"/>
      <c r="O157" s="4"/>
      <c r="P157" s="4"/>
      <c r="R157" s="124"/>
      <c r="S157" s="124"/>
    </row>
    <row r="158" spans="1:19">
      <c r="A158" s="117">
        <f>IF(ISBLANK(C158),"",MAX($A$155:$A157)+1)</f>
        <v>3</v>
      </c>
      <c r="B158" s="117"/>
      <c r="C158" s="140" t="str">
        <f>Functional!$C158</f>
        <v>Operation</v>
      </c>
      <c r="E158" s="135"/>
      <c r="F158" s="135"/>
      <c r="G158" s="135"/>
      <c r="H158" s="135"/>
      <c r="I158" s="4"/>
      <c r="J158" s="4"/>
      <c r="K158" s="4"/>
      <c r="L158" s="4"/>
      <c r="M158" s="4"/>
      <c r="N158" s="4"/>
      <c r="O158" s="4"/>
      <c r="P158" s="4"/>
      <c r="R158" s="124"/>
      <c r="S158" s="124"/>
    </row>
    <row r="159" spans="1:19">
      <c r="A159" s="117">
        <f>IF(ISBLANK(C159),"",MAX($A$155:$A158)+1)</f>
        <v>4</v>
      </c>
      <c r="B159" s="117">
        <v>850</v>
      </c>
      <c r="C159" s="169" t="s">
        <v>290</v>
      </c>
      <c r="E159" s="135">
        <f>Functional!$E159</f>
        <v>198452.86149800004</v>
      </c>
      <c r="F159" s="135">
        <f>'Class Allocations'!E$144*Functional!$F159+'Class Allocations'!E$148*Functional!$G159+'Class Allocations'!E$152*Functional!$I159+'Class Allocations'!E$156*Functional!$H159+'Class Allocations'!E$160*Functional!$J159+'Class Allocations'!E$166*Functional!$K159+'Class Allocations'!E$172*Functional!$L159+'Class Allocations'!E$178*Functional!$M159+'Class Allocations'!E$184*Functional!$N159+Functional!$O159</f>
        <v>64851.792193317051</v>
      </c>
      <c r="G159" s="135">
        <f>'Class Allocations'!F$144*Functional!$F159+'Class Allocations'!F$148*Functional!$G159+'Class Allocations'!F$152*Functional!$I159+'Class Allocations'!F$156*Functional!$H159+'Class Allocations'!F$160*Functional!$J159+'Class Allocations'!F$166*Functional!$K159+'Class Allocations'!F$172*Functional!$L159+'Class Allocations'!F$178*Functional!$M159+'Class Allocations'!F$184*Functional!$N159</f>
        <v>44789.807293544472</v>
      </c>
      <c r="H159" s="135">
        <f t="shared" ref="H159:H166" si="60">SUM(F159:G159)</f>
        <v>109641.59948686152</v>
      </c>
      <c r="I159" s="4">
        <f>'Class Allocations'!H$144*Functional!$F159+'Class Allocations'!H$148*Functional!$G159+'Class Allocations'!H$152*Functional!$I159+'Class Allocations'!H$156*Functional!$H159+'Class Allocations'!H$160*Functional!$J159+'Class Allocations'!H$166*Functional!$K159+'Class Allocations'!H$172*Functional!$L159+'Class Allocations'!H$178*Functional!$M159+'Class Allocations'!H$184*Functional!$N159</f>
        <v>8221.0787409208242</v>
      </c>
      <c r="J159" s="4">
        <f>'Class Allocations'!I$144*Functional!$F159+'Class Allocations'!I$148*Functional!$G159+'Class Allocations'!I$152*Functional!$I159+'Class Allocations'!I$156*Functional!$H159+'Class Allocations'!I$160*Functional!$J159+'Class Allocations'!I$166*Functional!$K159+'Class Allocations'!I$172*Functional!$L159+'Class Allocations'!I$178*Functional!$M159+'Class Allocations'!I$184*Functional!$N159</f>
        <v>2685.0660991456575</v>
      </c>
      <c r="K159" s="4">
        <f>'Class Allocations'!J$144*Functional!$F159+'Class Allocations'!J$148*Functional!$G159+'Class Allocations'!J$152*Functional!$I159+'Class Allocations'!J$156*Functional!$H159+'Class Allocations'!J$160*Functional!$J159+'Class Allocations'!J$166*Functional!$K159+'Class Allocations'!J$172*Functional!$L159+'Class Allocations'!J$178*Functional!$M159+'Class Allocations'!J$184*Functional!$N159</f>
        <v>1838.1477747822451</v>
      </c>
      <c r="L159" s="4">
        <f>'Class Allocations'!K$144*Functional!$F159+'Class Allocations'!K$148*Functional!$G159+'Class Allocations'!K$152*Functional!$I159+'Class Allocations'!K$156*Functional!$H159+'Class Allocations'!K$160*Functional!$J159+'Class Allocations'!K$166*Functional!$K159+'Class Allocations'!K$172*Functional!$L159+'Class Allocations'!K$178*Functional!$M159+'Class Allocations'!K$184*Functional!$N159</f>
        <v>28764.704372049702</v>
      </c>
      <c r="M159" s="4">
        <f>'Class Allocations'!L$144*Functional!$F159+'Class Allocations'!L$148*Functional!$G159+'Class Allocations'!L$152*Functional!$I159+'Class Allocations'!L$156*Functional!$H159+'Class Allocations'!L$160*Functional!$J159+'Class Allocations'!L$166*Functional!$K159+'Class Allocations'!L$172*Functional!$L159+'Class Allocations'!L$178*Functional!$M159+'Class Allocations'!L$184*Functional!$N159</f>
        <v>18264.531487611159</v>
      </c>
      <c r="N159" s="4">
        <f>'Class Allocations'!M$144*Functional!$F159+'Class Allocations'!M$148*Functional!$G159+'Class Allocations'!M$152*Functional!$I159+'Class Allocations'!M$156*Functional!$H159+'Class Allocations'!M$160*Functional!$J159+'Class Allocations'!M$166*Functional!$K159+'Class Allocations'!M$172*Functional!$L159+'Class Allocations'!M$178*Functional!$M159+'Class Allocations'!M$184*Functional!$N159+Functional!$P159</f>
        <v>29037.733536628912</v>
      </c>
      <c r="O159" s="4">
        <f>'Class Allocations'!N$144*Functional!$F159+'Class Allocations'!N$148*Functional!$G159+'Class Allocations'!N$152*Functional!$I159+'Class Allocations'!N$156*Functional!$H159+'Class Allocations'!N$160*Functional!$J159+'Class Allocations'!N$166*Functional!$K159+'Class Allocations'!N$172*Functional!$L159+'Class Allocations'!N$178*Functional!$M159+'Class Allocations'!N$184*Functional!$N159+Functional!$Q159</f>
        <v>0</v>
      </c>
      <c r="P159" s="4">
        <f>SUM(I159:O159)</f>
        <v>88811.262011138489</v>
      </c>
      <c r="R159" s="124">
        <f t="shared" ref="R159:R184" si="61">SUM(F159:G159,I159:O159)-E159</f>
        <v>0</v>
      </c>
      <c r="S159" s="124">
        <f t="shared" ref="S159:S184" si="62">E159-H159-P159</f>
        <v>0</v>
      </c>
    </row>
    <row r="160" spans="1:19">
      <c r="A160" s="117">
        <f>IF(ISBLANK(C160),"",MAX($A$155:$A159)+1)</f>
        <v>5</v>
      </c>
      <c r="B160" s="117">
        <v>851</v>
      </c>
      <c r="C160" s="169" t="s">
        <v>327</v>
      </c>
      <c r="E160" s="135">
        <f>Functional!$E160</f>
        <v>1170.3591529706164</v>
      </c>
      <c r="F160" s="135">
        <f>'Class Allocations'!E$144*Functional!$F160+'Class Allocations'!E$148*Functional!$G160+'Class Allocations'!E$152*Functional!$I160+'Class Allocations'!E$156*Functional!$H160+'Class Allocations'!E$160*Functional!$J160+'Class Allocations'!E$166*Functional!$K160+'Class Allocations'!E$172*Functional!$L160+'Class Allocations'!E$178*Functional!$M160+'Class Allocations'!E$184*Functional!$N160+Functional!$O160</f>
        <v>371.52507261593934</v>
      </c>
      <c r="G160" s="135">
        <f>'Class Allocations'!F$144*Functional!$F160+'Class Allocations'!F$148*Functional!$G160+'Class Allocations'!F$152*Functional!$I160+'Class Allocations'!F$156*Functional!$H160+'Class Allocations'!F$160*Functional!$J160+'Class Allocations'!F$166*Functional!$K160+'Class Allocations'!F$172*Functional!$L160+'Class Allocations'!F$178*Functional!$M160+'Class Allocations'!F$184*Functional!$N160</f>
        <v>262.90300893714084</v>
      </c>
      <c r="H160" s="135">
        <f t="shared" si="60"/>
        <v>634.42808155308012</v>
      </c>
      <c r="I160" s="4">
        <f>'Class Allocations'!H$144*Functional!$F160+'Class Allocations'!H$148*Functional!$G160+'Class Allocations'!H$152*Functional!$I160+'Class Allocations'!H$156*Functional!$H160+'Class Allocations'!H$160*Functional!$J160+'Class Allocations'!H$166*Functional!$K160+'Class Allocations'!H$172*Functional!$L160+'Class Allocations'!H$178*Functional!$M160+'Class Allocations'!H$184*Functional!$N160</f>
        <v>85.389944802390517</v>
      </c>
      <c r="J160" s="4">
        <f>'Class Allocations'!I$144*Functional!$F160+'Class Allocations'!I$148*Functional!$G160+'Class Allocations'!I$152*Functional!$I160+'Class Allocations'!I$156*Functional!$H160+'Class Allocations'!I$160*Functional!$J160+'Class Allocations'!I$166*Functional!$K160+'Class Allocations'!I$172*Functional!$L160+'Class Allocations'!I$178*Functional!$M160+'Class Allocations'!I$184*Functional!$N160</f>
        <v>23.289663541793157</v>
      </c>
      <c r="K160" s="4">
        <f>'Class Allocations'!J$144*Functional!$F160+'Class Allocations'!J$148*Functional!$G160+'Class Allocations'!J$152*Functional!$I160+'Class Allocations'!J$156*Functional!$H160+'Class Allocations'!J$160*Functional!$J160+'Class Allocations'!J$166*Functional!$K160+'Class Allocations'!J$172*Functional!$L160+'Class Allocations'!J$178*Functional!$M160+'Class Allocations'!J$184*Functional!$N160</f>
        <v>19.092304303816</v>
      </c>
      <c r="L160" s="4">
        <f>'Class Allocations'!K$144*Functional!$F160+'Class Allocations'!K$148*Functional!$G160+'Class Allocations'!K$152*Functional!$I160+'Class Allocations'!K$156*Functional!$H160+'Class Allocations'!K$160*Functional!$J160+'Class Allocations'!K$166*Functional!$K160+'Class Allocations'!K$172*Functional!$L160+'Class Allocations'!K$178*Functional!$M160+'Class Allocations'!K$184*Functional!$N160</f>
        <v>241.31561755462417</v>
      </c>
      <c r="M160" s="4">
        <f>'Class Allocations'!L$144*Functional!$F160+'Class Allocations'!L$148*Functional!$G160+'Class Allocations'!L$152*Functional!$I160+'Class Allocations'!L$156*Functional!$H160+'Class Allocations'!L$160*Functional!$J160+'Class Allocations'!L$166*Functional!$K160+'Class Allocations'!L$172*Functional!$L160+'Class Allocations'!L$178*Functional!$M160+'Class Allocations'!L$184*Functional!$N160</f>
        <v>166.84354121491234</v>
      </c>
      <c r="N160" s="4">
        <f>'Class Allocations'!M$144*Functional!$F160+'Class Allocations'!M$148*Functional!$G160+'Class Allocations'!M$152*Functional!$I160+'Class Allocations'!M$156*Functional!$H160+'Class Allocations'!M$160*Functional!$J160+'Class Allocations'!M$166*Functional!$K160+'Class Allocations'!M$172*Functional!$L160+'Class Allocations'!M$178*Functional!$M160+'Class Allocations'!M$184*Functional!$N160+Functional!$P160</f>
        <v>0</v>
      </c>
      <c r="O160" s="4">
        <f>'Class Allocations'!N$144*Functional!$F160+'Class Allocations'!N$148*Functional!$G160+'Class Allocations'!N$152*Functional!$I160+'Class Allocations'!N$156*Functional!$H160+'Class Allocations'!N$160*Functional!$J160+'Class Allocations'!N$166*Functional!$K160+'Class Allocations'!N$172*Functional!$L160+'Class Allocations'!N$178*Functional!$M160+'Class Allocations'!N$184*Functional!$N160+Functional!$Q160</f>
        <v>0</v>
      </c>
      <c r="P160" s="4">
        <f t="shared" ref="P160:P164" si="63">SUM(I160:O160)</f>
        <v>535.93107141753615</v>
      </c>
      <c r="R160" s="124">
        <f t="shared" ref="R160:R164" si="64">SUM(F160:G160,I160:O160)-E160</f>
        <v>0</v>
      </c>
      <c r="S160" s="124">
        <f t="shared" ref="S160:S164" si="65">E160-H160-P160</f>
        <v>0</v>
      </c>
    </row>
    <row r="161" spans="1:19">
      <c r="A161" s="117">
        <f>IF(ISBLANK(C161),"",MAX($A$155:$A160)+1)</f>
        <v>6</v>
      </c>
      <c r="B161" s="117">
        <v>852</v>
      </c>
      <c r="C161" s="169" t="s">
        <v>328</v>
      </c>
      <c r="E161" s="135">
        <f>Functional!$E161</f>
        <v>0</v>
      </c>
      <c r="F161" s="135">
        <f>'Class Allocations'!E$144*Functional!$F161+'Class Allocations'!E$148*Functional!$G161+'Class Allocations'!E$152*Functional!$I161+'Class Allocations'!E$156*Functional!$H161+'Class Allocations'!E$160*Functional!$J161+'Class Allocations'!E$166*Functional!$K161+'Class Allocations'!E$172*Functional!$L161+'Class Allocations'!E$178*Functional!$M161+'Class Allocations'!E$184*Functional!$N161+Functional!$O161</f>
        <v>0</v>
      </c>
      <c r="G161" s="135">
        <f>'Class Allocations'!F$144*Functional!$F161+'Class Allocations'!F$148*Functional!$G161+'Class Allocations'!F$152*Functional!$I161+'Class Allocations'!F$156*Functional!$H161+'Class Allocations'!F$160*Functional!$J161+'Class Allocations'!F$166*Functional!$K161+'Class Allocations'!F$172*Functional!$L161+'Class Allocations'!F$178*Functional!$M161+'Class Allocations'!F$184*Functional!$N161</f>
        <v>0</v>
      </c>
      <c r="H161" s="135">
        <f t="shared" si="60"/>
        <v>0</v>
      </c>
      <c r="I161" s="4">
        <f>'Class Allocations'!H$144*Functional!$F161+'Class Allocations'!H$148*Functional!$G161+'Class Allocations'!H$152*Functional!$I161+'Class Allocations'!H$156*Functional!$H161+'Class Allocations'!H$160*Functional!$J161+'Class Allocations'!H$166*Functional!$K161+'Class Allocations'!H$172*Functional!$L161+'Class Allocations'!H$178*Functional!$M161+'Class Allocations'!H$184*Functional!$N161</f>
        <v>0</v>
      </c>
      <c r="J161" s="4">
        <f>'Class Allocations'!I$144*Functional!$F161+'Class Allocations'!I$148*Functional!$G161+'Class Allocations'!I$152*Functional!$I161+'Class Allocations'!I$156*Functional!$H161+'Class Allocations'!I$160*Functional!$J161+'Class Allocations'!I$166*Functional!$K161+'Class Allocations'!I$172*Functional!$L161+'Class Allocations'!I$178*Functional!$M161+'Class Allocations'!I$184*Functional!$N161</f>
        <v>0</v>
      </c>
      <c r="K161" s="4">
        <f>'Class Allocations'!J$144*Functional!$F161+'Class Allocations'!J$148*Functional!$G161+'Class Allocations'!J$152*Functional!$I161+'Class Allocations'!J$156*Functional!$H161+'Class Allocations'!J$160*Functional!$J161+'Class Allocations'!J$166*Functional!$K161+'Class Allocations'!J$172*Functional!$L161+'Class Allocations'!J$178*Functional!$M161+'Class Allocations'!J$184*Functional!$N161</f>
        <v>0</v>
      </c>
      <c r="L161" s="4">
        <f>'Class Allocations'!K$144*Functional!$F161+'Class Allocations'!K$148*Functional!$G161+'Class Allocations'!K$152*Functional!$I161+'Class Allocations'!K$156*Functional!$H161+'Class Allocations'!K$160*Functional!$J161+'Class Allocations'!K$166*Functional!$K161+'Class Allocations'!K$172*Functional!$L161+'Class Allocations'!K$178*Functional!$M161+'Class Allocations'!K$184*Functional!$N161</f>
        <v>0</v>
      </c>
      <c r="M161" s="4">
        <f>'Class Allocations'!L$144*Functional!$F161+'Class Allocations'!L$148*Functional!$G161+'Class Allocations'!L$152*Functional!$I161+'Class Allocations'!L$156*Functional!$H161+'Class Allocations'!L$160*Functional!$J161+'Class Allocations'!L$166*Functional!$K161+'Class Allocations'!L$172*Functional!$L161+'Class Allocations'!L$178*Functional!$M161+'Class Allocations'!L$184*Functional!$N161</f>
        <v>0</v>
      </c>
      <c r="N161" s="4">
        <f>'Class Allocations'!M$144*Functional!$F161+'Class Allocations'!M$148*Functional!$G161+'Class Allocations'!M$152*Functional!$I161+'Class Allocations'!M$156*Functional!$H161+'Class Allocations'!M$160*Functional!$J161+'Class Allocations'!M$166*Functional!$K161+'Class Allocations'!M$172*Functional!$L161+'Class Allocations'!M$178*Functional!$M161+'Class Allocations'!M$184*Functional!$N161+Functional!$P161</f>
        <v>0</v>
      </c>
      <c r="O161" s="4">
        <f>'Class Allocations'!N$144*Functional!$F161+'Class Allocations'!N$148*Functional!$G161+'Class Allocations'!N$152*Functional!$I161+'Class Allocations'!N$156*Functional!$H161+'Class Allocations'!N$160*Functional!$J161+'Class Allocations'!N$166*Functional!$K161+'Class Allocations'!N$172*Functional!$L161+'Class Allocations'!N$178*Functional!$M161+'Class Allocations'!N$184*Functional!$N161+Functional!$Q161</f>
        <v>0</v>
      </c>
      <c r="P161" s="4">
        <f t="shared" si="63"/>
        <v>0</v>
      </c>
      <c r="R161" s="124">
        <f t="shared" si="64"/>
        <v>0</v>
      </c>
      <c r="S161" s="124">
        <f t="shared" si="65"/>
        <v>0</v>
      </c>
    </row>
    <row r="162" spans="1:19">
      <c r="A162" s="117">
        <f>IF(ISBLANK(C162),"",MAX($A$155:$A161)+1)</f>
        <v>7</v>
      </c>
      <c r="B162" s="117">
        <v>853</v>
      </c>
      <c r="C162" s="169" t="s">
        <v>329</v>
      </c>
      <c r="E162" s="135">
        <f>Functional!$E162</f>
        <v>0</v>
      </c>
      <c r="F162" s="135">
        <f>'Class Allocations'!E$144*Functional!$F162+'Class Allocations'!E$148*Functional!$G162+'Class Allocations'!E$152*Functional!$I162+'Class Allocations'!E$156*Functional!$H162+'Class Allocations'!E$160*Functional!$J162+'Class Allocations'!E$166*Functional!$K162+'Class Allocations'!E$172*Functional!$L162+'Class Allocations'!E$178*Functional!$M162+'Class Allocations'!E$184*Functional!$N162+Functional!$O162</f>
        <v>0</v>
      </c>
      <c r="G162" s="135">
        <f>'Class Allocations'!F$144*Functional!$F162+'Class Allocations'!F$148*Functional!$G162+'Class Allocations'!F$152*Functional!$I162+'Class Allocations'!F$156*Functional!$H162+'Class Allocations'!F$160*Functional!$J162+'Class Allocations'!F$166*Functional!$K162+'Class Allocations'!F$172*Functional!$L162+'Class Allocations'!F$178*Functional!$M162+'Class Allocations'!F$184*Functional!$N162</f>
        <v>0</v>
      </c>
      <c r="H162" s="135">
        <f t="shared" si="60"/>
        <v>0</v>
      </c>
      <c r="I162" s="4">
        <f>'Class Allocations'!H$144*Functional!$F162+'Class Allocations'!H$148*Functional!$G162+'Class Allocations'!H$152*Functional!$I162+'Class Allocations'!H$156*Functional!$H162+'Class Allocations'!H$160*Functional!$J162+'Class Allocations'!H$166*Functional!$K162+'Class Allocations'!H$172*Functional!$L162+'Class Allocations'!H$178*Functional!$M162+'Class Allocations'!H$184*Functional!$N162</f>
        <v>0</v>
      </c>
      <c r="J162" s="4">
        <f>'Class Allocations'!I$144*Functional!$F162+'Class Allocations'!I$148*Functional!$G162+'Class Allocations'!I$152*Functional!$I162+'Class Allocations'!I$156*Functional!$H162+'Class Allocations'!I$160*Functional!$J162+'Class Allocations'!I$166*Functional!$K162+'Class Allocations'!I$172*Functional!$L162+'Class Allocations'!I$178*Functional!$M162+'Class Allocations'!I$184*Functional!$N162</f>
        <v>0</v>
      </c>
      <c r="K162" s="4">
        <f>'Class Allocations'!J$144*Functional!$F162+'Class Allocations'!J$148*Functional!$G162+'Class Allocations'!J$152*Functional!$I162+'Class Allocations'!J$156*Functional!$H162+'Class Allocations'!J$160*Functional!$J162+'Class Allocations'!J$166*Functional!$K162+'Class Allocations'!J$172*Functional!$L162+'Class Allocations'!J$178*Functional!$M162+'Class Allocations'!J$184*Functional!$N162</f>
        <v>0</v>
      </c>
      <c r="L162" s="4">
        <f>'Class Allocations'!K$144*Functional!$F162+'Class Allocations'!K$148*Functional!$G162+'Class Allocations'!K$152*Functional!$I162+'Class Allocations'!K$156*Functional!$H162+'Class Allocations'!K$160*Functional!$J162+'Class Allocations'!K$166*Functional!$K162+'Class Allocations'!K$172*Functional!$L162+'Class Allocations'!K$178*Functional!$M162+'Class Allocations'!K$184*Functional!$N162</f>
        <v>0</v>
      </c>
      <c r="M162" s="4">
        <f>'Class Allocations'!L$144*Functional!$F162+'Class Allocations'!L$148*Functional!$G162+'Class Allocations'!L$152*Functional!$I162+'Class Allocations'!L$156*Functional!$H162+'Class Allocations'!L$160*Functional!$J162+'Class Allocations'!L$166*Functional!$K162+'Class Allocations'!L$172*Functional!$L162+'Class Allocations'!L$178*Functional!$M162+'Class Allocations'!L$184*Functional!$N162</f>
        <v>0</v>
      </c>
      <c r="N162" s="4">
        <f>'Class Allocations'!M$144*Functional!$F162+'Class Allocations'!M$148*Functional!$G162+'Class Allocations'!M$152*Functional!$I162+'Class Allocations'!M$156*Functional!$H162+'Class Allocations'!M$160*Functional!$J162+'Class Allocations'!M$166*Functional!$K162+'Class Allocations'!M$172*Functional!$L162+'Class Allocations'!M$178*Functional!$M162+'Class Allocations'!M$184*Functional!$N162+Functional!$P162</f>
        <v>0</v>
      </c>
      <c r="O162" s="4">
        <f>'Class Allocations'!N$144*Functional!$F162+'Class Allocations'!N$148*Functional!$G162+'Class Allocations'!N$152*Functional!$I162+'Class Allocations'!N$156*Functional!$H162+'Class Allocations'!N$160*Functional!$J162+'Class Allocations'!N$166*Functional!$K162+'Class Allocations'!N$172*Functional!$L162+'Class Allocations'!N$178*Functional!$M162+'Class Allocations'!N$184*Functional!$N162+Functional!$Q162</f>
        <v>0</v>
      </c>
      <c r="P162" s="4">
        <f t="shared" si="63"/>
        <v>0</v>
      </c>
      <c r="R162" s="124">
        <f t="shared" si="64"/>
        <v>0</v>
      </c>
      <c r="S162" s="124">
        <f t="shared" si="65"/>
        <v>0</v>
      </c>
    </row>
    <row r="163" spans="1:19">
      <c r="A163" s="117">
        <f>IF(ISBLANK(C163),"",MAX($A$155:$A162)+1)</f>
        <v>8</v>
      </c>
      <c r="B163" s="117">
        <v>856</v>
      </c>
      <c r="C163" s="169" t="s">
        <v>330</v>
      </c>
      <c r="E163" s="135">
        <f>Functional!$E163</f>
        <v>63026.282280066924</v>
      </c>
      <c r="F163" s="135">
        <f>'Class Allocations'!E$144*Functional!$F163+'Class Allocations'!E$148*Functional!$G163+'Class Allocations'!E$152*Functional!$I163+'Class Allocations'!E$156*Functional!$H163+'Class Allocations'!E$160*Functional!$J163+'Class Allocations'!E$166*Functional!$K163+'Class Allocations'!E$172*Functional!$L163+'Class Allocations'!E$178*Functional!$M163+'Class Allocations'!E$184*Functional!$N163+Functional!$O163</f>
        <v>20596.162384816169</v>
      </c>
      <c r="G163" s="135">
        <f>'Class Allocations'!F$144*Functional!$F163+'Class Allocations'!F$148*Functional!$G163+'Class Allocations'!F$152*Functional!$I163+'Class Allocations'!F$156*Functional!$H163+'Class Allocations'!F$160*Functional!$J163+'Class Allocations'!F$166*Functional!$K163+'Class Allocations'!F$172*Functional!$L163+'Class Allocations'!F$178*Functional!$M163+'Class Allocations'!F$184*Functional!$N163</f>
        <v>14224.713196091572</v>
      </c>
      <c r="H163" s="135">
        <f t="shared" si="60"/>
        <v>34820.875580907741</v>
      </c>
      <c r="I163" s="4">
        <f>'Class Allocations'!H$144*Functional!$F163+'Class Allocations'!H$148*Functional!$G163+'Class Allocations'!H$152*Functional!$I163+'Class Allocations'!H$156*Functional!$H163+'Class Allocations'!H$160*Functional!$J163+'Class Allocations'!H$166*Functional!$K163+'Class Allocations'!H$172*Functional!$L163+'Class Allocations'!H$178*Functional!$M163+'Class Allocations'!H$184*Functional!$N163</f>
        <v>2610.9174010431429</v>
      </c>
      <c r="J163" s="4">
        <f>'Class Allocations'!I$144*Functional!$F163+'Class Allocations'!I$148*Functional!$G163+'Class Allocations'!I$152*Functional!$I163+'Class Allocations'!I$156*Functional!$H163+'Class Allocations'!I$160*Functional!$J163+'Class Allocations'!I$166*Functional!$K163+'Class Allocations'!I$172*Functional!$L163+'Class Allocations'!I$178*Functional!$M163+'Class Allocations'!I$184*Functional!$N163</f>
        <v>852.74524452799506</v>
      </c>
      <c r="K163" s="4">
        <f>'Class Allocations'!J$144*Functional!$F163+'Class Allocations'!J$148*Functional!$G163+'Class Allocations'!J$152*Functional!$I163+'Class Allocations'!J$156*Functional!$H163+'Class Allocations'!J$160*Functional!$J163+'Class Allocations'!J$166*Functional!$K163+'Class Allocations'!J$172*Functional!$L163+'Class Allocations'!J$178*Functional!$M163+'Class Allocations'!J$184*Functional!$N163</f>
        <v>583.77399877940377</v>
      </c>
      <c r="L163" s="4">
        <f>'Class Allocations'!K$144*Functional!$F163+'Class Allocations'!K$148*Functional!$G163+'Class Allocations'!K$152*Functional!$I163+'Class Allocations'!K$156*Functional!$H163+'Class Allocations'!K$160*Functional!$J163+'Class Allocations'!K$166*Functional!$K163+'Class Allocations'!K$172*Functional!$L163+'Class Allocations'!K$178*Functional!$M163+'Class Allocations'!K$184*Functional!$N163</f>
        <v>9135.3299910656624</v>
      </c>
      <c r="M163" s="4">
        <f>'Class Allocations'!L$144*Functional!$F163+'Class Allocations'!L$148*Functional!$G163+'Class Allocations'!L$152*Functional!$I163+'Class Allocations'!L$156*Functional!$H163+'Class Allocations'!L$160*Functional!$J163+'Class Allocations'!L$166*Functional!$K163+'Class Allocations'!L$172*Functional!$L163+'Class Allocations'!L$178*Functional!$M163+'Class Allocations'!L$184*Functional!$N163</f>
        <v>5800.5992383382827</v>
      </c>
      <c r="N163" s="4">
        <f>'Class Allocations'!M$144*Functional!$F163+'Class Allocations'!M$148*Functional!$G163+'Class Allocations'!M$152*Functional!$I163+'Class Allocations'!M$156*Functional!$H163+'Class Allocations'!M$160*Functional!$J163+'Class Allocations'!M$166*Functional!$K163+'Class Allocations'!M$172*Functional!$L163+'Class Allocations'!M$178*Functional!$M163+'Class Allocations'!M$184*Functional!$N163+Functional!$P163</f>
        <v>9222.0408254046943</v>
      </c>
      <c r="O163" s="4">
        <f>'Class Allocations'!N$144*Functional!$F163+'Class Allocations'!N$148*Functional!$G163+'Class Allocations'!N$152*Functional!$I163+'Class Allocations'!N$156*Functional!$H163+'Class Allocations'!N$160*Functional!$J163+'Class Allocations'!N$166*Functional!$K163+'Class Allocations'!N$172*Functional!$L163+'Class Allocations'!N$178*Functional!$M163+'Class Allocations'!N$184*Functional!$N163+Functional!$Q163</f>
        <v>0</v>
      </c>
      <c r="P163" s="4">
        <f t="shared" si="63"/>
        <v>28205.406699159183</v>
      </c>
      <c r="R163" s="124">
        <f t="shared" si="64"/>
        <v>0</v>
      </c>
      <c r="S163" s="124">
        <f t="shared" si="65"/>
        <v>0</v>
      </c>
    </row>
    <row r="164" spans="1:19">
      <c r="A164" s="117">
        <f>IF(ISBLANK(C164),"",MAX($A$155:$A163)+1)</f>
        <v>9</v>
      </c>
      <c r="B164" s="117">
        <v>857</v>
      </c>
      <c r="C164" s="169" t="s">
        <v>331</v>
      </c>
      <c r="E164" s="135">
        <f>Functional!$E164</f>
        <v>12313.30793924924</v>
      </c>
      <c r="F164" s="135">
        <f>'Class Allocations'!E$144*Functional!$F164+'Class Allocations'!E$148*Functional!$G164+'Class Allocations'!E$152*Functional!$I164+'Class Allocations'!E$156*Functional!$H164+'Class Allocations'!E$160*Functional!$J164+'Class Allocations'!E$166*Functional!$K164+'Class Allocations'!E$172*Functional!$L164+'Class Allocations'!E$178*Functional!$M164+'Class Allocations'!E$184*Functional!$N164+Functional!$O164</f>
        <v>4023.8275309351498</v>
      </c>
      <c r="G164" s="135">
        <f>'Class Allocations'!F$144*Functional!$F164+'Class Allocations'!F$148*Functional!$G164+'Class Allocations'!F$152*Functional!$I164+'Class Allocations'!F$156*Functional!$H164+'Class Allocations'!F$160*Functional!$J164+'Class Allocations'!F$166*Functional!$K164+'Class Allocations'!F$172*Functional!$L164+'Class Allocations'!F$178*Functional!$M164+'Class Allocations'!F$184*Functional!$N164</f>
        <v>2779.0513353248007</v>
      </c>
      <c r="H164" s="135">
        <f t="shared" si="60"/>
        <v>6802.8788662599509</v>
      </c>
      <c r="I164" s="4">
        <f>'Class Allocations'!H$144*Functional!$F164+'Class Allocations'!H$148*Functional!$G164+'Class Allocations'!H$152*Functional!$I164+'Class Allocations'!H$156*Functional!$H164+'Class Allocations'!H$160*Functional!$J164+'Class Allocations'!H$166*Functional!$K164+'Class Allocations'!H$172*Functional!$L164+'Class Allocations'!H$178*Functional!$M164+'Class Allocations'!H$184*Functional!$N164</f>
        <v>510.08926435053542</v>
      </c>
      <c r="J164" s="4">
        <f>'Class Allocations'!I$144*Functional!$F164+'Class Allocations'!I$148*Functional!$G164+'Class Allocations'!I$152*Functional!$I164+'Class Allocations'!I$156*Functional!$H164+'Class Allocations'!I$160*Functional!$J164+'Class Allocations'!I$166*Functional!$K164+'Class Allocations'!I$172*Functional!$L164+'Class Allocations'!I$178*Functional!$M164+'Class Allocations'!I$184*Functional!$N164</f>
        <v>166.59898711690988</v>
      </c>
      <c r="K164" s="4">
        <f>'Class Allocations'!J$144*Functional!$F164+'Class Allocations'!J$148*Functional!$G164+'Class Allocations'!J$152*Functional!$I164+'Class Allocations'!J$156*Functional!$H164+'Class Allocations'!J$160*Functional!$J164+'Class Allocations'!J$166*Functional!$K164+'Class Allocations'!J$172*Functional!$L164+'Class Allocations'!J$178*Functional!$M164+'Class Allocations'!J$184*Functional!$N164</f>
        <v>114.05065877050929</v>
      </c>
      <c r="L164" s="4">
        <f>'Class Allocations'!K$144*Functional!$F164+'Class Allocations'!K$148*Functional!$G164+'Class Allocations'!K$152*Functional!$I164+'Class Allocations'!K$156*Functional!$H164+'Class Allocations'!K$160*Functional!$J164+'Class Allocations'!K$166*Functional!$K164+'Class Allocations'!K$172*Functional!$L164+'Class Allocations'!K$178*Functional!$M164+'Class Allocations'!K$184*Functional!$N164</f>
        <v>1784.7495875895261</v>
      </c>
      <c r="M164" s="4">
        <f>'Class Allocations'!L$144*Functional!$F164+'Class Allocations'!L$148*Functional!$G164+'Class Allocations'!L$152*Functional!$I164+'Class Allocations'!L$156*Functional!$H164+'Class Allocations'!L$160*Functional!$J164+'Class Allocations'!L$166*Functional!$K164+'Class Allocations'!L$172*Functional!$L164+'Class Allocations'!L$178*Functional!$M164+'Class Allocations'!L$184*Functional!$N164</f>
        <v>1133.2504801163409</v>
      </c>
      <c r="N164" s="4">
        <f>'Class Allocations'!M$144*Functional!$F164+'Class Allocations'!M$148*Functional!$G164+'Class Allocations'!M$152*Functional!$I164+'Class Allocations'!M$156*Functional!$H164+'Class Allocations'!M$160*Functional!$J164+'Class Allocations'!M$166*Functional!$K164+'Class Allocations'!M$172*Functional!$L164+'Class Allocations'!M$178*Functional!$M164+'Class Allocations'!M$184*Functional!$N164+Functional!$P164</f>
        <v>1801.6900950454674</v>
      </c>
      <c r="O164" s="4">
        <f>'Class Allocations'!N$144*Functional!$F164+'Class Allocations'!N$148*Functional!$G164+'Class Allocations'!N$152*Functional!$I164+'Class Allocations'!N$156*Functional!$H164+'Class Allocations'!N$160*Functional!$J164+'Class Allocations'!N$166*Functional!$K164+'Class Allocations'!N$172*Functional!$L164+'Class Allocations'!N$178*Functional!$M164+'Class Allocations'!N$184*Functional!$N164+Functional!$Q164</f>
        <v>0</v>
      </c>
      <c r="P164" s="4">
        <f t="shared" si="63"/>
        <v>5510.4290729892891</v>
      </c>
      <c r="R164" s="124">
        <f t="shared" si="64"/>
        <v>0</v>
      </c>
      <c r="S164" s="124">
        <f t="shared" si="65"/>
        <v>0</v>
      </c>
    </row>
    <row r="165" spans="1:19">
      <c r="A165" s="117">
        <f>IF(ISBLANK(C165),"",MAX($A$155:$A164)+1)</f>
        <v>10</v>
      </c>
      <c r="B165" s="117">
        <v>859</v>
      </c>
      <c r="C165" s="169" t="s">
        <v>146</v>
      </c>
      <c r="E165" s="135">
        <f>Functional!$E165</f>
        <v>63760.820262780602</v>
      </c>
      <c r="F165" s="135">
        <f>'Class Allocations'!E$144*Functional!$F165+'Class Allocations'!E$148*Functional!$G165+'Class Allocations'!E$152*Functional!$I165+'Class Allocations'!E$156*Functional!$H165+'Class Allocations'!E$160*Functional!$J165+'Class Allocations'!E$166*Functional!$K165+'Class Allocations'!E$172*Functional!$L165+'Class Allocations'!E$178*Functional!$M165+'Class Allocations'!E$184*Functional!$N165+Functional!$O165</f>
        <v>20836.199763231725</v>
      </c>
      <c r="G165" s="135">
        <f>'Class Allocations'!F$144*Functional!$F165+'Class Allocations'!F$148*Functional!$G165+'Class Allocations'!F$152*Functional!$I165+'Class Allocations'!F$156*Functional!$H165+'Class Allocations'!F$160*Functional!$J165+'Class Allocations'!F$166*Functional!$K165+'Class Allocations'!F$172*Functional!$L165+'Class Allocations'!F$178*Functional!$M165+'Class Allocations'!F$184*Functional!$N165</f>
        <v>14390.494704340908</v>
      </c>
      <c r="H165" s="135">
        <f t="shared" si="60"/>
        <v>35226.694467572634</v>
      </c>
      <c r="I165" s="4">
        <f>'Class Allocations'!H$144*Functional!$F165+'Class Allocations'!H$148*Functional!$G165+'Class Allocations'!H$152*Functional!$I165+'Class Allocations'!H$156*Functional!$H165+'Class Allocations'!H$160*Functional!$J165+'Class Allocations'!H$166*Functional!$K165+'Class Allocations'!H$172*Functional!$L165+'Class Allocations'!H$178*Functional!$M165+'Class Allocations'!H$184*Functional!$N165</f>
        <v>2641.3462623279029</v>
      </c>
      <c r="J165" s="4">
        <f>'Class Allocations'!I$144*Functional!$F165+'Class Allocations'!I$148*Functional!$G165+'Class Allocations'!I$152*Functional!$I165+'Class Allocations'!I$156*Functional!$H165+'Class Allocations'!I$160*Functional!$J165+'Class Allocations'!I$166*Functional!$K165+'Class Allocations'!I$172*Functional!$L165+'Class Allocations'!I$178*Functional!$M165+'Class Allocations'!I$184*Functional!$N165</f>
        <v>862.68353930002195</v>
      </c>
      <c r="K165" s="4">
        <f>'Class Allocations'!J$144*Functional!$F165+'Class Allocations'!J$148*Functional!$G165+'Class Allocations'!J$152*Functional!$I165+'Class Allocations'!J$156*Functional!$H165+'Class Allocations'!J$160*Functional!$J165+'Class Allocations'!J$166*Functional!$K165+'Class Allocations'!J$172*Functional!$L165+'Class Allocations'!J$178*Functional!$M165+'Class Allocations'!J$184*Functional!$N165</f>
        <v>590.57757595247358</v>
      </c>
      <c r="L165" s="4">
        <f>'Class Allocations'!K$144*Functional!$F165+'Class Allocations'!K$148*Functional!$G165+'Class Allocations'!K$152*Functional!$I165+'Class Allocations'!K$156*Functional!$H165+'Class Allocations'!K$160*Functional!$J165+'Class Allocations'!K$166*Functional!$K165+'Class Allocations'!K$172*Functional!$L165+'Class Allocations'!K$178*Functional!$M165+'Class Allocations'!K$184*Functional!$N165</f>
        <v>9241.7974300499754</v>
      </c>
      <c r="M165" s="4">
        <f>'Class Allocations'!L$144*Functional!$F165+'Class Allocations'!L$148*Functional!$G165+'Class Allocations'!L$152*Functional!$I165+'Class Allocations'!L$156*Functional!$H165+'Class Allocations'!L$160*Functional!$J165+'Class Allocations'!L$166*Functional!$K165+'Class Allocations'!L$172*Functional!$L165+'Class Allocations'!L$178*Functional!$M165+'Class Allocations'!L$184*Functional!$N165</f>
        <v>5868.2021542793846</v>
      </c>
      <c r="N165" s="4">
        <f>'Class Allocations'!M$144*Functional!$F165+'Class Allocations'!M$148*Functional!$G165+'Class Allocations'!M$152*Functional!$I165+'Class Allocations'!M$156*Functional!$H165+'Class Allocations'!M$160*Functional!$J165+'Class Allocations'!M$166*Functional!$K165+'Class Allocations'!M$172*Functional!$L165+'Class Allocations'!M$178*Functional!$M165+'Class Allocations'!M$184*Functional!$N165+Functional!$P165</f>
        <v>9329.5188332982088</v>
      </c>
      <c r="O165" s="4">
        <f>'Class Allocations'!N$144*Functional!$F165+'Class Allocations'!N$148*Functional!$G165+'Class Allocations'!N$152*Functional!$I165+'Class Allocations'!N$156*Functional!$H165+'Class Allocations'!N$160*Functional!$J165+'Class Allocations'!N$166*Functional!$K165+'Class Allocations'!N$172*Functional!$L165+'Class Allocations'!N$178*Functional!$M165+'Class Allocations'!N$184*Functional!$N165+Functional!$Q165</f>
        <v>0</v>
      </c>
      <c r="P165" s="4">
        <f t="shared" ref="P165:P166" si="66">SUM(I165:O165)</f>
        <v>28534.125795207969</v>
      </c>
      <c r="R165" s="124">
        <f t="shared" si="61"/>
        <v>0</v>
      </c>
      <c r="S165" s="124">
        <f t="shared" si="62"/>
        <v>0</v>
      </c>
    </row>
    <row r="166" spans="1:19">
      <c r="A166" s="117">
        <f>IF(ISBLANK(C166),"",MAX($A$155:$A165)+1)</f>
        <v>11</v>
      </c>
      <c r="B166" s="117">
        <v>860</v>
      </c>
      <c r="C166" s="169" t="s">
        <v>156</v>
      </c>
      <c r="E166" s="298">
        <f>Functional!$E166</f>
        <v>0</v>
      </c>
      <c r="F166" s="298">
        <f>'Class Allocations'!E$144*Functional!$F166+'Class Allocations'!E$148*Functional!$G166+'Class Allocations'!E$152*Functional!$I166+'Class Allocations'!E$156*Functional!$H166+'Class Allocations'!E$160*Functional!$J166+'Class Allocations'!E$166*Functional!$K166+'Class Allocations'!E$172*Functional!$L166+'Class Allocations'!E$178*Functional!$M166+'Class Allocations'!E$184*Functional!$N166+Functional!$O166</f>
        <v>0</v>
      </c>
      <c r="G166" s="298">
        <f>'Class Allocations'!F$144*Functional!$F166+'Class Allocations'!F$148*Functional!$G166+'Class Allocations'!F$152*Functional!$I166+'Class Allocations'!F$156*Functional!$H166+'Class Allocations'!F$160*Functional!$J166+'Class Allocations'!F$166*Functional!$K166+'Class Allocations'!F$172*Functional!$L166+'Class Allocations'!F$178*Functional!$M166+'Class Allocations'!F$184*Functional!$N166</f>
        <v>0</v>
      </c>
      <c r="H166" s="298">
        <f t="shared" si="60"/>
        <v>0</v>
      </c>
      <c r="I166" s="5">
        <f>'Class Allocations'!H$144*Functional!$F166+'Class Allocations'!H$148*Functional!$G166+'Class Allocations'!H$152*Functional!$I166+'Class Allocations'!H$156*Functional!$H166+'Class Allocations'!H$160*Functional!$J166+'Class Allocations'!H$166*Functional!$K166+'Class Allocations'!H$172*Functional!$L166+'Class Allocations'!H$178*Functional!$M166+'Class Allocations'!H$184*Functional!$N166</f>
        <v>0</v>
      </c>
      <c r="J166" s="5">
        <f>'Class Allocations'!I$144*Functional!$F166+'Class Allocations'!I$148*Functional!$G166+'Class Allocations'!I$152*Functional!$I166+'Class Allocations'!I$156*Functional!$H166+'Class Allocations'!I$160*Functional!$J166+'Class Allocations'!I$166*Functional!$K166+'Class Allocations'!I$172*Functional!$L166+'Class Allocations'!I$178*Functional!$M166+'Class Allocations'!I$184*Functional!$N166</f>
        <v>0</v>
      </c>
      <c r="K166" s="5">
        <f>'Class Allocations'!J$144*Functional!$F166+'Class Allocations'!J$148*Functional!$G166+'Class Allocations'!J$152*Functional!$I166+'Class Allocations'!J$156*Functional!$H166+'Class Allocations'!J$160*Functional!$J166+'Class Allocations'!J$166*Functional!$K166+'Class Allocations'!J$172*Functional!$L166+'Class Allocations'!J$178*Functional!$M166+'Class Allocations'!J$184*Functional!$N166</f>
        <v>0</v>
      </c>
      <c r="L166" s="5">
        <f>'Class Allocations'!K$144*Functional!$F166+'Class Allocations'!K$148*Functional!$G166+'Class Allocations'!K$152*Functional!$I166+'Class Allocations'!K$156*Functional!$H166+'Class Allocations'!K$160*Functional!$J166+'Class Allocations'!K$166*Functional!$K166+'Class Allocations'!K$172*Functional!$L166+'Class Allocations'!K$178*Functional!$M166+'Class Allocations'!K$184*Functional!$N166</f>
        <v>0</v>
      </c>
      <c r="M166" s="5">
        <f>'Class Allocations'!L$144*Functional!$F166+'Class Allocations'!L$148*Functional!$G166+'Class Allocations'!L$152*Functional!$I166+'Class Allocations'!L$156*Functional!$H166+'Class Allocations'!L$160*Functional!$J166+'Class Allocations'!L$166*Functional!$K166+'Class Allocations'!L$172*Functional!$L166+'Class Allocations'!L$178*Functional!$M166+'Class Allocations'!L$184*Functional!$N166</f>
        <v>0</v>
      </c>
      <c r="N166" s="5">
        <f>'Class Allocations'!M$144*Functional!$F166+'Class Allocations'!M$148*Functional!$G166+'Class Allocations'!M$152*Functional!$I166+'Class Allocations'!M$156*Functional!$H166+'Class Allocations'!M$160*Functional!$J166+'Class Allocations'!M$166*Functional!$K166+'Class Allocations'!M$172*Functional!$L166+'Class Allocations'!M$178*Functional!$M166+'Class Allocations'!M$184*Functional!$N166+Functional!$P166</f>
        <v>0</v>
      </c>
      <c r="O166" s="5">
        <f>'Class Allocations'!N$144*Functional!$F166+'Class Allocations'!N$148*Functional!$G166+'Class Allocations'!N$152*Functional!$I166+'Class Allocations'!N$156*Functional!$H166+'Class Allocations'!N$160*Functional!$J166+'Class Allocations'!N$166*Functional!$K166+'Class Allocations'!N$172*Functional!$L166+'Class Allocations'!N$178*Functional!$M166+'Class Allocations'!N$184*Functional!$N166+Functional!$Q166</f>
        <v>0</v>
      </c>
      <c r="P166" s="5">
        <f t="shared" si="66"/>
        <v>0</v>
      </c>
      <c r="R166" s="124">
        <f t="shared" si="61"/>
        <v>0</v>
      </c>
      <c r="S166" s="124">
        <f t="shared" si="62"/>
        <v>0</v>
      </c>
    </row>
    <row r="167" spans="1:19">
      <c r="A167" s="117">
        <f>IF(ISBLANK(C167),"",MAX($A$155:$A166)+1)</f>
        <v>12</v>
      </c>
      <c r="B167" s="117"/>
      <c r="C167" s="174" t="str">
        <f>Functional!$C167</f>
        <v>Total Operation</v>
      </c>
      <c r="E167" s="135">
        <f t="shared" ref="E167:P167" si="67">SUM(E159:E166)</f>
        <v>338723.63113306742</v>
      </c>
      <c r="F167" s="135">
        <f t="shared" si="67"/>
        <v>110679.50694491602</v>
      </c>
      <c r="G167" s="135">
        <f t="shared" si="67"/>
        <v>76446.969538238904</v>
      </c>
      <c r="H167" s="135">
        <f t="shared" si="67"/>
        <v>187126.47648315493</v>
      </c>
      <c r="I167" s="4">
        <f t="shared" si="67"/>
        <v>14068.821613444798</v>
      </c>
      <c r="J167" s="4">
        <f t="shared" si="67"/>
        <v>4590.3835336323773</v>
      </c>
      <c r="K167" s="4">
        <f t="shared" si="67"/>
        <v>3145.642312588448</v>
      </c>
      <c r="L167" s="4">
        <f t="shared" si="67"/>
        <v>49167.896998309494</v>
      </c>
      <c r="M167" s="4">
        <f t="shared" si="67"/>
        <v>31233.42690156008</v>
      </c>
      <c r="N167" s="4">
        <f t="shared" si="67"/>
        <v>49390.983290377277</v>
      </c>
      <c r="O167" s="4">
        <f t="shared" si="67"/>
        <v>0</v>
      </c>
      <c r="P167" s="4">
        <f t="shared" si="67"/>
        <v>151597.15464991247</v>
      </c>
      <c r="R167" s="124">
        <f t="shared" si="61"/>
        <v>0</v>
      </c>
      <c r="S167" s="124">
        <f t="shared" si="62"/>
        <v>0</v>
      </c>
    </row>
    <row r="168" spans="1:19">
      <c r="A168" s="117" t="str">
        <f>IF(ISBLANK(C168),"",MAX($A$155:$A167)+1)</f>
        <v/>
      </c>
      <c r="B168" s="117"/>
      <c r="E168" s="135"/>
      <c r="F168" s="135"/>
      <c r="G168" s="135"/>
      <c r="H168" s="135"/>
      <c r="I168" s="4"/>
      <c r="J168" s="4"/>
      <c r="K168" s="4"/>
      <c r="L168" s="4"/>
      <c r="M168" s="4"/>
      <c r="N168" s="4"/>
      <c r="O168" s="4"/>
      <c r="P168" s="4"/>
      <c r="R168" s="124"/>
      <c r="S168" s="124">
        <f t="shared" si="62"/>
        <v>0</v>
      </c>
    </row>
    <row r="169" spans="1:19">
      <c r="A169" s="117">
        <f>IF(ISBLANK(C169),"",MAX($A$155:$A168)+1)</f>
        <v>13</v>
      </c>
      <c r="B169" s="117"/>
      <c r="C169" s="140" t="str">
        <f>Functional!$C169</f>
        <v>Maintenance</v>
      </c>
      <c r="E169" s="135"/>
      <c r="F169" s="135"/>
      <c r="G169" s="135"/>
      <c r="H169" s="135"/>
      <c r="I169" s="4"/>
      <c r="J169" s="4"/>
      <c r="K169" s="4"/>
      <c r="L169" s="4"/>
      <c r="M169" s="4"/>
      <c r="N169" s="4"/>
      <c r="O169" s="4"/>
      <c r="P169" s="4"/>
      <c r="R169" s="124"/>
      <c r="S169" s="124">
        <f t="shared" si="62"/>
        <v>0</v>
      </c>
    </row>
    <row r="170" spans="1:19">
      <c r="A170" s="117">
        <f>IF(ISBLANK(C170),"",MAX($A$155:$A169)+1)</f>
        <v>14</v>
      </c>
      <c r="B170" s="117">
        <v>861</v>
      </c>
      <c r="C170" s="169" t="s">
        <v>145</v>
      </c>
      <c r="E170" s="135">
        <f>Functional!$E170</f>
        <v>16567.326580000004</v>
      </c>
      <c r="F170" s="135">
        <f>'Class Allocations'!E$144*Functional!$F170+'Class Allocations'!E$148*Functional!$G170+'Class Allocations'!E$152*Functional!$I170+'Class Allocations'!E$156*Functional!$H170+'Class Allocations'!E$160*Functional!$J170+'Class Allocations'!E$166*Functional!$K170+'Class Allocations'!E$172*Functional!$L170+'Class Allocations'!E$178*Functional!$M170+'Class Allocations'!E$184*Functional!$N170+Functional!$O170</f>
        <v>5413.9850262416403</v>
      </c>
      <c r="G170" s="135">
        <f>'Class Allocations'!F$144*Functional!$F170+'Class Allocations'!F$148*Functional!$G170+'Class Allocations'!F$152*Functional!$I170+'Class Allocations'!F$156*Functional!$H170+'Class Allocations'!F$160*Functional!$J170+'Class Allocations'!F$166*Functional!$K170+'Class Allocations'!F$172*Functional!$L170+'Class Allocations'!F$178*Functional!$M170+'Class Allocations'!F$184*Functional!$N170</f>
        <v>3739.1618306037653</v>
      </c>
      <c r="H170" s="135">
        <f t="shared" ref="H170:H176" si="68">SUM(F170:G170)</f>
        <v>9153.1468568454056</v>
      </c>
      <c r="I170" s="4">
        <f>'Class Allocations'!H$144*Functional!$F170+'Class Allocations'!H$148*Functional!$G170+'Class Allocations'!H$152*Functional!$I170+'Class Allocations'!H$156*Functional!$H170+'Class Allocations'!H$160*Functional!$J170+'Class Allocations'!H$166*Functional!$K170+'Class Allocations'!H$172*Functional!$L170+'Class Allocations'!H$178*Functional!$M170+'Class Allocations'!H$184*Functional!$N170</f>
        <v>686.31560821360654</v>
      </c>
      <c r="J170" s="4">
        <f>'Class Allocations'!I$144*Functional!$F170+'Class Allocations'!I$148*Functional!$G170+'Class Allocations'!I$152*Functional!$I170+'Class Allocations'!I$156*Functional!$H170+'Class Allocations'!I$160*Functional!$J170+'Class Allocations'!I$166*Functional!$K170+'Class Allocations'!I$172*Functional!$L170+'Class Allocations'!I$178*Functional!$M170+'Class Allocations'!I$184*Functional!$N170</f>
        <v>224.15583538401677</v>
      </c>
      <c r="K170" s="4">
        <f>'Class Allocations'!J$144*Functional!$F170+'Class Allocations'!J$148*Functional!$G170+'Class Allocations'!J$152*Functional!$I170+'Class Allocations'!J$156*Functional!$H170+'Class Allocations'!J$160*Functional!$J170+'Class Allocations'!J$166*Functional!$K170+'Class Allocations'!J$172*Functional!$L170+'Class Allocations'!J$178*Functional!$M170+'Class Allocations'!J$184*Functional!$N170</f>
        <v>153.45303795191003</v>
      </c>
      <c r="L170" s="4">
        <f>'Class Allocations'!K$144*Functional!$F170+'Class Allocations'!K$148*Functional!$G170+'Class Allocations'!K$152*Functional!$I170+'Class Allocations'!K$156*Functional!$H170+'Class Allocations'!K$160*Functional!$J170+'Class Allocations'!K$166*Functional!$K170+'Class Allocations'!K$172*Functional!$L170+'Class Allocations'!K$178*Functional!$M170+'Class Allocations'!K$184*Functional!$N170</f>
        <v>2401.3473411856244</v>
      </c>
      <c r="M170" s="4">
        <f>'Class Allocations'!L$144*Functional!$F170+'Class Allocations'!L$148*Functional!$G170+'Class Allocations'!L$152*Functional!$I170+'Class Allocations'!L$156*Functional!$H170+'Class Allocations'!L$160*Functional!$J170+'Class Allocations'!L$166*Functional!$K170+'Class Allocations'!L$172*Functional!$L170+'Class Allocations'!L$178*Functional!$M170+'Class Allocations'!L$184*Functional!$N170</f>
        <v>1524.7674218544682</v>
      </c>
      <c r="N170" s="4">
        <f>'Class Allocations'!M$144*Functional!$F170+'Class Allocations'!M$148*Functional!$G170+'Class Allocations'!M$152*Functional!$I170+'Class Allocations'!M$156*Functional!$H170+'Class Allocations'!M$160*Functional!$J170+'Class Allocations'!M$166*Functional!$K170+'Class Allocations'!M$172*Functional!$L170+'Class Allocations'!M$178*Functional!$M170+'Class Allocations'!M$184*Functional!$N170+Functional!$P170</f>
        <v>2424.1404785649706</v>
      </c>
      <c r="O170" s="4">
        <f>'Class Allocations'!N$144*Functional!$F170+'Class Allocations'!N$148*Functional!$G170+'Class Allocations'!N$152*Functional!$I170+'Class Allocations'!N$156*Functional!$H170+'Class Allocations'!N$160*Functional!$J170+'Class Allocations'!N$166*Functional!$K170+'Class Allocations'!N$172*Functional!$L170+'Class Allocations'!N$178*Functional!$M170+'Class Allocations'!N$184*Functional!$N170+Functional!$Q170</f>
        <v>0</v>
      </c>
      <c r="P170" s="4">
        <f t="shared" ref="P170" si="69">SUM(I170:O170)</f>
        <v>7414.179723154597</v>
      </c>
      <c r="R170" s="124">
        <f t="shared" si="61"/>
        <v>0</v>
      </c>
      <c r="S170" s="124">
        <f t="shared" si="62"/>
        <v>0</v>
      </c>
    </row>
    <row r="171" spans="1:19">
      <c r="A171" s="117">
        <f>IF(ISBLANK(C171),"",MAX($A$155:$A170)+1)</f>
        <v>15</v>
      </c>
      <c r="B171" s="117">
        <v>862</v>
      </c>
      <c r="C171" s="169" t="s">
        <v>136</v>
      </c>
      <c r="E171" s="135">
        <f>Functional!$E171</f>
        <v>0</v>
      </c>
      <c r="F171" s="135">
        <f>'Class Allocations'!E$144*Functional!$F171+'Class Allocations'!E$148*Functional!$G171+'Class Allocations'!E$152*Functional!$I171+'Class Allocations'!E$156*Functional!$H171+'Class Allocations'!E$160*Functional!$J171+'Class Allocations'!E$166*Functional!$K171+'Class Allocations'!E$172*Functional!$L171+'Class Allocations'!E$178*Functional!$M171+'Class Allocations'!E$184*Functional!$N171+Functional!$O171</f>
        <v>0</v>
      </c>
      <c r="G171" s="135">
        <f>'Class Allocations'!F$144*Functional!$F171+'Class Allocations'!F$148*Functional!$G171+'Class Allocations'!F$152*Functional!$I171+'Class Allocations'!F$156*Functional!$H171+'Class Allocations'!F$160*Functional!$J171+'Class Allocations'!F$166*Functional!$K171+'Class Allocations'!F$172*Functional!$L171+'Class Allocations'!F$178*Functional!$M171+'Class Allocations'!F$184*Functional!$N171</f>
        <v>0</v>
      </c>
      <c r="H171" s="135">
        <f t="shared" si="68"/>
        <v>0</v>
      </c>
      <c r="I171" s="4">
        <f>'Class Allocations'!H$144*Functional!$F171+'Class Allocations'!H$148*Functional!$G171+'Class Allocations'!H$152*Functional!$I171+'Class Allocations'!H$156*Functional!$H171+'Class Allocations'!H$160*Functional!$J171+'Class Allocations'!H$166*Functional!$K171+'Class Allocations'!H$172*Functional!$L171+'Class Allocations'!H$178*Functional!$M171+'Class Allocations'!H$184*Functional!$N171</f>
        <v>0</v>
      </c>
      <c r="J171" s="4">
        <f>'Class Allocations'!I$144*Functional!$F171+'Class Allocations'!I$148*Functional!$G171+'Class Allocations'!I$152*Functional!$I171+'Class Allocations'!I$156*Functional!$H171+'Class Allocations'!I$160*Functional!$J171+'Class Allocations'!I$166*Functional!$K171+'Class Allocations'!I$172*Functional!$L171+'Class Allocations'!I$178*Functional!$M171+'Class Allocations'!I$184*Functional!$N171</f>
        <v>0</v>
      </c>
      <c r="K171" s="4">
        <f>'Class Allocations'!J$144*Functional!$F171+'Class Allocations'!J$148*Functional!$G171+'Class Allocations'!J$152*Functional!$I171+'Class Allocations'!J$156*Functional!$H171+'Class Allocations'!J$160*Functional!$J171+'Class Allocations'!J$166*Functional!$K171+'Class Allocations'!J$172*Functional!$L171+'Class Allocations'!J$178*Functional!$M171+'Class Allocations'!J$184*Functional!$N171</f>
        <v>0</v>
      </c>
      <c r="L171" s="4">
        <f>'Class Allocations'!K$144*Functional!$F171+'Class Allocations'!K$148*Functional!$G171+'Class Allocations'!K$152*Functional!$I171+'Class Allocations'!K$156*Functional!$H171+'Class Allocations'!K$160*Functional!$J171+'Class Allocations'!K$166*Functional!$K171+'Class Allocations'!K$172*Functional!$L171+'Class Allocations'!K$178*Functional!$M171+'Class Allocations'!K$184*Functional!$N171</f>
        <v>0</v>
      </c>
      <c r="M171" s="4">
        <f>'Class Allocations'!L$144*Functional!$F171+'Class Allocations'!L$148*Functional!$G171+'Class Allocations'!L$152*Functional!$I171+'Class Allocations'!L$156*Functional!$H171+'Class Allocations'!L$160*Functional!$J171+'Class Allocations'!L$166*Functional!$K171+'Class Allocations'!L$172*Functional!$L171+'Class Allocations'!L$178*Functional!$M171+'Class Allocations'!L$184*Functional!$N171</f>
        <v>0</v>
      </c>
      <c r="N171" s="4">
        <f>'Class Allocations'!M$144*Functional!$F171+'Class Allocations'!M$148*Functional!$G171+'Class Allocations'!M$152*Functional!$I171+'Class Allocations'!M$156*Functional!$H171+'Class Allocations'!M$160*Functional!$J171+'Class Allocations'!M$166*Functional!$K171+'Class Allocations'!M$172*Functional!$L171+'Class Allocations'!M$178*Functional!$M171+'Class Allocations'!M$184*Functional!$N171+Functional!$P171</f>
        <v>0</v>
      </c>
      <c r="O171" s="4">
        <f>'Class Allocations'!N$144*Functional!$F171+'Class Allocations'!N$148*Functional!$G171+'Class Allocations'!N$152*Functional!$I171+'Class Allocations'!N$156*Functional!$H171+'Class Allocations'!N$160*Functional!$J171+'Class Allocations'!N$166*Functional!$K171+'Class Allocations'!N$172*Functional!$L171+'Class Allocations'!N$178*Functional!$M171+'Class Allocations'!N$184*Functional!$N171+Functional!$Q171</f>
        <v>0</v>
      </c>
      <c r="P171" s="4">
        <f t="shared" ref="P171:P176" si="70">SUM(I171:O171)</f>
        <v>0</v>
      </c>
      <c r="R171" s="124">
        <f t="shared" si="61"/>
        <v>0</v>
      </c>
      <c r="S171" s="124"/>
    </row>
    <row r="172" spans="1:19">
      <c r="A172" s="117">
        <f>IF(ISBLANK(C172),"",MAX($A$155:$A171)+1)</f>
        <v>16</v>
      </c>
      <c r="B172" s="117">
        <v>863</v>
      </c>
      <c r="C172" s="169" t="s">
        <v>137</v>
      </c>
      <c r="E172" s="135">
        <f>Functional!$E172</f>
        <v>3264.8465267218544</v>
      </c>
      <c r="F172" s="135">
        <f>'Class Allocations'!E$144*Functional!$F172+'Class Allocations'!E$148*Functional!$G172+'Class Allocations'!E$152*Functional!$I172+'Class Allocations'!E$156*Functional!$H172+'Class Allocations'!E$160*Functional!$J172+'Class Allocations'!E$166*Functional!$K172+'Class Allocations'!E$172*Functional!$L172+'Class Allocations'!E$178*Functional!$M172+'Class Allocations'!E$184*Functional!$N172+Functional!$O172</f>
        <v>1066.9090226052117</v>
      </c>
      <c r="G172" s="135">
        <f>'Class Allocations'!F$144*Functional!$F172+'Class Allocations'!F$148*Functional!$G172+'Class Allocations'!F$152*Functional!$I172+'Class Allocations'!F$156*Functional!$H172+'Class Allocations'!F$160*Functional!$J172+'Class Allocations'!F$166*Functional!$K172+'Class Allocations'!F$172*Functional!$L172+'Class Allocations'!F$178*Functional!$M172+'Class Allocations'!F$184*Functional!$N172</f>
        <v>736.85935123864942</v>
      </c>
      <c r="H172" s="135">
        <f t="shared" si="68"/>
        <v>1803.7683738438611</v>
      </c>
      <c r="I172" s="4">
        <f>'Class Allocations'!H$144*Functional!$F172+'Class Allocations'!H$148*Functional!$G172+'Class Allocations'!H$152*Functional!$I172+'Class Allocations'!H$156*Functional!$H172+'Class Allocations'!H$160*Functional!$J172+'Class Allocations'!H$166*Functional!$K172+'Class Allocations'!H$172*Functional!$L172+'Class Allocations'!H$178*Functional!$M172+'Class Allocations'!H$184*Functional!$N172</f>
        <v>135.24904690513983</v>
      </c>
      <c r="J172" s="4">
        <f>'Class Allocations'!I$144*Functional!$F172+'Class Allocations'!I$148*Functional!$G172+'Class Allocations'!I$152*Functional!$I172+'Class Allocations'!I$156*Functional!$H172+'Class Allocations'!I$160*Functional!$J172+'Class Allocations'!I$166*Functional!$K172+'Class Allocations'!I$172*Functional!$L172+'Class Allocations'!I$178*Functional!$M172+'Class Allocations'!I$184*Functional!$N172</f>
        <v>44.173355131503826</v>
      </c>
      <c r="K172" s="4">
        <f>'Class Allocations'!J$144*Functional!$F172+'Class Allocations'!J$148*Functional!$G172+'Class Allocations'!J$152*Functional!$I172+'Class Allocations'!J$156*Functional!$H172+'Class Allocations'!J$160*Functional!$J172+'Class Allocations'!J$166*Functional!$K172+'Class Allocations'!J$172*Functional!$L172+'Class Allocations'!J$178*Functional!$M172+'Class Allocations'!J$184*Functional!$N172</f>
        <v>30.24028140889164</v>
      </c>
      <c r="L172" s="4">
        <f>'Class Allocations'!K$144*Functional!$F172+'Class Allocations'!K$148*Functional!$G172+'Class Allocations'!K$152*Functional!$I172+'Class Allocations'!K$156*Functional!$H172+'Class Allocations'!K$160*Functional!$J172+'Class Allocations'!K$166*Functional!$K172+'Class Allocations'!K$172*Functional!$L172+'Class Allocations'!K$178*Functional!$M172+'Class Allocations'!K$184*Functional!$N172</f>
        <v>473.22242900596245</v>
      </c>
      <c r="M172" s="4">
        <f>'Class Allocations'!L$144*Functional!$F172+'Class Allocations'!L$148*Functional!$G172+'Class Allocations'!L$152*Functional!$I172+'Class Allocations'!L$156*Functional!$H172+'Class Allocations'!L$160*Functional!$J172+'Class Allocations'!L$166*Functional!$K172+'Class Allocations'!L$172*Functional!$L172+'Class Allocations'!L$178*Functional!$M172+'Class Allocations'!L$184*Functional!$N172</f>
        <v>300.47887311582144</v>
      </c>
      <c r="N172" s="4">
        <f>'Class Allocations'!M$144*Functional!$F172+'Class Allocations'!M$148*Functional!$G172+'Class Allocations'!M$152*Functional!$I172+'Class Allocations'!M$156*Functional!$H172+'Class Allocations'!M$160*Functional!$J172+'Class Allocations'!M$166*Functional!$K172+'Class Allocations'!M$172*Functional!$L172+'Class Allocations'!M$178*Functional!$M172+'Class Allocations'!M$184*Functional!$N172+Functional!$P172</f>
        <v>477.71416731067399</v>
      </c>
      <c r="O172" s="4">
        <f>'Class Allocations'!N$144*Functional!$F172+'Class Allocations'!N$148*Functional!$G172+'Class Allocations'!N$152*Functional!$I172+'Class Allocations'!N$156*Functional!$H172+'Class Allocations'!N$160*Functional!$J172+'Class Allocations'!N$166*Functional!$K172+'Class Allocations'!N$172*Functional!$L172+'Class Allocations'!N$178*Functional!$M172+'Class Allocations'!N$184*Functional!$N172+Functional!$Q172</f>
        <v>0</v>
      </c>
      <c r="P172" s="4">
        <f t="shared" si="70"/>
        <v>1461.0781528779933</v>
      </c>
      <c r="R172" s="124">
        <f t="shared" si="61"/>
        <v>0</v>
      </c>
      <c r="S172" s="124">
        <f t="shared" si="62"/>
        <v>0</v>
      </c>
    </row>
    <row r="173" spans="1:19">
      <c r="A173" s="117">
        <f>IF(ISBLANK(C173),"",MAX($A$155:$A172)+1)</f>
        <v>17</v>
      </c>
      <c r="B173" s="117">
        <v>864</v>
      </c>
      <c r="C173" s="169" t="s">
        <v>589</v>
      </c>
      <c r="E173" s="135">
        <f>Functional!$E173</f>
        <v>0</v>
      </c>
      <c r="F173" s="135">
        <f>'Class Allocations'!E$144*Functional!$F173+'Class Allocations'!E$148*Functional!$G173+'Class Allocations'!E$152*Functional!$I173+'Class Allocations'!E$156*Functional!$H173+'Class Allocations'!E$160*Functional!$J173+'Class Allocations'!E$166*Functional!$K173+'Class Allocations'!E$172*Functional!$L173+'Class Allocations'!E$178*Functional!$M173+'Class Allocations'!E$184*Functional!$N173+Functional!$O173</f>
        <v>0</v>
      </c>
      <c r="G173" s="135">
        <f>'Class Allocations'!F$144*Functional!$F173+'Class Allocations'!F$148*Functional!$G173+'Class Allocations'!F$152*Functional!$I173+'Class Allocations'!F$156*Functional!$H173+'Class Allocations'!F$160*Functional!$J173+'Class Allocations'!F$166*Functional!$K173+'Class Allocations'!F$172*Functional!$L173+'Class Allocations'!F$178*Functional!$M173+'Class Allocations'!F$184*Functional!$N173</f>
        <v>0</v>
      </c>
      <c r="H173" s="135">
        <f t="shared" si="68"/>
        <v>0</v>
      </c>
      <c r="I173" s="4">
        <f>'Class Allocations'!H$144*Functional!$F173+'Class Allocations'!H$148*Functional!$G173+'Class Allocations'!H$152*Functional!$I173+'Class Allocations'!H$156*Functional!$H173+'Class Allocations'!H$160*Functional!$J173+'Class Allocations'!H$166*Functional!$K173+'Class Allocations'!H$172*Functional!$L173+'Class Allocations'!H$178*Functional!$M173+'Class Allocations'!H$184*Functional!$N173</f>
        <v>0</v>
      </c>
      <c r="J173" s="4">
        <f>'Class Allocations'!I$144*Functional!$F173+'Class Allocations'!I$148*Functional!$G173+'Class Allocations'!I$152*Functional!$I173+'Class Allocations'!I$156*Functional!$H173+'Class Allocations'!I$160*Functional!$J173+'Class Allocations'!I$166*Functional!$K173+'Class Allocations'!I$172*Functional!$L173+'Class Allocations'!I$178*Functional!$M173+'Class Allocations'!I$184*Functional!$N173</f>
        <v>0</v>
      </c>
      <c r="K173" s="4">
        <f>'Class Allocations'!J$144*Functional!$F173+'Class Allocations'!J$148*Functional!$G173+'Class Allocations'!J$152*Functional!$I173+'Class Allocations'!J$156*Functional!$H173+'Class Allocations'!J$160*Functional!$J173+'Class Allocations'!J$166*Functional!$K173+'Class Allocations'!J$172*Functional!$L173+'Class Allocations'!J$178*Functional!$M173+'Class Allocations'!J$184*Functional!$N173</f>
        <v>0</v>
      </c>
      <c r="L173" s="4">
        <f>'Class Allocations'!K$144*Functional!$F173+'Class Allocations'!K$148*Functional!$G173+'Class Allocations'!K$152*Functional!$I173+'Class Allocations'!K$156*Functional!$H173+'Class Allocations'!K$160*Functional!$J173+'Class Allocations'!K$166*Functional!$K173+'Class Allocations'!K$172*Functional!$L173+'Class Allocations'!K$178*Functional!$M173+'Class Allocations'!K$184*Functional!$N173</f>
        <v>0</v>
      </c>
      <c r="M173" s="4">
        <f>'Class Allocations'!L$144*Functional!$F173+'Class Allocations'!L$148*Functional!$G173+'Class Allocations'!L$152*Functional!$I173+'Class Allocations'!L$156*Functional!$H173+'Class Allocations'!L$160*Functional!$J173+'Class Allocations'!L$166*Functional!$K173+'Class Allocations'!L$172*Functional!$L173+'Class Allocations'!L$178*Functional!$M173+'Class Allocations'!L$184*Functional!$N173</f>
        <v>0</v>
      </c>
      <c r="N173" s="4">
        <f>'Class Allocations'!M$144*Functional!$F173+'Class Allocations'!M$148*Functional!$G173+'Class Allocations'!M$152*Functional!$I173+'Class Allocations'!M$156*Functional!$H173+'Class Allocations'!M$160*Functional!$J173+'Class Allocations'!M$166*Functional!$K173+'Class Allocations'!M$172*Functional!$L173+'Class Allocations'!M$178*Functional!$M173+'Class Allocations'!M$184*Functional!$N173+Functional!$P173</f>
        <v>0</v>
      </c>
      <c r="O173" s="4">
        <f>'Class Allocations'!N$144*Functional!$F173+'Class Allocations'!N$148*Functional!$G173+'Class Allocations'!N$152*Functional!$I173+'Class Allocations'!N$156*Functional!$H173+'Class Allocations'!N$160*Functional!$J173+'Class Allocations'!N$166*Functional!$K173+'Class Allocations'!N$172*Functional!$L173+'Class Allocations'!N$178*Functional!$M173+'Class Allocations'!N$184*Functional!$N173+Functional!$Q173</f>
        <v>0</v>
      </c>
      <c r="P173" s="4">
        <f t="shared" si="70"/>
        <v>0</v>
      </c>
      <c r="R173" s="124">
        <f t="shared" si="61"/>
        <v>0</v>
      </c>
      <c r="S173" s="124"/>
    </row>
    <row r="174" spans="1:19">
      <c r="A174" s="117">
        <f>IF(ISBLANK(C174),"",MAX($A$155:$A173)+1)</f>
        <v>18</v>
      </c>
      <c r="B174" s="117">
        <v>865</v>
      </c>
      <c r="C174" s="169" t="s">
        <v>590</v>
      </c>
      <c r="E174" s="135">
        <f>Functional!$E174</f>
        <v>0</v>
      </c>
      <c r="F174" s="135">
        <f>'Class Allocations'!E$144*Functional!$F174+'Class Allocations'!E$148*Functional!$G174+'Class Allocations'!E$152*Functional!$I174+'Class Allocations'!E$156*Functional!$H174+'Class Allocations'!E$160*Functional!$J174+'Class Allocations'!E$166*Functional!$K174+'Class Allocations'!E$172*Functional!$L174+'Class Allocations'!E$178*Functional!$M174+'Class Allocations'!E$184*Functional!$N174+Functional!$O174</f>
        <v>0</v>
      </c>
      <c r="G174" s="135">
        <f>'Class Allocations'!F$144*Functional!$F174+'Class Allocations'!F$148*Functional!$G174+'Class Allocations'!F$152*Functional!$I174+'Class Allocations'!F$156*Functional!$H174+'Class Allocations'!F$160*Functional!$J174+'Class Allocations'!F$166*Functional!$K174+'Class Allocations'!F$172*Functional!$L174+'Class Allocations'!F$178*Functional!$M174+'Class Allocations'!F$184*Functional!$N174</f>
        <v>0</v>
      </c>
      <c r="H174" s="135">
        <f t="shared" si="68"/>
        <v>0</v>
      </c>
      <c r="I174" s="4">
        <f>'Class Allocations'!H$144*Functional!$F174+'Class Allocations'!H$148*Functional!$G174+'Class Allocations'!H$152*Functional!$I174+'Class Allocations'!H$156*Functional!$H174+'Class Allocations'!H$160*Functional!$J174+'Class Allocations'!H$166*Functional!$K174+'Class Allocations'!H$172*Functional!$L174+'Class Allocations'!H$178*Functional!$M174+'Class Allocations'!H$184*Functional!$N174</f>
        <v>0</v>
      </c>
      <c r="J174" s="4">
        <f>'Class Allocations'!I$144*Functional!$F174+'Class Allocations'!I$148*Functional!$G174+'Class Allocations'!I$152*Functional!$I174+'Class Allocations'!I$156*Functional!$H174+'Class Allocations'!I$160*Functional!$J174+'Class Allocations'!I$166*Functional!$K174+'Class Allocations'!I$172*Functional!$L174+'Class Allocations'!I$178*Functional!$M174+'Class Allocations'!I$184*Functional!$N174</f>
        <v>0</v>
      </c>
      <c r="K174" s="4">
        <f>'Class Allocations'!J$144*Functional!$F174+'Class Allocations'!J$148*Functional!$G174+'Class Allocations'!J$152*Functional!$I174+'Class Allocations'!J$156*Functional!$H174+'Class Allocations'!J$160*Functional!$J174+'Class Allocations'!J$166*Functional!$K174+'Class Allocations'!J$172*Functional!$L174+'Class Allocations'!J$178*Functional!$M174+'Class Allocations'!J$184*Functional!$N174</f>
        <v>0</v>
      </c>
      <c r="L174" s="4">
        <f>'Class Allocations'!K$144*Functional!$F174+'Class Allocations'!K$148*Functional!$G174+'Class Allocations'!K$152*Functional!$I174+'Class Allocations'!K$156*Functional!$H174+'Class Allocations'!K$160*Functional!$J174+'Class Allocations'!K$166*Functional!$K174+'Class Allocations'!K$172*Functional!$L174+'Class Allocations'!K$178*Functional!$M174+'Class Allocations'!K$184*Functional!$N174</f>
        <v>0</v>
      </c>
      <c r="M174" s="4">
        <f>'Class Allocations'!L$144*Functional!$F174+'Class Allocations'!L$148*Functional!$G174+'Class Allocations'!L$152*Functional!$I174+'Class Allocations'!L$156*Functional!$H174+'Class Allocations'!L$160*Functional!$J174+'Class Allocations'!L$166*Functional!$K174+'Class Allocations'!L$172*Functional!$L174+'Class Allocations'!L$178*Functional!$M174+'Class Allocations'!L$184*Functional!$N174</f>
        <v>0</v>
      </c>
      <c r="N174" s="4">
        <f>'Class Allocations'!M$144*Functional!$F174+'Class Allocations'!M$148*Functional!$G174+'Class Allocations'!M$152*Functional!$I174+'Class Allocations'!M$156*Functional!$H174+'Class Allocations'!M$160*Functional!$J174+'Class Allocations'!M$166*Functional!$K174+'Class Allocations'!M$172*Functional!$L174+'Class Allocations'!M$178*Functional!$M174+'Class Allocations'!M$184*Functional!$N174+Functional!$P174</f>
        <v>0</v>
      </c>
      <c r="O174" s="4">
        <f>'Class Allocations'!N$144*Functional!$F174+'Class Allocations'!N$148*Functional!$G174+'Class Allocations'!N$152*Functional!$I174+'Class Allocations'!N$156*Functional!$H174+'Class Allocations'!N$160*Functional!$J174+'Class Allocations'!N$166*Functional!$K174+'Class Allocations'!N$172*Functional!$L174+'Class Allocations'!N$178*Functional!$M174+'Class Allocations'!N$184*Functional!$N174+Functional!$Q174</f>
        <v>0</v>
      </c>
      <c r="P174" s="4">
        <f t="shared" si="70"/>
        <v>0</v>
      </c>
      <c r="R174" s="124">
        <f t="shared" si="61"/>
        <v>0</v>
      </c>
      <c r="S174" s="124"/>
    </row>
    <row r="175" spans="1:19">
      <c r="A175" s="117">
        <f>IF(ISBLANK(C175),"",MAX($A$155:$A174)+1)</f>
        <v>19</v>
      </c>
      <c r="B175" s="117">
        <v>866</v>
      </c>
      <c r="C175" s="169" t="s">
        <v>133</v>
      </c>
      <c r="E175" s="135">
        <f>Functional!$E175</f>
        <v>138.95768981197887</v>
      </c>
      <c r="F175" s="135">
        <f>'Class Allocations'!E$144*Functional!$F175+'Class Allocations'!E$148*Functional!$G175+'Class Allocations'!E$152*Functional!$I175+'Class Allocations'!E$156*Functional!$H175+'Class Allocations'!E$160*Functional!$J175+'Class Allocations'!E$166*Functional!$K175+'Class Allocations'!E$172*Functional!$L175+'Class Allocations'!E$178*Functional!$M175+'Class Allocations'!E$184*Functional!$N175+Functional!$O175</f>
        <v>45.409550435939067</v>
      </c>
      <c r="G175" s="135">
        <f>'Class Allocations'!F$144*Functional!$F175+'Class Allocations'!F$148*Functional!$G175+'Class Allocations'!F$152*Functional!$I175+'Class Allocations'!F$156*Functional!$H175+'Class Allocations'!F$160*Functional!$J175+'Class Allocations'!F$166*Functional!$K175+'Class Allocations'!F$172*Functional!$L175+'Class Allocations'!F$178*Functional!$M175+'Class Allocations'!F$184*Functional!$N175</f>
        <v>31.362047902228834</v>
      </c>
      <c r="H175" s="135">
        <f t="shared" si="68"/>
        <v>76.771598338167905</v>
      </c>
      <c r="I175" s="4">
        <f>'Class Allocations'!H$144*Functional!$F175+'Class Allocations'!H$148*Functional!$G175+'Class Allocations'!H$152*Functional!$I175+'Class Allocations'!H$156*Functional!$H175+'Class Allocations'!H$160*Functional!$J175+'Class Allocations'!H$166*Functional!$K175+'Class Allocations'!H$172*Functional!$L175+'Class Allocations'!H$178*Functional!$M175+'Class Allocations'!H$184*Functional!$N175</f>
        <v>5.7564406024563288</v>
      </c>
      <c r="J175" s="4">
        <f>'Class Allocations'!I$144*Functional!$F175+'Class Allocations'!I$148*Functional!$G175+'Class Allocations'!I$152*Functional!$I175+'Class Allocations'!I$156*Functional!$H175+'Class Allocations'!I$160*Functional!$J175+'Class Allocations'!I$166*Functional!$K175+'Class Allocations'!I$172*Functional!$L175+'Class Allocations'!I$178*Functional!$M175+'Class Allocations'!I$184*Functional!$N175</f>
        <v>1.8800967610814847</v>
      </c>
      <c r="K175" s="4">
        <f>'Class Allocations'!J$144*Functional!$F175+'Class Allocations'!J$148*Functional!$G175+'Class Allocations'!J$152*Functional!$I175+'Class Allocations'!J$156*Functional!$H175+'Class Allocations'!J$160*Functional!$J175+'Class Allocations'!J$166*Functional!$K175+'Class Allocations'!J$172*Functional!$L175+'Class Allocations'!J$178*Functional!$M175+'Class Allocations'!J$184*Functional!$N175</f>
        <v>1.2870802990126928</v>
      </c>
      <c r="L175" s="4">
        <f>'Class Allocations'!K$144*Functional!$F175+'Class Allocations'!K$148*Functional!$G175+'Class Allocations'!K$152*Functional!$I175+'Class Allocations'!K$156*Functional!$H175+'Class Allocations'!K$160*Functional!$J175+'Class Allocations'!K$166*Functional!$K175+'Class Allocations'!K$172*Functional!$L175+'Class Allocations'!K$178*Functional!$M175+'Class Allocations'!K$184*Functional!$N175</f>
        <v>20.141190393996091</v>
      </c>
      <c r="M175" s="4">
        <f>'Class Allocations'!L$144*Functional!$F175+'Class Allocations'!L$148*Functional!$G175+'Class Allocations'!L$152*Functional!$I175+'Class Allocations'!L$156*Functional!$H175+'Class Allocations'!L$160*Functional!$J175+'Class Allocations'!L$166*Functional!$K175+'Class Allocations'!L$172*Functional!$L175+'Class Allocations'!L$178*Functional!$M175+'Class Allocations'!L$184*Functional!$N175</f>
        <v>12.788916631681676</v>
      </c>
      <c r="N175" s="4">
        <f>'Class Allocations'!M$144*Functional!$F175+'Class Allocations'!M$148*Functional!$G175+'Class Allocations'!M$152*Functional!$I175+'Class Allocations'!M$156*Functional!$H175+'Class Allocations'!M$160*Functional!$J175+'Class Allocations'!M$166*Functional!$K175+'Class Allocations'!M$172*Functional!$L175+'Class Allocations'!M$178*Functional!$M175+'Class Allocations'!M$184*Functional!$N175+Functional!$P175</f>
        <v>20.332366785582682</v>
      </c>
      <c r="O175" s="4">
        <f>'Class Allocations'!N$144*Functional!$F175+'Class Allocations'!N$148*Functional!$G175+'Class Allocations'!N$152*Functional!$I175+'Class Allocations'!N$156*Functional!$H175+'Class Allocations'!N$160*Functional!$J175+'Class Allocations'!N$166*Functional!$K175+'Class Allocations'!N$172*Functional!$L175+'Class Allocations'!N$178*Functional!$M175+'Class Allocations'!N$184*Functional!$N175+Functional!$Q175</f>
        <v>0</v>
      </c>
      <c r="P175" s="4">
        <f t="shared" si="70"/>
        <v>62.186091473810947</v>
      </c>
      <c r="R175" s="124">
        <f t="shared" si="61"/>
        <v>0</v>
      </c>
      <c r="S175" s="124"/>
    </row>
    <row r="176" spans="1:19">
      <c r="A176" s="117">
        <f>IF(ISBLANK(C176),"",MAX($A$155:$A175)+1)</f>
        <v>20</v>
      </c>
      <c r="B176" s="117">
        <v>867</v>
      </c>
      <c r="C176" s="169" t="s">
        <v>138</v>
      </c>
      <c r="E176" s="298">
        <f>Functional!$E176</f>
        <v>0</v>
      </c>
      <c r="F176" s="298">
        <f>'Class Allocations'!E$144*Functional!$F176+'Class Allocations'!E$148*Functional!$G176+'Class Allocations'!E$152*Functional!$I176+'Class Allocations'!E$156*Functional!$H176+'Class Allocations'!E$160*Functional!$J176+'Class Allocations'!E$166*Functional!$K176+'Class Allocations'!E$172*Functional!$L176+'Class Allocations'!E$178*Functional!$M176+'Class Allocations'!E$184*Functional!$N176+Functional!$O176</f>
        <v>0</v>
      </c>
      <c r="G176" s="298">
        <f>'Class Allocations'!F$144*Functional!$F176+'Class Allocations'!F$148*Functional!$G176+'Class Allocations'!F$152*Functional!$I176+'Class Allocations'!F$156*Functional!$H176+'Class Allocations'!F$160*Functional!$J176+'Class Allocations'!F$166*Functional!$K176+'Class Allocations'!F$172*Functional!$L176+'Class Allocations'!F$178*Functional!$M176+'Class Allocations'!F$184*Functional!$N176</f>
        <v>0</v>
      </c>
      <c r="H176" s="298">
        <f t="shared" si="68"/>
        <v>0</v>
      </c>
      <c r="I176" s="5">
        <f>'Class Allocations'!H$144*Functional!$F176+'Class Allocations'!H$148*Functional!$G176+'Class Allocations'!H$152*Functional!$I176+'Class Allocations'!H$156*Functional!$H176+'Class Allocations'!H$160*Functional!$J176+'Class Allocations'!H$166*Functional!$K176+'Class Allocations'!H$172*Functional!$L176+'Class Allocations'!H$178*Functional!$M176+'Class Allocations'!H$184*Functional!$N176</f>
        <v>0</v>
      </c>
      <c r="J176" s="5">
        <f>'Class Allocations'!I$144*Functional!$F176+'Class Allocations'!I$148*Functional!$G176+'Class Allocations'!I$152*Functional!$I176+'Class Allocations'!I$156*Functional!$H176+'Class Allocations'!I$160*Functional!$J176+'Class Allocations'!I$166*Functional!$K176+'Class Allocations'!I$172*Functional!$L176+'Class Allocations'!I$178*Functional!$M176+'Class Allocations'!I$184*Functional!$N176</f>
        <v>0</v>
      </c>
      <c r="K176" s="5">
        <f>'Class Allocations'!J$144*Functional!$F176+'Class Allocations'!J$148*Functional!$G176+'Class Allocations'!J$152*Functional!$I176+'Class Allocations'!J$156*Functional!$H176+'Class Allocations'!J$160*Functional!$J176+'Class Allocations'!J$166*Functional!$K176+'Class Allocations'!J$172*Functional!$L176+'Class Allocations'!J$178*Functional!$M176+'Class Allocations'!J$184*Functional!$N176</f>
        <v>0</v>
      </c>
      <c r="L176" s="5">
        <f>'Class Allocations'!K$144*Functional!$F176+'Class Allocations'!K$148*Functional!$G176+'Class Allocations'!K$152*Functional!$I176+'Class Allocations'!K$156*Functional!$H176+'Class Allocations'!K$160*Functional!$J176+'Class Allocations'!K$166*Functional!$K176+'Class Allocations'!K$172*Functional!$L176+'Class Allocations'!K$178*Functional!$M176+'Class Allocations'!K$184*Functional!$N176</f>
        <v>0</v>
      </c>
      <c r="M176" s="5">
        <f>'Class Allocations'!L$144*Functional!$F176+'Class Allocations'!L$148*Functional!$G176+'Class Allocations'!L$152*Functional!$I176+'Class Allocations'!L$156*Functional!$H176+'Class Allocations'!L$160*Functional!$J176+'Class Allocations'!L$166*Functional!$K176+'Class Allocations'!L$172*Functional!$L176+'Class Allocations'!L$178*Functional!$M176+'Class Allocations'!L$184*Functional!$N176</f>
        <v>0</v>
      </c>
      <c r="N176" s="5">
        <f>'Class Allocations'!M$144*Functional!$F176+'Class Allocations'!M$148*Functional!$G176+'Class Allocations'!M$152*Functional!$I176+'Class Allocations'!M$156*Functional!$H176+'Class Allocations'!M$160*Functional!$J176+'Class Allocations'!M$166*Functional!$K176+'Class Allocations'!M$172*Functional!$L176+'Class Allocations'!M$178*Functional!$M176+'Class Allocations'!M$184*Functional!$N176+Functional!$P176</f>
        <v>0</v>
      </c>
      <c r="O176" s="5">
        <f>'Class Allocations'!N$144*Functional!$F176+'Class Allocations'!N$148*Functional!$G176+'Class Allocations'!N$152*Functional!$I176+'Class Allocations'!N$156*Functional!$H176+'Class Allocations'!N$160*Functional!$J176+'Class Allocations'!N$166*Functional!$K176+'Class Allocations'!N$172*Functional!$L176+'Class Allocations'!N$178*Functional!$M176+'Class Allocations'!N$184*Functional!$N176+Functional!$Q176</f>
        <v>0</v>
      </c>
      <c r="P176" s="5">
        <f t="shared" si="70"/>
        <v>0</v>
      </c>
      <c r="R176" s="124">
        <f t="shared" si="61"/>
        <v>0</v>
      </c>
      <c r="S176" s="124"/>
    </row>
    <row r="177" spans="1:19">
      <c r="A177" s="117">
        <f>IF(ISBLANK(C177),"",MAX($A$155:$A176)+1)</f>
        <v>21</v>
      </c>
      <c r="B177" s="117"/>
      <c r="C177" s="174" t="str">
        <f>Functional!$C177</f>
        <v>Total Maintenance</v>
      </c>
      <c r="E177" s="311">
        <f>Functional!$E177</f>
        <v>19971.130796533835</v>
      </c>
      <c r="F177" s="311">
        <f>SUM(F170:F176)</f>
        <v>6526.3035992827918</v>
      </c>
      <c r="G177" s="311">
        <f t="shared" ref="G177:P177" si="71">SUM(G170:G176)</f>
        <v>4507.3832297446443</v>
      </c>
      <c r="H177" s="311">
        <f t="shared" si="71"/>
        <v>11033.686829027434</v>
      </c>
      <c r="I177" s="311">
        <f t="shared" si="71"/>
        <v>827.32109572120271</v>
      </c>
      <c r="J177" s="311">
        <f t="shared" si="71"/>
        <v>270.20928727660208</v>
      </c>
      <c r="K177" s="311">
        <f t="shared" si="71"/>
        <v>184.98039965981437</v>
      </c>
      <c r="L177" s="311">
        <f t="shared" si="71"/>
        <v>2894.7109605855831</v>
      </c>
      <c r="M177" s="311">
        <f t="shared" si="71"/>
        <v>1838.0352116019715</v>
      </c>
      <c r="N177" s="311">
        <f t="shared" si="71"/>
        <v>2922.1870126612271</v>
      </c>
      <c r="O177" s="311">
        <f t="shared" si="71"/>
        <v>0</v>
      </c>
      <c r="P177" s="491">
        <f t="shared" si="71"/>
        <v>8937.4439675064023</v>
      </c>
      <c r="R177" s="124">
        <f t="shared" si="61"/>
        <v>0</v>
      </c>
      <c r="S177" s="124">
        <f t="shared" si="62"/>
        <v>0</v>
      </c>
    </row>
    <row r="178" spans="1:19">
      <c r="A178" s="117"/>
      <c r="B178" s="117"/>
      <c r="C178" s="174"/>
      <c r="E178" s="311"/>
      <c r="F178" s="311"/>
      <c r="G178" s="311"/>
      <c r="H178" s="311"/>
      <c r="I178" s="312"/>
      <c r="J178" s="312"/>
      <c r="K178" s="312"/>
      <c r="L178" s="312"/>
      <c r="M178" s="312"/>
      <c r="N178" s="312"/>
      <c r="O178" s="312"/>
      <c r="P178" s="312"/>
      <c r="R178" s="124"/>
      <c r="S178" s="124"/>
    </row>
    <row r="179" spans="1:19">
      <c r="A179" s="117">
        <f>IF(ISBLANK(#REF!),"",MAX($A$155:$A177)+1)</f>
        <v>22</v>
      </c>
      <c r="B179" s="117"/>
      <c r="C179" s="174" t="str">
        <f>Functional!$C179</f>
        <v>Total Transmission Expenses</v>
      </c>
      <c r="E179" s="135">
        <f t="shared" ref="E179:P179" si="72">E167+E177</f>
        <v>358694.76192960126</v>
      </c>
      <c r="F179" s="135">
        <f t="shared" si="72"/>
        <v>117205.81054419882</v>
      </c>
      <c r="G179" s="135">
        <f t="shared" si="72"/>
        <v>80954.352767983553</v>
      </c>
      <c r="H179" s="135">
        <f t="shared" si="72"/>
        <v>198160.16331218235</v>
      </c>
      <c r="I179" s="4">
        <f t="shared" si="72"/>
        <v>14896.142709166001</v>
      </c>
      <c r="J179" s="4">
        <f t="shared" si="72"/>
        <v>4860.5928209089798</v>
      </c>
      <c r="K179" s="4">
        <f t="shared" si="72"/>
        <v>3330.6227122482624</v>
      </c>
      <c r="L179" s="4">
        <f t="shared" si="72"/>
        <v>52062.607958895074</v>
      </c>
      <c r="M179" s="4">
        <f t="shared" si="72"/>
        <v>33071.462113162052</v>
      </c>
      <c r="N179" s="4">
        <f t="shared" si="72"/>
        <v>52313.170303038503</v>
      </c>
      <c r="O179" s="4">
        <f t="shared" si="72"/>
        <v>0</v>
      </c>
      <c r="P179" s="4">
        <f t="shared" si="72"/>
        <v>160534.59861741887</v>
      </c>
      <c r="R179" s="124">
        <f t="shared" si="61"/>
        <v>0</v>
      </c>
      <c r="S179" s="124">
        <f t="shared" si="62"/>
        <v>0</v>
      </c>
    </row>
    <row r="180" spans="1:19">
      <c r="A180" s="117"/>
      <c r="B180" s="117"/>
      <c r="E180" s="135"/>
      <c r="F180" s="135"/>
      <c r="G180" s="135"/>
      <c r="H180" s="135"/>
      <c r="I180" s="4"/>
      <c r="J180" s="4"/>
      <c r="K180" s="4"/>
      <c r="L180" s="4"/>
      <c r="M180" s="4"/>
      <c r="N180" s="4"/>
      <c r="O180" s="4"/>
      <c r="P180" s="4"/>
      <c r="R180" s="124"/>
      <c r="S180" s="124"/>
    </row>
    <row r="181" spans="1:19">
      <c r="A181" s="117">
        <f>IF(ISBLANK(C181),"",MAX($A$155:$A180)+1)</f>
        <v>23</v>
      </c>
      <c r="B181" s="117"/>
      <c r="C181" s="34" t="str">
        <f>Functional!$C181</f>
        <v>Distribution Expenses</v>
      </c>
      <c r="E181" s="135"/>
      <c r="F181" s="135"/>
      <c r="G181" s="135"/>
      <c r="H181" s="135"/>
      <c r="I181" s="4"/>
      <c r="J181" s="4"/>
      <c r="K181" s="4"/>
      <c r="L181" s="4"/>
      <c r="M181" s="4"/>
      <c r="N181" s="4"/>
      <c r="O181" s="4"/>
      <c r="P181" s="4"/>
      <c r="R181" s="124"/>
      <c r="S181" s="124"/>
    </row>
    <row r="182" spans="1:19">
      <c r="A182" s="117">
        <f>IF(ISBLANK(C182),"",MAX($A$155:$A181)+1)</f>
        <v>24</v>
      </c>
      <c r="B182" s="117"/>
      <c r="C182" s="140" t="str">
        <f>Functional!$C182</f>
        <v>Operation</v>
      </c>
      <c r="E182" s="135"/>
      <c r="F182" s="135"/>
      <c r="G182" s="135"/>
      <c r="H182" s="135"/>
      <c r="I182" s="4"/>
      <c r="J182" s="4"/>
      <c r="K182" s="4"/>
      <c r="L182" s="4"/>
      <c r="M182" s="4"/>
      <c r="N182" s="4"/>
      <c r="O182" s="4"/>
      <c r="P182" s="4"/>
      <c r="R182" s="124"/>
      <c r="S182" s="124"/>
    </row>
    <row r="183" spans="1:19">
      <c r="A183" s="117">
        <f>IF(ISBLANK(C183),"",MAX($A$155:$A182)+1)</f>
        <v>25</v>
      </c>
      <c r="B183" s="117">
        <f>Functional!$B183</f>
        <v>870</v>
      </c>
      <c r="C183" s="169" t="str">
        <f>Functional!$C183</f>
        <v>Supervision &amp; Engineering</v>
      </c>
      <c r="E183" s="135">
        <f>Functional!$E183</f>
        <v>4065042.6123208087</v>
      </c>
      <c r="F183" s="135">
        <f>'Class Allocations'!E$144*Functional!$F183+'Class Allocations'!E$148*Functional!$G183+'Class Allocations'!E$152*Functional!$I183+'Class Allocations'!E$156*Functional!$H183+'Class Allocations'!E$160*Functional!$J183+'Class Allocations'!E$166*Functional!$K183+'Class Allocations'!E$172*Functional!$L183+'Class Allocations'!E$178*Functional!$M183+'Class Allocations'!E$184*Functional!$N183+Functional!$O183</f>
        <v>2507039.384095171</v>
      </c>
      <c r="G183" s="135">
        <f>'Class Allocations'!F$144*Functional!$F183+'Class Allocations'!F$148*Functional!$G183+'Class Allocations'!F$152*Functional!$I183+'Class Allocations'!F$156*Functional!$H183+'Class Allocations'!F$160*Functional!$J183+'Class Allocations'!F$166*Functional!$K183+'Class Allocations'!F$172*Functional!$L183+'Class Allocations'!F$178*Functional!$M183+'Class Allocations'!F$184*Functional!$N183</f>
        <v>992171.69530369528</v>
      </c>
      <c r="H183" s="135">
        <f t="shared" ref="H183:H193" si="73">SUM(F183:G183)</f>
        <v>3499211.0793988663</v>
      </c>
      <c r="I183" s="4">
        <f>'Class Allocations'!H$144*Functional!$F183+'Class Allocations'!H$148*Functional!$G183+'Class Allocations'!H$152*Functional!$I183+'Class Allocations'!H$156*Functional!$H183+'Class Allocations'!H$160*Functional!$J183+'Class Allocations'!H$166*Functional!$K183+'Class Allocations'!H$172*Functional!$L183+'Class Allocations'!H$178*Functional!$M183+'Class Allocations'!H$184*Functional!$N183</f>
        <v>190183.18173146847</v>
      </c>
      <c r="J183" s="4">
        <f>'Class Allocations'!I$144*Functional!$F183+'Class Allocations'!I$148*Functional!$G183+'Class Allocations'!I$152*Functional!$I183+'Class Allocations'!I$156*Functional!$H183+'Class Allocations'!I$160*Functional!$J183+'Class Allocations'!I$166*Functional!$K183+'Class Allocations'!I$172*Functional!$L183+'Class Allocations'!I$178*Functional!$M183+'Class Allocations'!I$184*Functional!$N183</f>
        <v>24892.460625788775</v>
      </c>
      <c r="K183" s="4">
        <f>'Class Allocations'!J$144*Functional!$F183+'Class Allocations'!J$148*Functional!$G183+'Class Allocations'!J$152*Functional!$I183+'Class Allocations'!J$156*Functional!$H183+'Class Allocations'!J$160*Functional!$J183+'Class Allocations'!J$166*Functional!$K183+'Class Allocations'!J$172*Functional!$L183+'Class Allocations'!J$178*Functional!$M183+'Class Allocations'!J$184*Functional!$N183</f>
        <v>21384.415228861413</v>
      </c>
      <c r="L183" s="4">
        <f>'Class Allocations'!K$144*Functional!$F183+'Class Allocations'!K$148*Functional!$G183+'Class Allocations'!K$152*Functional!$I183+'Class Allocations'!K$156*Functional!$H183+'Class Allocations'!K$160*Functional!$J183+'Class Allocations'!K$166*Functional!$K183+'Class Allocations'!K$172*Functional!$L183+'Class Allocations'!K$178*Functional!$M183+'Class Allocations'!K$184*Functional!$N183</f>
        <v>260961.71889908606</v>
      </c>
      <c r="M183" s="4">
        <f>'Class Allocations'!L$144*Functional!$F183+'Class Allocations'!L$148*Functional!$G183+'Class Allocations'!L$152*Functional!$I183+'Class Allocations'!L$156*Functional!$H183+'Class Allocations'!L$160*Functional!$J183+'Class Allocations'!L$166*Functional!$K183+'Class Allocations'!L$172*Functional!$L183+'Class Allocations'!L$178*Functional!$M183+'Class Allocations'!L$184*Functional!$N183</f>
        <v>34402.594533629286</v>
      </c>
      <c r="N183" s="4">
        <f>'Class Allocations'!M$144*Functional!$F183+'Class Allocations'!M$148*Functional!$G183+'Class Allocations'!M$152*Functional!$I183+'Class Allocations'!M$156*Functional!$H183+'Class Allocations'!M$160*Functional!$J183+'Class Allocations'!M$166*Functional!$K183+'Class Allocations'!M$172*Functional!$L183+'Class Allocations'!M$178*Functional!$M183+'Class Allocations'!M$184*Functional!$N183+Functional!$P183</f>
        <v>13091.361748915775</v>
      </c>
      <c r="O183" s="4">
        <f>'Class Allocations'!N$144*Functional!$F183+'Class Allocations'!N$148*Functional!$G183+'Class Allocations'!N$152*Functional!$I183+'Class Allocations'!N$156*Functional!$H183+'Class Allocations'!N$160*Functional!$J183+'Class Allocations'!N$166*Functional!$K183+'Class Allocations'!N$172*Functional!$L183+'Class Allocations'!N$178*Functional!$M183+'Class Allocations'!N$184*Functional!$N183+Functional!$Q183</f>
        <v>20915.800154193596</v>
      </c>
      <c r="P183" s="4">
        <f t="shared" ref="P183:P193" si="74">SUM(I183:O183)</f>
        <v>565831.53292194335</v>
      </c>
      <c r="R183" s="124">
        <f t="shared" si="61"/>
        <v>0</v>
      </c>
      <c r="S183" s="124">
        <f t="shared" si="62"/>
        <v>-9.3132257461547852E-10</v>
      </c>
    </row>
    <row r="184" spans="1:19">
      <c r="A184" s="117">
        <f>IF(ISBLANK(C184),"",MAX($A$155:$A183)+1)</f>
        <v>26</v>
      </c>
      <c r="B184" s="117">
        <f>Functional!$B184</f>
        <v>871</v>
      </c>
      <c r="C184" s="169" t="str">
        <f>Functional!$C184</f>
        <v>Load Dispatching</v>
      </c>
      <c r="E184" s="135">
        <f>Functional!$E184</f>
        <v>829.84999999999991</v>
      </c>
      <c r="F184" s="135">
        <f>'Class Allocations'!E$144*Functional!$F184+'Class Allocations'!E$148*Functional!$G184+'Class Allocations'!E$152*Functional!$I184+'Class Allocations'!E$156*Functional!$H184+'Class Allocations'!E$160*Functional!$J184+'Class Allocations'!E$166*Functional!$K184+'Class Allocations'!E$172*Functional!$L184+'Class Allocations'!E$178*Functional!$M184+'Class Allocations'!E$184*Functional!$N184+Functional!$O184</f>
        <v>307.22998018031063</v>
      </c>
      <c r="G184" s="135">
        <f>'Class Allocations'!F$144*Functional!$F184+'Class Allocations'!F$148*Functional!$G184+'Class Allocations'!F$152*Functional!$I184+'Class Allocations'!F$156*Functional!$H184+'Class Allocations'!F$160*Functional!$J184+'Class Allocations'!F$166*Functional!$K184+'Class Allocations'!F$172*Functional!$L184+'Class Allocations'!F$178*Functional!$M184+'Class Allocations'!F$184*Functional!$N184</f>
        <v>217.40574776388991</v>
      </c>
      <c r="H184" s="135">
        <f t="shared" si="73"/>
        <v>524.63572794420054</v>
      </c>
      <c r="I184" s="4">
        <f>'Class Allocations'!H$144*Functional!$F184+'Class Allocations'!H$148*Functional!$G184+'Class Allocations'!H$152*Functional!$I184+'Class Allocations'!H$156*Functional!$H184+'Class Allocations'!H$160*Functional!$J184+'Class Allocations'!H$166*Functional!$K184+'Class Allocations'!H$172*Functional!$L184+'Class Allocations'!H$178*Functional!$M184+'Class Allocations'!H$184*Functional!$N184</f>
        <v>70.612599210378932</v>
      </c>
      <c r="J184" s="4">
        <f>'Class Allocations'!I$144*Functional!$F184+'Class Allocations'!I$148*Functional!$G184+'Class Allocations'!I$152*Functional!$I184+'Class Allocations'!I$156*Functional!$H184+'Class Allocations'!I$160*Functional!$J184+'Class Allocations'!I$166*Functional!$K184+'Class Allocations'!I$172*Functional!$L184+'Class Allocations'!I$178*Functional!$M184+'Class Allocations'!I$184*Functional!$N184</f>
        <v>19.259219352196784</v>
      </c>
      <c r="K184" s="4">
        <f>'Class Allocations'!J$144*Functional!$F184+'Class Allocations'!J$148*Functional!$G184+'Class Allocations'!J$152*Functional!$I184+'Class Allocations'!J$156*Functional!$H184+'Class Allocations'!J$160*Functional!$J184+'Class Allocations'!J$166*Functional!$K184+'Class Allocations'!J$172*Functional!$L184+'Class Allocations'!J$178*Functional!$M184+'Class Allocations'!J$184*Functional!$N184</f>
        <v>15.788243392449294</v>
      </c>
      <c r="L184" s="4">
        <f>'Class Allocations'!K$144*Functional!$F184+'Class Allocations'!K$148*Functional!$G184+'Class Allocations'!K$152*Functional!$I184+'Class Allocations'!K$156*Functional!$H184+'Class Allocations'!K$160*Functional!$J184+'Class Allocations'!K$166*Functional!$K184+'Class Allocations'!K$172*Functional!$L184+'Class Allocations'!K$178*Functional!$M184+'Class Allocations'!K$184*Functional!$N184</f>
        <v>199.55421010077433</v>
      </c>
      <c r="M184" s="4">
        <f>'Class Allocations'!L$144*Functional!$F184+'Class Allocations'!L$148*Functional!$G184+'Class Allocations'!L$152*Functional!$I184+'Class Allocations'!L$156*Functional!$H184+'Class Allocations'!L$160*Functional!$J184+'Class Allocations'!L$166*Functional!$K184+'Class Allocations'!L$172*Functional!$L184+'Class Allocations'!L$178*Functional!$M184+'Class Allocations'!L$184*Functional!$N184</f>
        <v>0</v>
      </c>
      <c r="N184" s="4">
        <f>'Class Allocations'!M$144*Functional!$F184+'Class Allocations'!M$148*Functional!$G184+'Class Allocations'!M$152*Functional!$I184+'Class Allocations'!M$156*Functional!$H184+'Class Allocations'!M$160*Functional!$J184+'Class Allocations'!M$166*Functional!$K184+'Class Allocations'!M$172*Functional!$L184+'Class Allocations'!M$178*Functional!$M184+'Class Allocations'!M$184*Functional!$N184+Functional!$P184</f>
        <v>0</v>
      </c>
      <c r="O184" s="4">
        <f>'Class Allocations'!N$144*Functional!$F184+'Class Allocations'!N$148*Functional!$G184+'Class Allocations'!N$152*Functional!$I184+'Class Allocations'!N$156*Functional!$H184+'Class Allocations'!N$160*Functional!$J184+'Class Allocations'!N$166*Functional!$K184+'Class Allocations'!N$172*Functional!$L184+'Class Allocations'!N$178*Functional!$M184+'Class Allocations'!N$184*Functional!$N184+Functional!$Q184</f>
        <v>0</v>
      </c>
      <c r="P184" s="4">
        <f t="shared" si="74"/>
        <v>305.21427205579931</v>
      </c>
      <c r="R184" s="124">
        <f t="shared" si="61"/>
        <v>0</v>
      </c>
      <c r="S184" s="124">
        <f t="shared" si="62"/>
        <v>0</v>
      </c>
    </row>
    <row r="185" spans="1:19">
      <c r="A185" s="117">
        <f>IF(ISBLANK(C185),"",MAX($A$155:$A184)+1)</f>
        <v>27</v>
      </c>
      <c r="B185" s="117">
        <f>Functional!$B185</f>
        <v>872</v>
      </c>
      <c r="C185" s="169" t="str">
        <f>Functional!$C185</f>
        <v>Compressor Station Expenses</v>
      </c>
      <c r="E185" s="135">
        <f>Functional!$E185</f>
        <v>147.47999999999999</v>
      </c>
      <c r="F185" s="135">
        <f>'Class Allocations'!E$144*Functional!$F185+'Class Allocations'!E$148*Functional!$G185+'Class Allocations'!E$152*Functional!$I185+'Class Allocations'!E$156*Functional!$H185+'Class Allocations'!E$160*Functional!$J185+'Class Allocations'!E$166*Functional!$K185+'Class Allocations'!E$172*Functional!$L185+'Class Allocations'!E$178*Functional!$M185+'Class Allocations'!E$184*Functional!$N185+Functional!$O185</f>
        <v>62.951656756733911</v>
      </c>
      <c r="G185" s="135">
        <f>'Class Allocations'!F$144*Functional!$F185+'Class Allocations'!F$148*Functional!$G185+'Class Allocations'!F$152*Functional!$I185+'Class Allocations'!F$156*Functional!$H185+'Class Allocations'!F$160*Functional!$J185+'Class Allocations'!F$166*Functional!$K185+'Class Allocations'!F$172*Functional!$L185+'Class Allocations'!F$178*Functional!$M185+'Class Allocations'!F$184*Functional!$N185</f>
        <v>43.512242705492319</v>
      </c>
      <c r="H185" s="135">
        <f t="shared" si="73"/>
        <v>106.46389946222624</v>
      </c>
      <c r="I185" s="4">
        <f>'Class Allocations'!H$144*Functional!$F185+'Class Allocations'!H$148*Functional!$G185+'Class Allocations'!H$152*Functional!$I185+'Class Allocations'!H$156*Functional!$H185+'Class Allocations'!H$160*Functional!$J185+'Class Allocations'!H$166*Functional!$K185+'Class Allocations'!H$172*Functional!$L185+'Class Allocations'!H$178*Functional!$M185+'Class Allocations'!H$184*Functional!$N185</f>
        <v>8.1911673702938614</v>
      </c>
      <c r="J185" s="4">
        <f>'Class Allocations'!I$144*Functional!$F185+'Class Allocations'!I$148*Functional!$G185+'Class Allocations'!I$152*Functional!$I185+'Class Allocations'!I$156*Functional!$H185+'Class Allocations'!I$160*Functional!$J185+'Class Allocations'!I$166*Functional!$K185+'Class Allocations'!I$172*Functional!$L185+'Class Allocations'!I$178*Functional!$M185+'Class Allocations'!I$184*Functional!$N185</f>
        <v>2.6499580528068747</v>
      </c>
      <c r="K185" s="4">
        <f>'Class Allocations'!J$144*Functional!$F185+'Class Allocations'!J$148*Functional!$G185+'Class Allocations'!J$152*Functional!$I185+'Class Allocations'!J$156*Functional!$H185+'Class Allocations'!J$160*Functional!$J185+'Class Allocations'!J$166*Functional!$K185+'Class Allocations'!J$172*Functional!$L185+'Class Allocations'!J$178*Functional!$M185+'Class Allocations'!J$184*Functional!$N185</f>
        <v>1.8314599031426066</v>
      </c>
      <c r="L185" s="4">
        <f>'Class Allocations'!K$144*Functional!$F185+'Class Allocations'!K$148*Functional!$G185+'Class Allocations'!K$152*Functional!$I185+'Class Allocations'!K$156*Functional!$H185+'Class Allocations'!K$160*Functional!$J185+'Class Allocations'!K$166*Functional!$K185+'Class Allocations'!K$172*Functional!$L185+'Class Allocations'!K$178*Functional!$M185+'Class Allocations'!K$184*Functional!$N185</f>
        <v>28.343515211530416</v>
      </c>
      <c r="M185" s="4">
        <f>'Class Allocations'!L$144*Functional!$F185+'Class Allocations'!L$148*Functional!$G185+'Class Allocations'!L$152*Functional!$I185+'Class Allocations'!L$156*Functional!$H185+'Class Allocations'!L$160*Functional!$J185+'Class Allocations'!L$166*Functional!$K185+'Class Allocations'!L$172*Functional!$L185+'Class Allocations'!L$178*Functional!$M185+'Class Allocations'!L$184*Functional!$N185</f>
        <v>0</v>
      </c>
      <c r="N185" s="4">
        <f>'Class Allocations'!M$144*Functional!$F185+'Class Allocations'!M$148*Functional!$G185+'Class Allocations'!M$152*Functional!$I185+'Class Allocations'!M$156*Functional!$H185+'Class Allocations'!M$160*Functional!$J185+'Class Allocations'!M$166*Functional!$K185+'Class Allocations'!M$172*Functional!$L185+'Class Allocations'!M$178*Functional!$M185+'Class Allocations'!M$184*Functional!$N185+Functional!$P185</f>
        <v>0</v>
      </c>
      <c r="O185" s="4">
        <f>'Class Allocations'!N$144*Functional!$F185+'Class Allocations'!N$148*Functional!$G185+'Class Allocations'!N$152*Functional!$I185+'Class Allocations'!N$156*Functional!$H185+'Class Allocations'!N$160*Functional!$J185+'Class Allocations'!N$166*Functional!$K185+'Class Allocations'!N$172*Functional!$L185+'Class Allocations'!N$178*Functional!$M185+'Class Allocations'!N$184*Functional!$N185+Functional!$Q185</f>
        <v>0</v>
      </c>
      <c r="P185" s="4">
        <f t="shared" si="74"/>
        <v>41.01610053777376</v>
      </c>
      <c r="R185" s="124">
        <f t="shared" ref="R185:R209" si="75">SUM(F185:G185,I185:O185)-E185</f>
        <v>0</v>
      </c>
      <c r="S185" s="124">
        <f t="shared" ref="S185:S209" si="76">E185-H185-P185</f>
        <v>0</v>
      </c>
    </row>
    <row r="186" spans="1:19">
      <c r="A186" s="117">
        <f>IF(ISBLANK(C186),"",MAX($A$155:$A185)+1)</f>
        <v>28</v>
      </c>
      <c r="B186" s="117">
        <f>Functional!$B186</f>
        <v>874</v>
      </c>
      <c r="C186" s="169" t="str">
        <f>Functional!$C186</f>
        <v>Mains &amp; Services</v>
      </c>
      <c r="E186" s="135">
        <f>Functional!$E186</f>
        <v>7214824.0691544227</v>
      </c>
      <c r="F186" s="135">
        <f>'Class Allocations'!E$144*Functional!$F186+'Class Allocations'!E$148*Functional!$G186+'Class Allocations'!E$152*Functional!$I186+'Class Allocations'!E$156*Functional!$H186+'Class Allocations'!E$160*Functional!$J186+'Class Allocations'!E$166*Functional!$K186+'Class Allocations'!E$172*Functional!$L186+'Class Allocations'!E$178*Functional!$M186+'Class Allocations'!E$184*Functional!$N186+Functional!$O186</f>
        <v>4577936.8759904401</v>
      </c>
      <c r="G186" s="135">
        <f>'Class Allocations'!F$144*Functional!$F186+'Class Allocations'!F$148*Functional!$G186+'Class Allocations'!F$152*Functional!$I186+'Class Allocations'!F$156*Functional!$H186+'Class Allocations'!F$160*Functional!$J186+'Class Allocations'!F$166*Functional!$K186+'Class Allocations'!F$172*Functional!$L186+'Class Allocations'!F$178*Functional!$M186+'Class Allocations'!F$184*Functional!$N186</f>
        <v>1717205.0553081832</v>
      </c>
      <c r="H186" s="135">
        <f t="shared" si="73"/>
        <v>6295141.9312986229</v>
      </c>
      <c r="I186" s="4">
        <f>'Class Allocations'!H$144*Functional!$F186+'Class Allocations'!H$148*Functional!$G186+'Class Allocations'!H$152*Functional!$I186+'Class Allocations'!H$156*Functional!$H186+'Class Allocations'!H$160*Functional!$J186+'Class Allocations'!H$166*Functional!$K186+'Class Allocations'!H$172*Functional!$L186+'Class Allocations'!H$178*Functional!$M186+'Class Allocations'!H$184*Functional!$N186</f>
        <v>260419.63553469983</v>
      </c>
      <c r="J186" s="4">
        <f>'Class Allocations'!I$144*Functional!$F186+'Class Allocations'!I$148*Functional!$G186+'Class Allocations'!I$152*Functional!$I186+'Class Allocations'!I$156*Functional!$H186+'Class Allocations'!I$160*Functional!$J186+'Class Allocations'!I$166*Functional!$K186+'Class Allocations'!I$172*Functional!$L186+'Class Allocations'!I$178*Functional!$M186+'Class Allocations'!I$184*Functional!$N186</f>
        <v>44946.222697549791</v>
      </c>
      <c r="K186" s="4">
        <f>'Class Allocations'!J$144*Functional!$F186+'Class Allocations'!J$148*Functional!$G186+'Class Allocations'!J$152*Functional!$I186+'Class Allocations'!J$156*Functional!$H186+'Class Allocations'!J$160*Functional!$J186+'Class Allocations'!J$166*Functional!$K186+'Class Allocations'!J$172*Functional!$L186+'Class Allocations'!J$178*Functional!$M186+'Class Allocations'!J$184*Functional!$N186</f>
        <v>33174.762564769742</v>
      </c>
      <c r="L186" s="4">
        <f>'Class Allocations'!K$144*Functional!$F186+'Class Allocations'!K$148*Functional!$G186+'Class Allocations'!K$152*Functional!$I186+'Class Allocations'!K$156*Functional!$H186+'Class Allocations'!K$160*Functional!$J186+'Class Allocations'!K$166*Functional!$K186+'Class Allocations'!K$172*Functional!$L186+'Class Allocations'!K$178*Functional!$M186+'Class Allocations'!K$184*Functional!$N186</f>
        <v>479256.79385037074</v>
      </c>
      <c r="M186" s="4">
        <f>'Class Allocations'!L$144*Functional!$F186+'Class Allocations'!L$148*Functional!$G186+'Class Allocations'!L$152*Functional!$I186+'Class Allocations'!L$156*Functional!$H186+'Class Allocations'!L$160*Functional!$J186+'Class Allocations'!L$166*Functional!$K186+'Class Allocations'!L$172*Functional!$L186+'Class Allocations'!L$178*Functional!$M186+'Class Allocations'!L$184*Functional!$N186</f>
        <v>72554.873024515517</v>
      </c>
      <c r="N186" s="4">
        <f>'Class Allocations'!M$144*Functional!$F186+'Class Allocations'!M$148*Functional!$G186+'Class Allocations'!M$152*Functional!$I186+'Class Allocations'!M$156*Functional!$H186+'Class Allocations'!M$160*Functional!$J186+'Class Allocations'!M$166*Functional!$K186+'Class Allocations'!M$172*Functional!$L186+'Class Allocations'!M$178*Functional!$M186+'Class Allocations'!M$184*Functional!$N186+Functional!$P186</f>
        <v>7500.8422835590763</v>
      </c>
      <c r="O186" s="4">
        <f>'Class Allocations'!N$144*Functional!$F186+'Class Allocations'!N$148*Functional!$G186+'Class Allocations'!N$152*Functional!$I186+'Class Allocations'!N$156*Functional!$H186+'Class Allocations'!N$160*Functional!$J186+'Class Allocations'!N$166*Functional!$K186+'Class Allocations'!N$172*Functional!$L186+'Class Allocations'!N$178*Functional!$M186+'Class Allocations'!N$184*Functional!$N186+Functional!$Q186</f>
        <v>21829.007900334345</v>
      </c>
      <c r="P186" s="4">
        <f t="shared" si="74"/>
        <v>919682.13785579905</v>
      </c>
      <c r="R186" s="124">
        <f t="shared" si="75"/>
        <v>0</v>
      </c>
      <c r="S186" s="124">
        <f t="shared" si="76"/>
        <v>0</v>
      </c>
    </row>
    <row r="187" spans="1:19">
      <c r="A187" s="117">
        <f>IF(ISBLANK(C187),"",MAX($A$155:$A186)+1)</f>
        <v>29</v>
      </c>
      <c r="B187" s="117">
        <f>Functional!$B187</f>
        <v>875</v>
      </c>
      <c r="C187" s="169" t="str">
        <f>Functional!$C187</f>
        <v>Meas. &amp; Reg. Sta. Equip. - General</v>
      </c>
      <c r="E187" s="135">
        <f>Functional!$E187</f>
        <v>1218416.7066066319</v>
      </c>
      <c r="F187" s="135">
        <f>'Class Allocations'!E$144*Functional!$F187+'Class Allocations'!E$148*Functional!$G187+'Class Allocations'!E$152*Functional!$I187+'Class Allocations'!E$156*Functional!$H187+'Class Allocations'!E$160*Functional!$J187+'Class Allocations'!E$166*Functional!$K187+'Class Allocations'!E$172*Functional!$L187+'Class Allocations'!E$178*Functional!$M187+'Class Allocations'!E$184*Functional!$N187+Functional!$O187</f>
        <v>482159.15241220006</v>
      </c>
      <c r="G187" s="135">
        <f>'Class Allocations'!F$144*Functional!$F187+'Class Allocations'!F$148*Functional!$G187+'Class Allocations'!F$152*Functional!$I187+'Class Allocations'!F$156*Functional!$H187+'Class Allocations'!F$160*Functional!$J187+'Class Allocations'!F$166*Functional!$K187+'Class Allocations'!F$172*Functional!$L187+'Class Allocations'!F$178*Functional!$M187+'Class Allocations'!F$184*Functional!$N187</f>
        <v>333232.82243629434</v>
      </c>
      <c r="H187" s="135">
        <f t="shared" si="73"/>
        <v>815391.9748484944</v>
      </c>
      <c r="I187" s="4">
        <f>'Class Allocations'!H$144*Functional!$F187+'Class Allocations'!H$148*Functional!$G187+'Class Allocations'!H$152*Functional!$I187+'Class Allocations'!H$156*Functional!$H187+'Class Allocations'!H$160*Functional!$J187+'Class Allocations'!H$166*Functional!$K187+'Class Allocations'!H$172*Functional!$L187+'Class Allocations'!H$178*Functional!$M187+'Class Allocations'!H$184*Functional!$N187</f>
        <v>62519.137547459839</v>
      </c>
      <c r="J187" s="4">
        <f>'Class Allocations'!I$144*Functional!$F187+'Class Allocations'!I$148*Functional!$G187+'Class Allocations'!I$152*Functional!$I187+'Class Allocations'!I$156*Functional!$H187+'Class Allocations'!I$160*Functional!$J187+'Class Allocations'!I$166*Functional!$K187+'Class Allocations'!I$172*Functional!$L187+'Class Allocations'!I$178*Functional!$M187+'Class Allocations'!I$184*Functional!$N187</f>
        <v>20251.404963342648</v>
      </c>
      <c r="K187" s="4">
        <f>'Class Allocations'!J$144*Functional!$F187+'Class Allocations'!J$148*Functional!$G187+'Class Allocations'!J$152*Functional!$I187+'Class Allocations'!J$156*Functional!$H187+'Class Allocations'!J$160*Functional!$J187+'Class Allocations'!J$166*Functional!$K187+'Class Allocations'!J$172*Functional!$L187+'Class Allocations'!J$178*Functional!$M187+'Class Allocations'!J$184*Functional!$N187</f>
        <v>13978.629470138922</v>
      </c>
      <c r="L187" s="4">
        <f>'Class Allocations'!K$144*Functional!$F187+'Class Allocations'!K$148*Functional!$G187+'Class Allocations'!K$152*Functional!$I187+'Class Allocations'!K$156*Functional!$H187+'Class Allocations'!K$160*Functional!$J187+'Class Allocations'!K$166*Functional!$K187+'Class Allocations'!K$172*Functional!$L187+'Class Allocations'!K$178*Functional!$M187+'Class Allocations'!K$184*Functional!$N187</f>
        <v>216651.64653958834</v>
      </c>
      <c r="M187" s="4">
        <f>'Class Allocations'!L$144*Functional!$F187+'Class Allocations'!L$148*Functional!$G187+'Class Allocations'!L$152*Functional!$I187+'Class Allocations'!L$156*Functional!$H187+'Class Allocations'!L$160*Functional!$J187+'Class Allocations'!L$166*Functional!$K187+'Class Allocations'!L$172*Functional!$L187+'Class Allocations'!L$178*Functional!$M187+'Class Allocations'!L$184*Functional!$N187</f>
        <v>18373.562945018246</v>
      </c>
      <c r="N187" s="4">
        <f>'Class Allocations'!M$144*Functional!$F187+'Class Allocations'!M$148*Functional!$G187+'Class Allocations'!M$152*Functional!$I187+'Class Allocations'!M$156*Functional!$H187+'Class Allocations'!M$160*Functional!$J187+'Class Allocations'!M$166*Functional!$K187+'Class Allocations'!M$172*Functional!$L187+'Class Allocations'!M$178*Functional!$M187+'Class Allocations'!M$184*Functional!$N187+Functional!$P187</f>
        <v>27245.543276182194</v>
      </c>
      <c r="O187" s="4">
        <f>'Class Allocations'!N$144*Functional!$F187+'Class Allocations'!N$148*Functional!$G187+'Class Allocations'!N$152*Functional!$I187+'Class Allocations'!N$156*Functional!$H187+'Class Allocations'!N$160*Functional!$J187+'Class Allocations'!N$166*Functional!$K187+'Class Allocations'!N$172*Functional!$L187+'Class Allocations'!N$178*Functional!$M187+'Class Allocations'!N$184*Functional!$N187+Functional!$Q187</f>
        <v>44004.807016407241</v>
      </c>
      <c r="P187" s="4">
        <f t="shared" si="74"/>
        <v>403024.73175813747</v>
      </c>
      <c r="R187" s="124">
        <f t="shared" si="75"/>
        <v>0</v>
      </c>
      <c r="S187" s="124">
        <f t="shared" si="76"/>
        <v>0</v>
      </c>
    </row>
    <row r="188" spans="1:19">
      <c r="A188" s="117">
        <f>IF(ISBLANK(C188),"",MAX($A$155:$A187)+1)</f>
        <v>30</v>
      </c>
      <c r="B188" s="117">
        <f>Functional!$B188</f>
        <v>876</v>
      </c>
      <c r="C188" s="169" t="str">
        <f>Functional!$C188</f>
        <v>Meas. &amp; Reg. Sta. Equip. - Ind.</v>
      </c>
      <c r="E188" s="135">
        <f>Functional!$E188</f>
        <v>24200.168481126868</v>
      </c>
      <c r="F188" s="135">
        <f>'Class Allocations'!E$144*Functional!$F188+'Class Allocations'!E$148*Functional!$G188+'Class Allocations'!E$152*Functional!$I188+'Class Allocations'!E$156*Functional!$H188+'Class Allocations'!E$160*Functional!$J188+'Class Allocations'!E$166*Functional!$K188+'Class Allocations'!E$172*Functional!$L188+'Class Allocations'!E$178*Functional!$M188+'Class Allocations'!E$184*Functional!$N188+Functional!$O188</f>
        <v>14570.072131362593</v>
      </c>
      <c r="G188" s="135">
        <f>'Class Allocations'!F$144*Functional!$F188+'Class Allocations'!F$148*Functional!$G188+'Class Allocations'!F$152*Functional!$I188+'Class Allocations'!F$156*Functional!$H188+'Class Allocations'!F$160*Functional!$J188+'Class Allocations'!F$166*Functional!$K188+'Class Allocations'!F$172*Functional!$L188+'Class Allocations'!F$178*Functional!$M188+'Class Allocations'!F$184*Functional!$N188</f>
        <v>6460.8187365721715</v>
      </c>
      <c r="H188" s="135">
        <f t="shared" si="73"/>
        <v>21030.890867934766</v>
      </c>
      <c r="I188" s="4">
        <f>'Class Allocations'!H$144*Functional!$F188+'Class Allocations'!H$148*Functional!$G188+'Class Allocations'!H$152*Functional!$I188+'Class Allocations'!H$156*Functional!$H188+'Class Allocations'!H$160*Functional!$J188+'Class Allocations'!H$166*Functional!$K188+'Class Allocations'!H$172*Functional!$L188+'Class Allocations'!H$178*Functional!$M188+'Class Allocations'!H$184*Functional!$N188</f>
        <v>2518.2123119115176</v>
      </c>
      <c r="J188" s="4">
        <f>'Class Allocations'!I$144*Functional!$F188+'Class Allocations'!I$148*Functional!$G188+'Class Allocations'!I$152*Functional!$I188+'Class Allocations'!I$156*Functional!$H188+'Class Allocations'!I$160*Functional!$J188+'Class Allocations'!I$166*Functional!$K188+'Class Allocations'!I$172*Functional!$L188+'Class Allocations'!I$178*Functional!$M188+'Class Allocations'!I$184*Functional!$N188</f>
        <v>44.449097155261001</v>
      </c>
      <c r="K188" s="4">
        <f>'Class Allocations'!J$144*Functional!$F188+'Class Allocations'!J$148*Functional!$G188+'Class Allocations'!J$152*Functional!$I188+'Class Allocations'!J$156*Functional!$H188+'Class Allocations'!J$160*Functional!$J188+'Class Allocations'!J$166*Functional!$K188+'Class Allocations'!J$172*Functional!$L188+'Class Allocations'!J$178*Functional!$M188+'Class Allocations'!J$184*Functional!$N188</f>
        <v>135.62673234553998</v>
      </c>
      <c r="L188" s="4">
        <f>'Class Allocations'!K$144*Functional!$F188+'Class Allocations'!K$148*Functional!$G188+'Class Allocations'!K$152*Functional!$I188+'Class Allocations'!K$156*Functional!$H188+'Class Allocations'!K$160*Functional!$J188+'Class Allocations'!K$166*Functional!$K188+'Class Allocations'!K$172*Functional!$L188+'Class Allocations'!K$178*Functional!$M188+'Class Allocations'!K$184*Functional!$N188</f>
        <v>328.23948668500435</v>
      </c>
      <c r="M188" s="4">
        <f>'Class Allocations'!L$144*Functional!$F188+'Class Allocations'!L$148*Functional!$G188+'Class Allocations'!L$152*Functional!$I188+'Class Allocations'!L$156*Functional!$H188+'Class Allocations'!L$160*Functional!$J188+'Class Allocations'!L$166*Functional!$K188+'Class Allocations'!L$172*Functional!$L188+'Class Allocations'!L$178*Functional!$M188+'Class Allocations'!L$184*Functional!$N188</f>
        <v>38.465564845898946</v>
      </c>
      <c r="N188" s="4">
        <f>'Class Allocations'!M$144*Functional!$F188+'Class Allocations'!M$148*Functional!$G188+'Class Allocations'!M$152*Functional!$I188+'Class Allocations'!M$156*Functional!$H188+'Class Allocations'!M$160*Functional!$J188+'Class Allocations'!M$166*Functional!$K188+'Class Allocations'!M$172*Functional!$L188+'Class Allocations'!M$178*Functional!$M188+'Class Allocations'!M$184*Functional!$N188+Functional!$P188</f>
        <v>102.57483958906384</v>
      </c>
      <c r="O188" s="4">
        <f>'Class Allocations'!N$144*Functional!$F188+'Class Allocations'!N$148*Functional!$G188+'Class Allocations'!N$152*Functional!$I188+'Class Allocations'!N$156*Functional!$H188+'Class Allocations'!N$160*Functional!$J188+'Class Allocations'!N$166*Functional!$K188+'Class Allocations'!N$172*Functional!$L188+'Class Allocations'!N$178*Functional!$M188+'Class Allocations'!N$184*Functional!$N188+Functional!$Q188</f>
        <v>1.7095806598177308</v>
      </c>
      <c r="P188" s="4">
        <f t="shared" si="74"/>
        <v>3169.2776131921032</v>
      </c>
      <c r="R188" s="124">
        <f t="shared" si="75"/>
        <v>0</v>
      </c>
      <c r="S188" s="124">
        <f t="shared" si="76"/>
        <v>0</v>
      </c>
    </row>
    <row r="189" spans="1:19">
      <c r="A189" s="117">
        <f>IF(ISBLANK(C189),"",MAX($A$155:$A188)+1)</f>
        <v>31</v>
      </c>
      <c r="B189" s="117">
        <f>Functional!$B189</f>
        <v>877</v>
      </c>
      <c r="C189" s="169" t="str">
        <f>Functional!$C189</f>
        <v>Meas. &amp; Reg. Sta. Equip. - CG</v>
      </c>
      <c r="E189" s="135">
        <f>Functional!$E189</f>
        <v>199277.10742041876</v>
      </c>
      <c r="F189" s="135">
        <f>'Class Allocations'!E$144*Functional!$F189+'Class Allocations'!E$148*Functional!$G189+'Class Allocations'!E$152*Functional!$I189+'Class Allocations'!E$156*Functional!$H189+'Class Allocations'!E$160*Functional!$J189+'Class Allocations'!E$166*Functional!$K189+'Class Allocations'!E$172*Functional!$L189+'Class Allocations'!E$178*Functional!$M189+'Class Allocations'!E$184*Functional!$N189+Functional!$O189</f>
        <v>78859.129793600834</v>
      </c>
      <c r="G189" s="135">
        <f>'Class Allocations'!F$144*Functional!$F189+'Class Allocations'!F$148*Functional!$G189+'Class Allocations'!F$152*Functional!$I189+'Class Allocations'!F$156*Functional!$H189+'Class Allocations'!F$160*Functional!$J189+'Class Allocations'!F$166*Functional!$K189+'Class Allocations'!F$172*Functional!$L189+'Class Allocations'!F$178*Functional!$M189+'Class Allocations'!F$184*Functional!$N189</f>
        <v>54501.610649767594</v>
      </c>
      <c r="H189" s="135">
        <f t="shared" si="73"/>
        <v>133360.74044336844</v>
      </c>
      <c r="I189" s="4">
        <f>'Class Allocations'!H$144*Functional!$F189+'Class Allocations'!H$148*Functional!$G189+'Class Allocations'!H$152*Functional!$I189+'Class Allocations'!H$156*Functional!$H189+'Class Allocations'!H$160*Functional!$J189+'Class Allocations'!H$166*Functional!$K189+'Class Allocations'!H$172*Functional!$L189+'Class Allocations'!H$178*Functional!$M189+'Class Allocations'!H$184*Functional!$N189</f>
        <v>10225.264329783507</v>
      </c>
      <c r="J189" s="4">
        <f>'Class Allocations'!I$144*Functional!$F189+'Class Allocations'!I$148*Functional!$G189+'Class Allocations'!I$152*Functional!$I189+'Class Allocations'!I$156*Functional!$H189+'Class Allocations'!I$160*Functional!$J189+'Class Allocations'!I$166*Functional!$K189+'Class Allocations'!I$172*Functional!$L189+'Class Allocations'!I$178*Functional!$M189+'Class Allocations'!I$184*Functional!$N189</f>
        <v>3312.2013022408009</v>
      </c>
      <c r="K189" s="4">
        <f>'Class Allocations'!J$144*Functional!$F189+'Class Allocations'!J$148*Functional!$G189+'Class Allocations'!J$152*Functional!$I189+'Class Allocations'!J$156*Functional!$H189+'Class Allocations'!J$160*Functional!$J189+'Class Allocations'!J$166*Functional!$K189+'Class Allocations'!J$172*Functional!$L189+'Class Allocations'!J$178*Functional!$M189+'Class Allocations'!J$184*Functional!$N189</f>
        <v>2286.2628453850048</v>
      </c>
      <c r="L189" s="4">
        <f>'Class Allocations'!K$144*Functional!$F189+'Class Allocations'!K$148*Functional!$G189+'Class Allocations'!K$152*Functional!$I189+'Class Allocations'!K$156*Functional!$H189+'Class Allocations'!K$160*Functional!$J189+'Class Allocations'!K$166*Functional!$K189+'Class Allocations'!K$172*Functional!$L189+'Class Allocations'!K$178*Functional!$M189+'Class Allocations'!K$184*Functional!$N189</f>
        <v>35434.275651490105</v>
      </c>
      <c r="M189" s="4">
        <f>'Class Allocations'!L$144*Functional!$F189+'Class Allocations'!L$148*Functional!$G189+'Class Allocations'!L$152*Functional!$I189+'Class Allocations'!L$156*Functional!$H189+'Class Allocations'!L$160*Functional!$J189+'Class Allocations'!L$166*Functional!$K189+'Class Allocations'!L$172*Functional!$L189+'Class Allocations'!L$178*Functional!$M189+'Class Allocations'!L$184*Functional!$N189</f>
        <v>3005.0724492177587</v>
      </c>
      <c r="N189" s="4">
        <f>'Class Allocations'!M$144*Functional!$F189+'Class Allocations'!M$148*Functional!$G189+'Class Allocations'!M$152*Functional!$I189+'Class Allocations'!M$156*Functional!$H189+'Class Allocations'!M$160*Functional!$J189+'Class Allocations'!M$166*Functional!$K189+'Class Allocations'!M$172*Functional!$L189+'Class Allocations'!M$178*Functional!$M189+'Class Allocations'!M$184*Functional!$N189+Functional!$P189</f>
        <v>4456.1216410900088</v>
      </c>
      <c r="O189" s="4">
        <f>'Class Allocations'!N$144*Functional!$F189+'Class Allocations'!N$148*Functional!$G189+'Class Allocations'!N$152*Functional!$I189+'Class Allocations'!N$156*Functional!$H189+'Class Allocations'!N$160*Functional!$J189+'Class Allocations'!N$166*Functional!$K189+'Class Allocations'!N$172*Functional!$L189+'Class Allocations'!N$178*Functional!$M189+'Class Allocations'!N$184*Functional!$N189+Functional!$Q189</f>
        <v>7197.1687578431402</v>
      </c>
      <c r="P189" s="4">
        <f t="shared" si="74"/>
        <v>65916.366977050333</v>
      </c>
      <c r="R189" s="124">
        <f t="shared" si="75"/>
        <v>0</v>
      </c>
      <c r="S189" s="124">
        <f t="shared" si="76"/>
        <v>0</v>
      </c>
    </row>
    <row r="190" spans="1:19">
      <c r="A190" s="117">
        <f>IF(ISBLANK(C190),"",MAX($A$155:$A189)+1)</f>
        <v>32</v>
      </c>
      <c r="B190" s="117">
        <f>Functional!$B190</f>
        <v>878</v>
      </c>
      <c r="C190" s="169" t="str">
        <f>Functional!$C190</f>
        <v>Meters &amp; House Regulators</v>
      </c>
      <c r="E190" s="135">
        <f>Functional!$E190</f>
        <v>1734013.2623411347</v>
      </c>
      <c r="F190" s="135">
        <f>'Class Allocations'!E$144*Functional!$F190+'Class Allocations'!E$148*Functional!$G190+'Class Allocations'!E$152*Functional!$I190+'Class Allocations'!E$156*Functional!$H190+'Class Allocations'!E$160*Functional!$J190+'Class Allocations'!E$166*Functional!$K190+'Class Allocations'!E$172*Functional!$L190+'Class Allocations'!E$178*Functional!$M190+'Class Allocations'!E$184*Functional!$N190+Functional!$O190</f>
        <v>1043988.5296151154</v>
      </c>
      <c r="G190" s="135">
        <f>'Class Allocations'!F$144*Functional!$F190+'Class Allocations'!F$148*Functional!$G190+'Class Allocations'!F$152*Functional!$I190+'Class Allocations'!F$156*Functional!$H190+'Class Allocations'!F$160*Functional!$J190+'Class Allocations'!F$166*Functional!$K190+'Class Allocations'!F$172*Functional!$L190+'Class Allocations'!F$178*Functional!$M190+'Class Allocations'!F$184*Functional!$N190</f>
        <v>462936.66854159732</v>
      </c>
      <c r="H190" s="135">
        <f t="shared" si="73"/>
        <v>1506925.1981567126</v>
      </c>
      <c r="I190" s="4">
        <f>'Class Allocations'!H$144*Functional!$F190+'Class Allocations'!H$148*Functional!$G190+'Class Allocations'!H$152*Functional!$I190+'Class Allocations'!H$156*Functional!$H190+'Class Allocations'!H$160*Functional!$J190+'Class Allocations'!H$166*Functional!$K190+'Class Allocations'!H$172*Functional!$L190+'Class Allocations'!H$178*Functional!$M190+'Class Allocations'!H$184*Functional!$N190</f>
        <v>180437.32008108616</v>
      </c>
      <c r="J190" s="4">
        <f>'Class Allocations'!I$144*Functional!$F190+'Class Allocations'!I$148*Functional!$G190+'Class Allocations'!I$152*Functional!$I190+'Class Allocations'!I$156*Functional!$H190+'Class Allocations'!I$160*Functional!$J190+'Class Allocations'!I$166*Functional!$K190+'Class Allocations'!I$172*Functional!$L190+'Class Allocations'!I$178*Functional!$M190+'Class Allocations'!I$184*Functional!$N190</f>
        <v>3184.9085689804756</v>
      </c>
      <c r="K190" s="4">
        <f>'Class Allocations'!J$144*Functional!$F190+'Class Allocations'!J$148*Functional!$G190+'Class Allocations'!J$152*Functional!$I190+'Class Allocations'!J$156*Functional!$H190+'Class Allocations'!J$160*Functional!$J190+'Class Allocations'!J$166*Functional!$K190+'Class Allocations'!J$172*Functional!$L190+'Class Allocations'!J$178*Functional!$M190+'Class Allocations'!J$184*Functional!$N190</f>
        <v>9718.0543515045283</v>
      </c>
      <c r="L190" s="4">
        <f>'Class Allocations'!K$144*Functional!$F190+'Class Allocations'!K$148*Functional!$G190+'Class Allocations'!K$152*Functional!$I190+'Class Allocations'!K$156*Functional!$H190+'Class Allocations'!K$160*Functional!$J190+'Class Allocations'!K$166*Functional!$K190+'Class Allocations'!K$172*Functional!$L190+'Class Allocations'!K$178*Functional!$M190+'Class Allocations'!K$184*Functional!$N190</f>
        <v>23519.324817086588</v>
      </c>
      <c r="M190" s="4">
        <f>'Class Allocations'!L$144*Functional!$F190+'Class Allocations'!L$148*Functional!$G190+'Class Allocations'!L$152*Functional!$I190+'Class Allocations'!L$156*Functional!$H190+'Class Allocations'!L$160*Functional!$J190+'Class Allocations'!L$166*Functional!$K190+'Class Allocations'!L$172*Functional!$L190+'Class Allocations'!L$178*Functional!$M190+'Class Allocations'!L$184*Functional!$N190</f>
        <v>2756.1708770023347</v>
      </c>
      <c r="N190" s="4">
        <f>'Class Allocations'!M$144*Functional!$F190+'Class Allocations'!M$148*Functional!$G190+'Class Allocations'!M$152*Functional!$I190+'Class Allocations'!M$156*Functional!$H190+'Class Allocations'!M$160*Functional!$J190+'Class Allocations'!M$166*Functional!$K190+'Class Allocations'!M$172*Functional!$L190+'Class Allocations'!M$178*Functional!$M190+'Class Allocations'!M$184*Functional!$N190+Functional!$P190</f>
        <v>7349.7890053395586</v>
      </c>
      <c r="O190" s="4">
        <f>'Class Allocations'!N$144*Functional!$F190+'Class Allocations'!N$148*Functional!$G190+'Class Allocations'!N$152*Functional!$I190+'Class Allocations'!N$156*Functional!$H190+'Class Allocations'!N$160*Functional!$J190+'Class Allocations'!N$166*Functional!$K190+'Class Allocations'!N$172*Functional!$L190+'Class Allocations'!N$178*Functional!$M190+'Class Allocations'!N$184*Functional!$N190+Functional!$Q190</f>
        <v>122.49648342232598</v>
      </c>
      <c r="P190" s="4">
        <f t="shared" si="74"/>
        <v>227088.06418442194</v>
      </c>
      <c r="R190" s="124">
        <f t="shared" si="75"/>
        <v>0</v>
      </c>
      <c r="S190" s="124">
        <f t="shared" si="76"/>
        <v>0</v>
      </c>
    </row>
    <row r="191" spans="1:19">
      <c r="A191" s="117">
        <f>IF(ISBLANK(C191),"",MAX($A$155:$A190)+1)</f>
        <v>33</v>
      </c>
      <c r="B191" s="117">
        <f>Functional!$B191</f>
        <v>879</v>
      </c>
      <c r="C191" s="169" t="str">
        <f>Functional!$C191</f>
        <v>Customer Installation Expenses</v>
      </c>
      <c r="E191" s="135">
        <f>Functional!$E191</f>
        <v>1240176.63386243</v>
      </c>
      <c r="F191" s="135">
        <f>'Class Allocations'!E$144*Functional!$F191+'Class Allocations'!E$148*Functional!$G191+'Class Allocations'!E$152*Functional!$I191+'Class Allocations'!E$156*Functional!$H191+'Class Allocations'!E$160*Functional!$J191+'Class Allocations'!E$166*Functional!$K191+'Class Allocations'!E$172*Functional!$L191+'Class Allocations'!E$178*Functional!$M191+'Class Allocations'!E$184*Functional!$N191+Functional!$O191</f>
        <v>982745.80243381707</v>
      </c>
      <c r="G191" s="135">
        <f>'Class Allocations'!F$144*Functional!$F191+'Class Allocations'!F$148*Functional!$G191+'Class Allocations'!F$152*Functional!$I191+'Class Allocations'!F$156*Functional!$H191+'Class Allocations'!F$160*Functional!$J191+'Class Allocations'!F$166*Functional!$K191+'Class Allocations'!F$172*Functional!$L191+'Class Allocations'!F$178*Functional!$M191+'Class Allocations'!F$184*Functional!$N191</f>
        <v>249017.00403037129</v>
      </c>
      <c r="H191" s="135">
        <f t="shared" si="73"/>
        <v>1231762.8064641883</v>
      </c>
      <c r="I191" s="4">
        <f>'Class Allocations'!H$144*Functional!$F191+'Class Allocations'!H$148*Functional!$G191+'Class Allocations'!H$152*Functional!$I191+'Class Allocations'!H$156*Functional!$H191+'Class Allocations'!H$160*Functional!$J191+'Class Allocations'!H$166*Functional!$K191+'Class Allocations'!H$172*Functional!$L191+'Class Allocations'!H$178*Functional!$M191+'Class Allocations'!H$184*Functional!$N191</f>
        <v>0</v>
      </c>
      <c r="J191" s="4">
        <f>'Class Allocations'!I$144*Functional!$F191+'Class Allocations'!I$148*Functional!$G191+'Class Allocations'!I$152*Functional!$I191+'Class Allocations'!I$156*Functional!$H191+'Class Allocations'!I$160*Functional!$J191+'Class Allocations'!I$166*Functional!$K191+'Class Allocations'!I$172*Functional!$L191+'Class Allocations'!I$178*Functional!$M191+'Class Allocations'!I$184*Functional!$N191</f>
        <v>749.51865813481936</v>
      </c>
      <c r="K191" s="4">
        <f>'Class Allocations'!J$144*Functional!$F191+'Class Allocations'!J$148*Functional!$G191+'Class Allocations'!J$152*Functional!$I191+'Class Allocations'!J$156*Functional!$H191+'Class Allocations'!J$160*Functional!$J191+'Class Allocations'!J$166*Functional!$K191+'Class Allocations'!J$172*Functional!$L191+'Class Allocations'!J$178*Functional!$M191+'Class Allocations'!J$184*Functional!$N191</f>
        <v>2744.3913944013384</v>
      </c>
      <c r="L191" s="4">
        <f>'Class Allocations'!K$144*Functional!$F191+'Class Allocations'!K$148*Functional!$G191+'Class Allocations'!K$152*Functional!$I191+'Class Allocations'!K$156*Functional!$H191+'Class Allocations'!K$160*Functional!$J191+'Class Allocations'!K$166*Functional!$K191+'Class Allocations'!K$172*Functional!$L191+'Class Allocations'!K$178*Functional!$M191+'Class Allocations'!K$184*Functional!$N191</f>
        <v>4919.9173457054812</v>
      </c>
      <c r="M191" s="4">
        <f>'Class Allocations'!L$144*Functional!$F191+'Class Allocations'!L$148*Functional!$G191+'Class Allocations'!L$152*Functional!$I191+'Class Allocations'!L$156*Functional!$H191+'Class Allocations'!L$160*Functional!$J191+'Class Allocations'!L$166*Functional!$K191+'Class Allocations'!L$172*Functional!$L191+'Class Allocations'!L$178*Functional!$M191+'Class Allocations'!L$184*Functional!$N191</f>
        <v>0</v>
      </c>
      <c r="N191" s="4">
        <f>'Class Allocations'!M$144*Functional!$F191+'Class Allocations'!M$148*Functional!$G191+'Class Allocations'!M$152*Functional!$I191+'Class Allocations'!M$156*Functional!$H191+'Class Allocations'!M$160*Functional!$J191+'Class Allocations'!M$166*Functional!$K191+'Class Allocations'!M$172*Functional!$L191+'Class Allocations'!M$178*Functional!$M191+'Class Allocations'!M$184*Functional!$N191+Functional!$P191</f>
        <v>0</v>
      </c>
      <c r="O191" s="4">
        <f>'Class Allocations'!N$144*Functional!$F191+'Class Allocations'!N$148*Functional!$G191+'Class Allocations'!N$152*Functional!$I191+'Class Allocations'!N$156*Functional!$H191+'Class Allocations'!N$160*Functional!$J191+'Class Allocations'!N$166*Functional!$K191+'Class Allocations'!N$172*Functional!$L191+'Class Allocations'!N$178*Functional!$M191+'Class Allocations'!N$184*Functional!$N191+Functional!$Q191</f>
        <v>0</v>
      </c>
      <c r="P191" s="4">
        <f t="shared" si="74"/>
        <v>8413.8273982416395</v>
      </c>
      <c r="R191" s="124">
        <f t="shared" si="75"/>
        <v>0</v>
      </c>
      <c r="S191" s="124">
        <f t="shared" si="76"/>
        <v>9.0949470177292824E-11</v>
      </c>
    </row>
    <row r="192" spans="1:19">
      <c r="A192" s="117">
        <f>IF(ISBLANK(C192),"",MAX($A$155:$A191)+1)</f>
        <v>34</v>
      </c>
      <c r="B192" s="117">
        <f>Functional!$B192</f>
        <v>880</v>
      </c>
      <c r="C192" s="169" t="str">
        <f>Functional!$C192</f>
        <v>Other Expenses</v>
      </c>
      <c r="E192" s="135">
        <f>Functional!$E192</f>
        <v>9694445.2439462245</v>
      </c>
      <c r="F192" s="135">
        <f>'Class Allocations'!E$144*Functional!$F192+'Class Allocations'!E$148*Functional!$G192+'Class Allocations'!E$152*Functional!$I192+'Class Allocations'!E$156*Functional!$H192+'Class Allocations'!E$160*Functional!$J192+'Class Allocations'!E$166*Functional!$K192+'Class Allocations'!E$172*Functional!$L192+'Class Allocations'!E$178*Functional!$M192+'Class Allocations'!E$184*Functional!$N192+Functional!$O192</f>
        <v>5971987.7400846481</v>
      </c>
      <c r="G192" s="135">
        <f>'Class Allocations'!F$144*Functional!$F192+'Class Allocations'!F$148*Functional!$G192+'Class Allocations'!F$152*Functional!$I192+'Class Allocations'!F$156*Functional!$H192+'Class Allocations'!F$160*Functional!$J192+'Class Allocations'!F$166*Functional!$K192+'Class Allocations'!F$172*Functional!$L192+'Class Allocations'!F$178*Functional!$M192+'Class Allocations'!F$184*Functional!$N192</f>
        <v>2381590.4411883582</v>
      </c>
      <c r="H192" s="135">
        <f t="shared" si="73"/>
        <v>8353578.1812730059</v>
      </c>
      <c r="I192" s="4">
        <f>'Class Allocations'!H$144*Functional!$F192+'Class Allocations'!H$148*Functional!$G192+'Class Allocations'!H$152*Functional!$I192+'Class Allocations'!H$156*Functional!$H192+'Class Allocations'!H$160*Functional!$J192+'Class Allocations'!H$166*Functional!$K192+'Class Allocations'!H$172*Functional!$L192+'Class Allocations'!H$178*Functional!$M192+'Class Allocations'!H$184*Functional!$N192</f>
        <v>481554.8556325417</v>
      </c>
      <c r="J192" s="4">
        <f>'Class Allocations'!I$144*Functional!$F192+'Class Allocations'!I$148*Functional!$G192+'Class Allocations'!I$152*Functional!$I192+'Class Allocations'!I$156*Functional!$H192+'Class Allocations'!I$160*Functional!$J192+'Class Allocations'!I$166*Functional!$K192+'Class Allocations'!I$172*Functional!$L192+'Class Allocations'!I$178*Functional!$M192+'Class Allocations'!I$184*Functional!$N192</f>
        <v>58082.073837587974</v>
      </c>
      <c r="K192" s="4">
        <f>'Class Allocations'!J$144*Functional!$F192+'Class Allocations'!J$148*Functional!$G192+'Class Allocations'!J$152*Functional!$I192+'Class Allocations'!J$156*Functional!$H192+'Class Allocations'!J$160*Functional!$J192+'Class Allocations'!J$166*Functional!$K192+'Class Allocations'!J$172*Functional!$L192+'Class Allocations'!J$178*Functional!$M192+'Class Allocations'!J$184*Functional!$N192</f>
        <v>50133.171160360362</v>
      </c>
      <c r="L192" s="4">
        <f>'Class Allocations'!K$144*Functional!$F192+'Class Allocations'!K$148*Functional!$G192+'Class Allocations'!K$152*Functional!$I192+'Class Allocations'!K$156*Functional!$H192+'Class Allocations'!K$160*Functional!$J192+'Class Allocations'!K$166*Functional!$K192+'Class Allocations'!K$172*Functional!$L192+'Class Allocations'!K$178*Functional!$M192+'Class Allocations'!K$184*Functional!$N192</f>
        <v>608738.788037349</v>
      </c>
      <c r="M192" s="4">
        <f>'Class Allocations'!L$144*Functional!$F192+'Class Allocations'!L$148*Functional!$G192+'Class Allocations'!L$152*Functional!$I192+'Class Allocations'!L$156*Functional!$H192+'Class Allocations'!L$160*Functional!$J192+'Class Allocations'!L$166*Functional!$K192+'Class Allocations'!L$172*Functional!$L192+'Class Allocations'!L$178*Functional!$M192+'Class Allocations'!L$184*Functional!$N192</f>
        <v>83757.319082225164</v>
      </c>
      <c r="N192" s="4">
        <f>'Class Allocations'!M$144*Functional!$F192+'Class Allocations'!M$148*Functional!$G192+'Class Allocations'!M$152*Functional!$I192+'Class Allocations'!M$156*Functional!$H192+'Class Allocations'!M$160*Functional!$J192+'Class Allocations'!M$166*Functional!$K192+'Class Allocations'!M$172*Functional!$L192+'Class Allocations'!M$178*Functional!$M192+'Class Allocations'!M$184*Functional!$N192+Functional!$P192</f>
        <v>22026.009885668889</v>
      </c>
      <c r="O192" s="4">
        <f>'Class Allocations'!N$144*Functional!$F192+'Class Allocations'!N$148*Functional!$G192+'Class Allocations'!N$152*Functional!$I192+'Class Allocations'!N$156*Functional!$H192+'Class Allocations'!N$160*Functional!$J192+'Class Allocations'!N$166*Functional!$K192+'Class Allocations'!N$172*Functional!$L192+'Class Allocations'!N$178*Functional!$M192+'Class Allocations'!N$184*Functional!$N192+Functional!$Q192</f>
        <v>36574.845037486346</v>
      </c>
      <c r="P192" s="4">
        <f t="shared" si="74"/>
        <v>1340867.0626732197</v>
      </c>
      <c r="R192" s="124">
        <f t="shared" si="75"/>
        <v>0</v>
      </c>
      <c r="S192" s="124">
        <f t="shared" si="76"/>
        <v>0</v>
      </c>
    </row>
    <row r="193" spans="1:19">
      <c r="A193" s="117">
        <f>IF(ISBLANK(C193),"",MAX($A$155:$A192)+1)</f>
        <v>35</v>
      </c>
      <c r="B193" s="117">
        <f>Functional!$B193</f>
        <v>881</v>
      </c>
      <c r="C193" s="169" t="str">
        <f>Functional!$C193</f>
        <v>Rents</v>
      </c>
      <c r="D193" s="303"/>
      <c r="E193" s="298">
        <f>Functional!$E193</f>
        <v>36553.419800000003</v>
      </c>
      <c r="F193" s="298">
        <f>'Class Allocations'!E$144*Functional!$F193+'Class Allocations'!E$148*Functional!$G193+'Class Allocations'!E$152*Functional!$I193+'Class Allocations'!E$156*Functional!$H193+'Class Allocations'!E$160*Functional!$J193+'Class Allocations'!E$166*Functional!$K193+'Class Allocations'!E$172*Functional!$L193+'Class Allocations'!E$178*Functional!$M193+'Class Allocations'!E$184*Functional!$N193+Functional!$O193</f>
        <v>22517.696413839105</v>
      </c>
      <c r="G193" s="298">
        <f>'Class Allocations'!F$144*Functional!$F193+'Class Allocations'!F$148*Functional!$G193+'Class Allocations'!F$152*Functional!$I193+'Class Allocations'!F$156*Functional!$H193+'Class Allocations'!F$160*Functional!$J193+'Class Allocations'!F$166*Functional!$K193+'Class Allocations'!F$172*Functional!$L193+'Class Allocations'!F$178*Functional!$M193+'Class Allocations'!F$184*Functional!$N193</f>
        <v>8979.9130324437756</v>
      </c>
      <c r="H193" s="298">
        <f t="shared" si="73"/>
        <v>31497.609446282881</v>
      </c>
      <c r="I193" s="5">
        <f>'Class Allocations'!H$144*Functional!$F193+'Class Allocations'!H$148*Functional!$G193+'Class Allocations'!H$152*Functional!$I193+'Class Allocations'!H$156*Functional!$H193+'Class Allocations'!H$160*Functional!$J193+'Class Allocations'!H$166*Functional!$K193+'Class Allocations'!H$172*Functional!$L193+'Class Allocations'!H$178*Functional!$M193+'Class Allocations'!H$184*Functional!$N193</f>
        <v>1815.7281156089571</v>
      </c>
      <c r="J193" s="5">
        <f>'Class Allocations'!I$144*Functional!$F193+'Class Allocations'!I$148*Functional!$G193+'Class Allocations'!I$152*Functional!$I193+'Class Allocations'!I$156*Functional!$H193+'Class Allocations'!I$160*Functional!$J193+'Class Allocations'!I$166*Functional!$K193+'Class Allocations'!I$172*Functional!$L193+'Class Allocations'!I$178*Functional!$M193+'Class Allocations'!I$184*Functional!$N193</f>
        <v>219.00153896539226</v>
      </c>
      <c r="K193" s="5">
        <f>'Class Allocations'!J$144*Functional!$F193+'Class Allocations'!J$148*Functional!$G193+'Class Allocations'!J$152*Functional!$I193+'Class Allocations'!J$156*Functional!$H193+'Class Allocations'!J$160*Functional!$J193+'Class Allocations'!J$166*Functional!$K193+'Class Allocations'!J$172*Functional!$L193+'Class Allocations'!J$178*Functional!$M193+'Class Allocations'!J$184*Functional!$N193</f>
        <v>189.02977996335056</v>
      </c>
      <c r="L193" s="5">
        <f>'Class Allocations'!K$144*Functional!$F193+'Class Allocations'!K$148*Functional!$G193+'Class Allocations'!K$152*Functional!$I193+'Class Allocations'!K$156*Functional!$H193+'Class Allocations'!K$160*Functional!$J193+'Class Allocations'!K$166*Functional!$K193+'Class Allocations'!K$172*Functional!$L193+'Class Allocations'!K$178*Functional!$M193+'Class Allocations'!K$184*Functional!$N193</f>
        <v>2295.2818761411395</v>
      </c>
      <c r="M193" s="5">
        <f>'Class Allocations'!L$144*Functional!$F193+'Class Allocations'!L$148*Functional!$G193+'Class Allocations'!L$152*Functional!$I193+'Class Allocations'!L$156*Functional!$H193+'Class Allocations'!L$160*Functional!$J193+'Class Allocations'!L$166*Functional!$K193+'Class Allocations'!L$172*Functional!$L193+'Class Allocations'!L$178*Functional!$M193+'Class Allocations'!L$184*Functional!$N193</f>
        <v>315.81141248355374</v>
      </c>
      <c r="N193" s="5">
        <f>'Class Allocations'!M$144*Functional!$F193+'Class Allocations'!M$148*Functional!$G193+'Class Allocations'!M$152*Functional!$I193+'Class Allocations'!M$156*Functional!$H193+'Class Allocations'!M$160*Functional!$J193+'Class Allocations'!M$166*Functional!$K193+'Class Allocations'!M$172*Functional!$L193+'Class Allocations'!M$178*Functional!$M193+'Class Allocations'!M$184*Functional!$N193+Functional!$P193</f>
        <v>83.050238111620928</v>
      </c>
      <c r="O193" s="5">
        <f>'Class Allocations'!N$144*Functional!$F193+'Class Allocations'!N$148*Functional!$G193+'Class Allocations'!N$152*Functional!$I193+'Class Allocations'!N$156*Functional!$H193+'Class Allocations'!N$160*Functional!$J193+'Class Allocations'!N$166*Functional!$K193+'Class Allocations'!N$172*Functional!$L193+'Class Allocations'!N$178*Functional!$M193+'Class Allocations'!N$184*Functional!$N193+Functional!$Q193</f>
        <v>137.90739244311538</v>
      </c>
      <c r="P193" s="5">
        <f t="shared" si="74"/>
        <v>5055.8103537171291</v>
      </c>
      <c r="R193" s="124">
        <f t="shared" si="75"/>
        <v>0</v>
      </c>
      <c r="S193" s="124">
        <f t="shared" si="76"/>
        <v>0</v>
      </c>
    </row>
    <row r="194" spans="1:19">
      <c r="A194" s="117">
        <f>IF(ISBLANK(C194),"",MAX($A$155:$A193)+1)</f>
        <v>36</v>
      </c>
      <c r="B194" s="117"/>
      <c r="C194" s="174" t="s">
        <v>147</v>
      </c>
      <c r="E194" s="135">
        <f>SUM(E183:E193)</f>
        <v>25427926.553933196</v>
      </c>
      <c r="F194" s="135">
        <f t="shared" ref="F194:N194" si="77">SUM(F183:F193)</f>
        <v>15682174.564607132</v>
      </c>
      <c r="G194" s="135">
        <f t="shared" si="77"/>
        <v>6206356.9472177532</v>
      </c>
      <c r="H194" s="135">
        <f t="shared" si="77"/>
        <v>21888531.51182488</v>
      </c>
      <c r="I194" s="4">
        <f t="shared" si="77"/>
        <v>1189752.1390511408</v>
      </c>
      <c r="J194" s="4">
        <f>SUM(J183:J193)</f>
        <v>155704.15046715096</v>
      </c>
      <c r="K194" s="4">
        <f t="shared" si="77"/>
        <v>133761.96323102579</v>
      </c>
      <c r="L194" s="4">
        <f t="shared" si="77"/>
        <v>1632333.8842288149</v>
      </c>
      <c r="M194" s="4">
        <f t="shared" si="77"/>
        <v>215203.86988893771</v>
      </c>
      <c r="N194" s="4">
        <f t="shared" si="77"/>
        <v>81855.292918456194</v>
      </c>
      <c r="O194" s="4">
        <f>SUM(O183:O193)</f>
        <v>130783.74232278993</v>
      </c>
      <c r="P194" s="4">
        <f>SUM(P183:P193)</f>
        <v>3539395.0421083164</v>
      </c>
      <c r="R194" s="124">
        <f t="shared" si="75"/>
        <v>0</v>
      </c>
      <c r="S194" s="124">
        <f t="shared" si="76"/>
        <v>0</v>
      </c>
    </row>
    <row r="195" spans="1:19">
      <c r="A195" s="117" t="str">
        <f>IF(ISBLANK(C195),"",MAX($A$155:$A194)+1)</f>
        <v/>
      </c>
      <c r="B195" s="117"/>
      <c r="E195" s="491"/>
      <c r="F195" s="491"/>
      <c r="G195" s="135"/>
      <c r="H195" s="135"/>
      <c r="I195" s="4"/>
      <c r="J195" s="4"/>
      <c r="K195" s="4"/>
      <c r="L195" s="4"/>
      <c r="M195" s="4"/>
      <c r="N195" s="4"/>
      <c r="O195" s="4"/>
      <c r="P195" s="4"/>
      <c r="R195" s="124"/>
      <c r="S195" s="124"/>
    </row>
    <row r="196" spans="1:19">
      <c r="A196" s="117">
        <f>IF(ISBLANK(C196),"",MAX($A$155:$A195)+1)</f>
        <v>37</v>
      </c>
      <c r="B196" s="117"/>
      <c r="C196" s="140" t="str">
        <f>Functional!$C196</f>
        <v>Maintenance</v>
      </c>
      <c r="E196" s="135"/>
      <c r="F196" s="135"/>
      <c r="G196" s="135"/>
      <c r="H196" s="135"/>
      <c r="I196" s="4"/>
      <c r="J196" s="4"/>
      <c r="K196" s="4"/>
      <c r="L196" s="4"/>
      <c r="M196" s="4"/>
      <c r="N196" s="4"/>
      <c r="O196" s="4"/>
      <c r="P196" s="4"/>
      <c r="R196" s="124"/>
      <c r="S196" s="124"/>
    </row>
    <row r="197" spans="1:19">
      <c r="A197" s="117">
        <f>IF(ISBLANK(C197),"",MAX($A$155:$A196)+1)</f>
        <v>38</v>
      </c>
      <c r="B197" s="117">
        <f>Functional!$B197</f>
        <v>885</v>
      </c>
      <c r="C197" s="169" t="str">
        <f>Functional!$C197</f>
        <v>Supervision &amp; Engineering</v>
      </c>
      <c r="E197" s="135">
        <f>Functional!$E197</f>
        <v>202.67000000000002</v>
      </c>
      <c r="F197" s="135">
        <f>'Class Allocations'!E$144*Functional!$F197+'Class Allocations'!E$148*Functional!$G197+'Class Allocations'!E$152*Functional!$I197+'Class Allocations'!E$156*Functional!$H197+'Class Allocations'!E$160*Functional!$J197+'Class Allocations'!E$166*Functional!$K197+'Class Allocations'!E$172*Functional!$L197+'Class Allocations'!E$178*Functional!$M197+'Class Allocations'!E$184*Functional!$N197+Functional!$O197</f>
        <v>115.91285557764544</v>
      </c>
      <c r="G197" s="135">
        <f>'Class Allocations'!F$144*Functional!$F197+'Class Allocations'!F$148*Functional!$G197+'Class Allocations'!F$152*Functional!$I197+'Class Allocations'!F$156*Functional!$H197+'Class Allocations'!F$160*Functional!$J197+'Class Allocations'!F$166*Functional!$K197+'Class Allocations'!F$172*Functional!$L197+'Class Allocations'!F$178*Functional!$M197+'Class Allocations'!F$184*Functional!$N197</f>
        <v>51.763118753467296</v>
      </c>
      <c r="H197" s="135">
        <f t="shared" ref="H197:H206" si="78">SUM(F197:G197)</f>
        <v>167.67597433111274</v>
      </c>
      <c r="I197" s="4">
        <f>'Class Allocations'!H$144*Functional!$F197+'Class Allocations'!H$148*Functional!$G197+'Class Allocations'!H$152*Functional!$I197+'Class Allocations'!H$156*Functional!$H197+'Class Allocations'!H$160*Functional!$J197+'Class Allocations'!H$166*Functional!$K197+'Class Allocations'!H$172*Functional!$L197+'Class Allocations'!H$178*Functional!$M197+'Class Allocations'!H$184*Functional!$N197</f>
        <v>12.761126764695447</v>
      </c>
      <c r="J197" s="4">
        <f>'Class Allocations'!I$144*Functional!$F197+'Class Allocations'!I$148*Functional!$G197+'Class Allocations'!I$152*Functional!$I197+'Class Allocations'!I$156*Functional!$H197+'Class Allocations'!I$160*Functional!$J197+'Class Allocations'!I$166*Functional!$K197+'Class Allocations'!I$172*Functional!$L197+'Class Allocations'!I$178*Functional!$M197+'Class Allocations'!I$184*Functional!$N197</f>
        <v>1.3897503902343502</v>
      </c>
      <c r="K197" s="4">
        <f>'Class Allocations'!J$144*Functional!$F197+'Class Allocations'!J$148*Functional!$G197+'Class Allocations'!J$152*Functional!$I197+'Class Allocations'!J$156*Functional!$H197+'Class Allocations'!J$160*Functional!$J197+'Class Allocations'!J$166*Functional!$K197+'Class Allocations'!J$172*Functional!$L197+'Class Allocations'!J$178*Functional!$M197+'Class Allocations'!J$184*Functional!$N197</f>
        <v>1.3417673524874827</v>
      </c>
      <c r="L197" s="4">
        <f>'Class Allocations'!K$144*Functional!$F197+'Class Allocations'!K$148*Functional!$G197+'Class Allocations'!K$152*Functional!$I197+'Class Allocations'!K$156*Functional!$H197+'Class Allocations'!K$160*Functional!$J197+'Class Allocations'!K$166*Functional!$K197+'Class Allocations'!K$172*Functional!$L197+'Class Allocations'!K$178*Functional!$M197+'Class Allocations'!K$184*Functional!$N197</f>
        <v>14.34193567130707</v>
      </c>
      <c r="M197" s="4">
        <f>'Class Allocations'!L$144*Functional!$F197+'Class Allocations'!L$148*Functional!$G197+'Class Allocations'!L$152*Functional!$I197+'Class Allocations'!L$156*Functional!$H197+'Class Allocations'!L$160*Functional!$J197+'Class Allocations'!L$166*Functional!$K197+'Class Allocations'!L$172*Functional!$L197+'Class Allocations'!L$178*Functional!$M197+'Class Allocations'!L$184*Functional!$N197</f>
        <v>1.471748175610575</v>
      </c>
      <c r="N197" s="4">
        <f>'Class Allocations'!M$144*Functional!$F197+'Class Allocations'!M$148*Functional!$G197+'Class Allocations'!M$152*Functional!$I197+'Class Allocations'!M$156*Functional!$H197+'Class Allocations'!M$160*Functional!$J197+'Class Allocations'!M$166*Functional!$K197+'Class Allocations'!M$172*Functional!$L197+'Class Allocations'!M$178*Functional!$M197+'Class Allocations'!M$184*Functional!$N197+Functional!$P197</f>
        <v>1.5810298654366801</v>
      </c>
      <c r="O197" s="4">
        <f>'Class Allocations'!N$144*Functional!$F197+'Class Allocations'!N$148*Functional!$G197+'Class Allocations'!N$152*Functional!$I197+'Class Allocations'!N$156*Functional!$H197+'Class Allocations'!N$160*Functional!$J197+'Class Allocations'!N$166*Functional!$K197+'Class Allocations'!N$172*Functional!$L197+'Class Allocations'!N$178*Functional!$M197+'Class Allocations'!N$184*Functional!$N197+Functional!$Q197</f>
        <v>2.1066674491156516</v>
      </c>
      <c r="P197" s="4">
        <f t="shared" ref="P197" si="79">SUM(I197:O197)</f>
        <v>34.994025668887261</v>
      </c>
      <c r="R197" s="124">
        <f t="shared" si="75"/>
        <v>0</v>
      </c>
      <c r="S197" s="124">
        <f t="shared" si="76"/>
        <v>0</v>
      </c>
    </row>
    <row r="198" spans="1:19">
      <c r="A198" s="117">
        <f>IF(ISBLANK(C198),"",MAX($A$155:$A197)+1)</f>
        <v>39</v>
      </c>
      <c r="B198" s="117">
        <f>Functional!$B198</f>
        <v>886</v>
      </c>
      <c r="C198" s="169" t="str">
        <f>Functional!$C198</f>
        <v>Structures &amp; Improvements</v>
      </c>
      <c r="E198" s="135">
        <f>Functional!$E198</f>
        <v>301.74</v>
      </c>
      <c r="F198" s="135">
        <f>'Class Allocations'!E$144*Functional!$F198+'Class Allocations'!E$148*Functional!$G198+'Class Allocations'!E$152*Functional!$I198+'Class Allocations'!E$156*Functional!$H198+'Class Allocations'!E$160*Functional!$J198+'Class Allocations'!E$166*Functional!$K198+'Class Allocations'!E$172*Functional!$L198+'Class Allocations'!E$178*Functional!$M198+'Class Allocations'!E$184*Functional!$N198+Functional!$O198</f>
        <v>119.96843426659888</v>
      </c>
      <c r="G198" s="135">
        <f>'Class Allocations'!F$144*Functional!$F198+'Class Allocations'!F$148*Functional!$G198+'Class Allocations'!F$152*Functional!$I198+'Class Allocations'!F$156*Functional!$H198+'Class Allocations'!F$160*Functional!$J198+'Class Allocations'!F$166*Functional!$K198+'Class Allocations'!F$172*Functional!$L198+'Class Allocations'!F$178*Functional!$M198+'Class Allocations'!F$184*Functional!$N198</f>
        <v>82.914517836735143</v>
      </c>
      <c r="H198" s="135">
        <f t="shared" si="78"/>
        <v>202.88295210333402</v>
      </c>
      <c r="I198" s="4">
        <f>'Class Allocations'!H$144*Functional!$F198+'Class Allocations'!H$148*Functional!$G198+'Class Allocations'!H$152*Functional!$I198+'Class Allocations'!H$156*Functional!$H198+'Class Allocations'!H$160*Functional!$J198+'Class Allocations'!H$166*Functional!$K198+'Class Allocations'!H$172*Functional!$L198+'Class Allocations'!H$178*Functional!$M198+'Class Allocations'!H$184*Functional!$N198</f>
        <v>15.562920778237437</v>
      </c>
      <c r="J198" s="4">
        <f>'Class Allocations'!I$144*Functional!$F198+'Class Allocations'!I$148*Functional!$G198+'Class Allocations'!I$152*Functional!$I198+'Class Allocations'!I$156*Functional!$H198+'Class Allocations'!I$160*Functional!$J198+'Class Allocations'!I$166*Functional!$K198+'Class Allocations'!I$172*Functional!$L198+'Class Allocations'!I$178*Functional!$M198+'Class Allocations'!I$184*Functional!$N198</f>
        <v>5.0403446362800954</v>
      </c>
      <c r="K198" s="4">
        <f>'Class Allocations'!J$144*Functional!$F198+'Class Allocations'!J$148*Functional!$G198+'Class Allocations'!J$152*Functional!$I198+'Class Allocations'!J$156*Functional!$H198+'Class Allocations'!J$160*Functional!$J198+'Class Allocations'!J$166*Functional!$K198+'Class Allocations'!J$172*Functional!$L198+'Class Allocations'!J$178*Functional!$M198+'Class Allocations'!J$184*Functional!$N198</f>
        <v>3.4797073594779011</v>
      </c>
      <c r="L198" s="4">
        <f>'Class Allocations'!K$144*Functional!$F198+'Class Allocations'!K$148*Functional!$G198+'Class Allocations'!K$152*Functional!$I198+'Class Allocations'!K$156*Functional!$H198+'Class Allocations'!K$160*Functional!$J198+'Class Allocations'!K$166*Functional!$K198+'Class Allocations'!K$172*Functional!$L198+'Class Allocations'!K$178*Functional!$M198+'Class Allocations'!K$184*Functional!$N198</f>
        <v>53.920612523994464</v>
      </c>
      <c r="M198" s="4">
        <f>'Class Allocations'!L$144*Functional!$F198+'Class Allocations'!L$148*Functional!$G198+'Class Allocations'!L$152*Functional!$I198+'Class Allocations'!L$156*Functional!$H198+'Class Allocations'!L$160*Functional!$J198+'Class Allocations'!L$166*Functional!$K198+'Class Allocations'!L$172*Functional!$L198+'Class Allocations'!L$178*Functional!$M198+'Class Allocations'!L$184*Functional!$N198</f>
        <v>3.9647687461500185</v>
      </c>
      <c r="N198" s="4">
        <f>'Class Allocations'!M$144*Functional!$F198+'Class Allocations'!M$148*Functional!$G198+'Class Allocations'!M$152*Functional!$I198+'Class Allocations'!M$156*Functional!$H198+'Class Allocations'!M$160*Functional!$J198+'Class Allocations'!M$166*Functional!$K198+'Class Allocations'!M$172*Functional!$L198+'Class Allocations'!M$178*Functional!$M198+'Class Allocations'!M$184*Functional!$N198+Functional!$P198</f>
        <v>0.18668217563028847</v>
      </c>
      <c r="O198" s="4">
        <f>'Class Allocations'!N$144*Functional!$F198+'Class Allocations'!N$148*Functional!$G198+'Class Allocations'!N$152*Functional!$I198+'Class Allocations'!N$156*Functional!$H198+'Class Allocations'!N$160*Functional!$J198+'Class Allocations'!N$166*Functional!$K198+'Class Allocations'!N$172*Functional!$L198+'Class Allocations'!N$178*Functional!$M198+'Class Allocations'!N$184*Functional!$N198+Functional!$Q198</f>
        <v>16.702011676895768</v>
      </c>
      <c r="P198" s="4">
        <f t="shared" ref="P198:P206" si="80">SUM(I198:O198)</f>
        <v>98.857047896665975</v>
      </c>
      <c r="R198" s="124">
        <f t="shared" si="75"/>
        <v>0</v>
      </c>
      <c r="S198" s="124">
        <f t="shared" si="76"/>
        <v>0</v>
      </c>
    </row>
    <row r="199" spans="1:19">
      <c r="A199" s="117">
        <f>IF(ISBLANK(C199),"",MAX($A$155:$A198)+1)</f>
        <v>40</v>
      </c>
      <c r="B199" s="117">
        <f>Functional!$B199</f>
        <v>887</v>
      </c>
      <c r="C199" s="169" t="str">
        <f>Functional!$C199</f>
        <v>Mains</v>
      </c>
      <c r="E199" s="135">
        <f>Functional!$E199</f>
        <v>520525.31977455213</v>
      </c>
      <c r="F199" s="135">
        <f>'Class Allocations'!E$144*Functional!$F199+'Class Allocations'!E$148*Functional!$G199+'Class Allocations'!E$152*Functional!$I199+'Class Allocations'!E$156*Functional!$H199+'Class Allocations'!E$160*Functional!$J199+'Class Allocations'!E$166*Functional!$K199+'Class Allocations'!E$172*Functional!$L199+'Class Allocations'!E$178*Functional!$M199+'Class Allocations'!E$184*Functional!$N199+Functional!$O199</f>
        <v>300749.46490842669</v>
      </c>
      <c r="G199" s="135">
        <f>'Class Allocations'!F$144*Functional!$F199+'Class Allocations'!F$148*Functional!$G199+'Class Allocations'!F$152*Functional!$I199+'Class Allocations'!F$156*Functional!$H199+'Class Allocations'!F$160*Functional!$J199+'Class Allocations'!F$166*Functional!$K199+'Class Allocations'!F$172*Functional!$L199+'Class Allocations'!F$178*Functional!$M199+'Class Allocations'!F$184*Functional!$N199</f>
        <v>130851.70236822046</v>
      </c>
      <c r="H199" s="135">
        <f t="shared" si="78"/>
        <v>431601.16727664717</v>
      </c>
      <c r="I199" s="4">
        <f>'Class Allocations'!H$144*Functional!$F199+'Class Allocations'!H$148*Functional!$G199+'Class Allocations'!H$152*Functional!$I199+'Class Allocations'!H$156*Functional!$H199+'Class Allocations'!H$160*Functional!$J199+'Class Allocations'!H$166*Functional!$K199+'Class Allocations'!H$172*Functional!$L199+'Class Allocations'!H$178*Functional!$M199+'Class Allocations'!H$184*Functional!$N199</f>
        <v>25539.301110787826</v>
      </c>
      <c r="J199" s="4">
        <f>'Class Allocations'!I$144*Functional!$F199+'Class Allocations'!I$148*Functional!$G199+'Class Allocations'!I$152*Functional!$I199+'Class Allocations'!I$156*Functional!$H199+'Class Allocations'!I$160*Functional!$J199+'Class Allocations'!I$166*Functional!$K199+'Class Allocations'!I$172*Functional!$L199+'Class Allocations'!I$178*Functional!$M199+'Class Allocations'!I$184*Functional!$N199</f>
        <v>4294.8320925196231</v>
      </c>
      <c r="K199" s="4">
        <f>'Class Allocations'!J$144*Functional!$F199+'Class Allocations'!J$148*Functional!$G199+'Class Allocations'!J$152*Functional!$I199+'Class Allocations'!J$156*Functional!$H199+'Class Allocations'!J$160*Functional!$J199+'Class Allocations'!J$166*Functional!$K199+'Class Allocations'!J$172*Functional!$L199+'Class Allocations'!J$178*Functional!$M199+'Class Allocations'!J$184*Functional!$N199</f>
        <v>2839.5606428470373</v>
      </c>
      <c r="L199" s="4">
        <f>'Class Allocations'!K$144*Functional!$F199+'Class Allocations'!K$148*Functional!$G199+'Class Allocations'!K$152*Functional!$I199+'Class Allocations'!K$156*Functional!$H199+'Class Allocations'!K$160*Functional!$J199+'Class Allocations'!K$166*Functional!$K199+'Class Allocations'!K$172*Functional!$L199+'Class Allocations'!K$178*Functional!$M199+'Class Allocations'!K$184*Functional!$N199</f>
        <v>46258.644404463725</v>
      </c>
      <c r="M199" s="4">
        <f>'Class Allocations'!L$144*Functional!$F199+'Class Allocations'!L$148*Functional!$G199+'Class Allocations'!L$152*Functional!$I199+'Class Allocations'!L$156*Functional!$H199+'Class Allocations'!L$160*Functional!$J199+'Class Allocations'!L$166*Functional!$K199+'Class Allocations'!L$172*Functional!$L199+'Class Allocations'!L$178*Functional!$M199+'Class Allocations'!L$184*Functional!$N199</f>
        <v>7115.441757774729</v>
      </c>
      <c r="N199" s="4">
        <f>'Class Allocations'!M$144*Functional!$F199+'Class Allocations'!M$148*Functional!$G199+'Class Allocations'!M$152*Functional!$I199+'Class Allocations'!M$156*Functional!$H199+'Class Allocations'!M$160*Functional!$J199+'Class Allocations'!M$166*Functional!$K199+'Class Allocations'!M$172*Functional!$L199+'Class Allocations'!M$178*Functional!$M199+'Class Allocations'!M$184*Functional!$N199+Functional!$P199</f>
        <v>735.6060892682541</v>
      </c>
      <c r="O199" s="4">
        <f>'Class Allocations'!N$144*Functional!$F199+'Class Allocations'!N$148*Functional!$G199+'Class Allocations'!N$152*Functional!$I199+'Class Allocations'!N$156*Functional!$H199+'Class Allocations'!N$160*Functional!$J199+'Class Allocations'!N$166*Functional!$K199+'Class Allocations'!N$172*Functional!$L199+'Class Allocations'!N$178*Functional!$M199+'Class Allocations'!N$184*Functional!$N199+Functional!$Q199</f>
        <v>2140.7664002437364</v>
      </c>
      <c r="P199" s="4">
        <f t="shared" si="80"/>
        <v>88924.152497904928</v>
      </c>
      <c r="R199" s="124">
        <f t="shared" si="75"/>
        <v>0</v>
      </c>
      <c r="S199" s="124">
        <f t="shared" si="76"/>
        <v>0</v>
      </c>
    </row>
    <row r="200" spans="1:19">
      <c r="A200" s="117">
        <f>IF(ISBLANK(C200),"",MAX($A$155:$A199)+1)</f>
        <v>41</v>
      </c>
      <c r="B200" s="117">
        <f>Functional!$B200</f>
        <v>888</v>
      </c>
      <c r="C200" s="169" t="str">
        <f>Functional!$C200</f>
        <v>Main. Of Compressor Sta. Eq.</v>
      </c>
      <c r="E200" s="135">
        <f>Functional!$E200</f>
        <v>7681.0148431820871</v>
      </c>
      <c r="F200" s="135">
        <f>'Class Allocations'!E$144*Functional!$F200+'Class Allocations'!E$148*Functional!$G200+'Class Allocations'!E$152*Functional!$I200+'Class Allocations'!E$156*Functional!$H200+'Class Allocations'!E$160*Functional!$J200+'Class Allocations'!E$166*Functional!$K200+'Class Allocations'!E$172*Functional!$L200+'Class Allocations'!E$178*Functional!$M200+'Class Allocations'!E$184*Functional!$N200+Functional!$O200</f>
        <v>3278.6317463478235</v>
      </c>
      <c r="G200" s="135">
        <f>'Class Allocations'!F$144*Functional!$F200+'Class Allocations'!F$148*Functional!$G200+'Class Allocations'!F$152*Functional!$I200+'Class Allocations'!F$156*Functional!$H200+'Class Allocations'!F$160*Functional!$J200+'Class Allocations'!F$166*Functional!$K200+'Class Allocations'!F$172*Functional!$L200+'Class Allocations'!F$178*Functional!$M200+'Class Allocations'!F$184*Functional!$N200</f>
        <v>2266.1932606524815</v>
      </c>
      <c r="H200" s="135">
        <f t="shared" si="78"/>
        <v>5544.825007000305</v>
      </c>
      <c r="I200" s="4">
        <f>'Class Allocations'!H$144*Functional!$F200+'Class Allocations'!H$148*Functional!$G200+'Class Allocations'!H$152*Functional!$I200+'Class Allocations'!H$156*Functional!$H200+'Class Allocations'!H$160*Functional!$J200+'Class Allocations'!H$166*Functional!$K200+'Class Allocations'!H$172*Functional!$L200+'Class Allocations'!H$178*Functional!$M200+'Class Allocations'!H$184*Functional!$N200</f>
        <v>426.61023972210427</v>
      </c>
      <c r="J200" s="4">
        <f>'Class Allocations'!I$144*Functional!$F200+'Class Allocations'!I$148*Functional!$G200+'Class Allocations'!I$152*Functional!$I200+'Class Allocations'!I$156*Functional!$H200+'Class Allocations'!I$160*Functional!$J200+'Class Allocations'!I$166*Functional!$K200+'Class Allocations'!I$172*Functional!$L200+'Class Allocations'!I$178*Functional!$M200+'Class Allocations'!I$184*Functional!$N200</f>
        <v>138.01442322633241</v>
      </c>
      <c r="K200" s="4">
        <f>'Class Allocations'!J$144*Functional!$F200+'Class Allocations'!J$148*Functional!$G200+'Class Allocations'!J$152*Functional!$I200+'Class Allocations'!J$156*Functional!$H200+'Class Allocations'!J$160*Functional!$J200+'Class Allocations'!J$166*Functional!$K200+'Class Allocations'!J$172*Functional!$L200+'Class Allocations'!J$178*Functional!$M200+'Class Allocations'!J$184*Functional!$N200</f>
        <v>95.385616359717858</v>
      </c>
      <c r="L200" s="4">
        <f>'Class Allocations'!K$144*Functional!$F200+'Class Allocations'!K$148*Functional!$G200+'Class Allocations'!K$152*Functional!$I200+'Class Allocations'!K$156*Functional!$H200+'Class Allocations'!K$160*Functional!$J200+'Class Allocations'!K$166*Functional!$K200+'Class Allocations'!K$172*Functional!$L200+'Class Allocations'!K$178*Functional!$M200+'Class Allocations'!K$184*Functional!$N200</f>
        <v>1476.1795568736263</v>
      </c>
      <c r="M200" s="4">
        <f>'Class Allocations'!L$144*Functional!$F200+'Class Allocations'!L$148*Functional!$G200+'Class Allocations'!L$152*Functional!$I200+'Class Allocations'!L$156*Functional!$H200+'Class Allocations'!L$160*Functional!$J200+'Class Allocations'!L$166*Functional!$K200+'Class Allocations'!L$172*Functional!$L200+'Class Allocations'!L$178*Functional!$M200+'Class Allocations'!L$184*Functional!$N200</f>
        <v>0</v>
      </c>
      <c r="N200" s="4">
        <f>'Class Allocations'!M$144*Functional!$F200+'Class Allocations'!M$148*Functional!$G200+'Class Allocations'!M$152*Functional!$I200+'Class Allocations'!M$156*Functional!$H200+'Class Allocations'!M$160*Functional!$J200+'Class Allocations'!M$166*Functional!$K200+'Class Allocations'!M$172*Functional!$L200+'Class Allocations'!M$178*Functional!$M200+'Class Allocations'!M$184*Functional!$N200+Functional!$P200</f>
        <v>0</v>
      </c>
      <c r="O200" s="4">
        <f>'Class Allocations'!N$144*Functional!$F200+'Class Allocations'!N$148*Functional!$G200+'Class Allocations'!N$152*Functional!$I200+'Class Allocations'!N$156*Functional!$H200+'Class Allocations'!N$160*Functional!$J200+'Class Allocations'!N$166*Functional!$K200+'Class Allocations'!N$172*Functional!$L200+'Class Allocations'!N$178*Functional!$M200+'Class Allocations'!N$184*Functional!$N200+Functional!$Q200</f>
        <v>0</v>
      </c>
      <c r="P200" s="4">
        <f t="shared" si="80"/>
        <v>2136.1898361817812</v>
      </c>
      <c r="R200" s="124">
        <f t="shared" si="75"/>
        <v>0</v>
      </c>
      <c r="S200" s="124">
        <f t="shared" si="76"/>
        <v>0</v>
      </c>
    </row>
    <row r="201" spans="1:19">
      <c r="A201" s="117">
        <f>IF(ISBLANK(C201),"",MAX($A$155:$A200)+1)</f>
        <v>42</v>
      </c>
      <c r="B201" s="117">
        <f>Functional!$B201</f>
        <v>889</v>
      </c>
      <c r="C201" s="169" t="str">
        <f>Functional!$C201</f>
        <v>Meas. &amp; Reg. Sta. Eq. - Gen.</v>
      </c>
      <c r="E201" s="135">
        <f>Functional!$E201</f>
        <v>304842.34098551114</v>
      </c>
      <c r="F201" s="135">
        <f>'Class Allocations'!E$144*Functional!$F201+'Class Allocations'!E$148*Functional!$G201+'Class Allocations'!E$152*Functional!$I201+'Class Allocations'!E$156*Functional!$H201+'Class Allocations'!E$160*Functional!$J201+'Class Allocations'!E$166*Functional!$K201+'Class Allocations'!E$172*Functional!$L201+'Class Allocations'!E$178*Functional!$M201+'Class Allocations'!E$184*Functional!$N201+Functional!$O201</f>
        <v>120634.03591886115</v>
      </c>
      <c r="G201" s="135">
        <f>'Class Allocations'!F$144*Functional!$F201+'Class Allocations'!F$148*Functional!$G201+'Class Allocations'!F$152*Functional!$I201+'Class Allocations'!F$156*Functional!$H201+'Class Allocations'!F$160*Functional!$J201+'Class Allocations'!F$166*Functional!$K201+'Class Allocations'!F$172*Functional!$L201+'Class Allocations'!F$178*Functional!$M201+'Class Allocations'!F$184*Functional!$N201</f>
        <v>83373.342743801972</v>
      </c>
      <c r="H201" s="135">
        <f t="shared" si="78"/>
        <v>204007.3786626631</v>
      </c>
      <c r="I201" s="4">
        <f>'Class Allocations'!H$144*Functional!$F201+'Class Allocations'!H$148*Functional!$G201+'Class Allocations'!H$152*Functional!$I201+'Class Allocations'!H$156*Functional!$H201+'Class Allocations'!H$160*Functional!$J201+'Class Allocations'!H$166*Functional!$K201+'Class Allocations'!H$172*Functional!$L201+'Class Allocations'!H$178*Functional!$M201+'Class Allocations'!H$184*Functional!$N201</f>
        <v>15642.00502424323</v>
      </c>
      <c r="J201" s="4">
        <f>'Class Allocations'!I$144*Functional!$F201+'Class Allocations'!I$148*Functional!$G201+'Class Allocations'!I$152*Functional!$I201+'Class Allocations'!I$156*Functional!$H201+'Class Allocations'!I$160*Functional!$J201+'Class Allocations'!I$166*Functional!$K201+'Class Allocations'!I$172*Functional!$L201+'Class Allocations'!I$178*Functional!$M201+'Class Allocations'!I$184*Functional!$N201</f>
        <v>5066.8097899482373</v>
      </c>
      <c r="K201" s="4">
        <f>'Class Allocations'!J$144*Functional!$F201+'Class Allocations'!J$148*Functional!$G201+'Class Allocations'!J$152*Functional!$I201+'Class Allocations'!J$156*Functional!$H201+'Class Allocations'!J$160*Functional!$J201+'Class Allocations'!J$166*Functional!$K201+'Class Allocations'!J$172*Functional!$L201+'Class Allocations'!J$178*Functional!$M201+'Class Allocations'!J$184*Functional!$N201</f>
        <v>3497.3897750582682</v>
      </c>
      <c r="L201" s="4">
        <f>'Class Allocations'!K$144*Functional!$F201+'Class Allocations'!K$148*Functional!$G201+'Class Allocations'!K$152*Functional!$I201+'Class Allocations'!K$156*Functional!$H201+'Class Allocations'!K$160*Functional!$J201+'Class Allocations'!K$166*Functional!$K201+'Class Allocations'!K$172*Functional!$L201+'Class Allocations'!K$178*Functional!$M201+'Class Allocations'!K$184*Functional!$N201</f>
        <v>54205.260606965923</v>
      </c>
      <c r="M201" s="4">
        <f>'Class Allocations'!L$144*Functional!$F201+'Class Allocations'!L$148*Functional!$G201+'Class Allocations'!L$152*Functional!$I201+'Class Allocations'!L$156*Functional!$H201+'Class Allocations'!L$160*Functional!$J201+'Class Allocations'!L$166*Functional!$K201+'Class Allocations'!L$172*Functional!$L201+'Class Allocations'!L$178*Functional!$M201+'Class Allocations'!L$184*Functional!$N201</f>
        <v>4596.9822229401771</v>
      </c>
      <c r="N201" s="4">
        <f>'Class Allocations'!M$144*Functional!$F201+'Class Allocations'!M$148*Functional!$G201+'Class Allocations'!M$152*Functional!$I201+'Class Allocations'!M$156*Functional!$H201+'Class Allocations'!M$160*Functional!$J201+'Class Allocations'!M$166*Functional!$K201+'Class Allocations'!M$172*Functional!$L201+'Class Allocations'!M$178*Functional!$M201+'Class Allocations'!M$184*Functional!$N201+Functional!$P201</f>
        <v>6816.7115147863042</v>
      </c>
      <c r="O201" s="4">
        <f>'Class Allocations'!N$144*Functional!$F201+'Class Allocations'!N$148*Functional!$G201+'Class Allocations'!N$152*Functional!$I201+'Class Allocations'!N$156*Functional!$H201+'Class Allocations'!N$160*Functional!$J201+'Class Allocations'!N$166*Functional!$K201+'Class Allocations'!N$172*Functional!$L201+'Class Allocations'!N$178*Functional!$M201+'Class Allocations'!N$184*Functional!$N201+Functional!$Q201</f>
        <v>11009.803388905875</v>
      </c>
      <c r="P201" s="4">
        <f t="shared" si="80"/>
        <v>100834.96232284802</v>
      </c>
      <c r="R201" s="124">
        <f t="shared" si="75"/>
        <v>0</v>
      </c>
      <c r="S201" s="124">
        <f t="shared" si="76"/>
        <v>0</v>
      </c>
    </row>
    <row r="202" spans="1:19">
      <c r="A202" s="117">
        <f>IF(ISBLANK(C202),"",MAX($A$155:$A201)+1)</f>
        <v>43</v>
      </c>
      <c r="B202" s="117">
        <f>Functional!$B202</f>
        <v>890</v>
      </c>
      <c r="C202" s="169" t="str">
        <f>Functional!$C202</f>
        <v>Meas. &amp; Reg. Sta. Eq. - Ind.</v>
      </c>
      <c r="E202" s="135">
        <f>Functional!$E202</f>
        <v>83490.124143431603</v>
      </c>
      <c r="F202" s="135">
        <f>'Class Allocations'!E$144*Functional!$F202+'Class Allocations'!E$148*Functional!$G202+'Class Allocations'!E$152*Functional!$I202+'Class Allocations'!E$156*Functional!$H202+'Class Allocations'!E$160*Functional!$J202+'Class Allocations'!E$166*Functional!$K202+'Class Allocations'!E$172*Functional!$L202+'Class Allocations'!E$178*Functional!$M202+'Class Allocations'!E$184*Functional!$N202+Functional!$O202</f>
        <v>50266.473639425349</v>
      </c>
      <c r="G202" s="135">
        <f>'Class Allocations'!F$144*Functional!$F202+'Class Allocations'!F$148*Functional!$G202+'Class Allocations'!F$152*Functional!$I202+'Class Allocations'!F$156*Functional!$H202+'Class Allocations'!F$160*Functional!$J202+'Class Allocations'!F$166*Functional!$K202+'Class Allocations'!F$172*Functional!$L202+'Class Allocations'!F$178*Functional!$M202+'Class Allocations'!F$184*Functional!$N202</f>
        <v>22289.702602909398</v>
      </c>
      <c r="H202" s="135">
        <f t="shared" si="78"/>
        <v>72556.176242334739</v>
      </c>
      <c r="I202" s="4">
        <f>'Class Allocations'!H$144*Functional!$F202+'Class Allocations'!H$148*Functional!$G202+'Class Allocations'!H$152*Functional!$I202+'Class Allocations'!H$156*Functional!$H202+'Class Allocations'!H$160*Functional!$J202+'Class Allocations'!H$166*Functional!$K202+'Class Allocations'!H$172*Functional!$L202+'Class Allocations'!H$178*Functional!$M202+'Class Allocations'!H$184*Functional!$N202</f>
        <v>8687.7849096371465</v>
      </c>
      <c r="J202" s="4">
        <f>'Class Allocations'!I$144*Functional!$F202+'Class Allocations'!I$148*Functional!$G202+'Class Allocations'!I$152*Functional!$I202+'Class Allocations'!I$156*Functional!$H202+'Class Allocations'!I$160*Functional!$J202+'Class Allocations'!I$166*Functional!$K202+'Class Allocations'!I$172*Functional!$L202+'Class Allocations'!I$178*Functional!$M202+'Class Allocations'!I$184*Functional!$N202</f>
        <v>153.34854558762103</v>
      </c>
      <c r="K202" s="4">
        <f>'Class Allocations'!J$144*Functional!$F202+'Class Allocations'!J$148*Functional!$G202+'Class Allocations'!J$152*Functional!$I202+'Class Allocations'!J$156*Functional!$H202+'Class Allocations'!J$160*Functional!$J202+'Class Allocations'!J$166*Functional!$K202+'Class Allocations'!J$172*Functional!$L202+'Class Allocations'!J$178*Functional!$M202+'Class Allocations'!J$184*Functional!$N202</f>
        <v>467.90966474171552</v>
      </c>
      <c r="L202" s="4">
        <f>'Class Allocations'!K$144*Functional!$F202+'Class Allocations'!K$148*Functional!$G202+'Class Allocations'!K$152*Functional!$I202+'Class Allocations'!K$156*Functional!$H202+'Class Allocations'!K$160*Functional!$J202+'Class Allocations'!K$166*Functional!$K202+'Class Allocations'!K$172*Functional!$L202+'Class Allocations'!K$178*Functional!$M202+'Class Allocations'!K$184*Functional!$N202</f>
        <v>1132.42002895474</v>
      </c>
      <c r="M202" s="4">
        <f>'Class Allocations'!L$144*Functional!$F202+'Class Allocations'!L$148*Functional!$G202+'Class Allocations'!L$152*Functional!$I202+'Class Allocations'!L$156*Functional!$H202+'Class Allocations'!L$160*Functional!$J202+'Class Allocations'!L$166*Functional!$K202+'Class Allocations'!L$172*Functional!$L202+'Class Allocations'!L$178*Functional!$M202+'Class Allocations'!L$184*Functional!$N202</f>
        <v>132.70547214313359</v>
      </c>
      <c r="N202" s="4">
        <f>'Class Allocations'!M$144*Functional!$F202+'Class Allocations'!M$148*Functional!$G202+'Class Allocations'!M$152*Functional!$I202+'Class Allocations'!M$156*Functional!$H202+'Class Allocations'!M$160*Functional!$J202+'Class Allocations'!M$166*Functional!$K202+'Class Allocations'!M$172*Functional!$L202+'Class Allocations'!M$178*Functional!$M202+'Class Allocations'!M$184*Functional!$N202+Functional!$P202</f>
        <v>353.88125904835624</v>
      </c>
      <c r="O202" s="4">
        <f>'Class Allocations'!N$144*Functional!$F202+'Class Allocations'!N$148*Functional!$G202+'Class Allocations'!N$152*Functional!$I202+'Class Allocations'!N$156*Functional!$H202+'Class Allocations'!N$160*Functional!$J202+'Class Allocations'!N$166*Functional!$K202+'Class Allocations'!N$172*Functional!$L202+'Class Allocations'!N$178*Functional!$M202+'Class Allocations'!N$184*Functional!$N202+Functional!$Q202</f>
        <v>5.8980209841392712</v>
      </c>
      <c r="P202" s="4">
        <f t="shared" si="80"/>
        <v>10933.947901096853</v>
      </c>
      <c r="R202" s="124">
        <f t="shared" si="75"/>
        <v>0</v>
      </c>
      <c r="S202" s="124">
        <f t="shared" si="76"/>
        <v>0</v>
      </c>
    </row>
    <row r="203" spans="1:19">
      <c r="A203" s="117">
        <f>IF(ISBLANK(C203),"",MAX($A$155:$A202)+1)</f>
        <v>44</v>
      </c>
      <c r="B203" s="117">
        <f>Functional!$B203</f>
        <v>891</v>
      </c>
      <c r="C203" s="169" t="str">
        <f>Functional!$C203</f>
        <v>Meas. &amp; Reg. Sta. Eq. - City Gate</v>
      </c>
      <c r="E203" s="135">
        <f>Functional!$E203</f>
        <v>509769.67425050912</v>
      </c>
      <c r="F203" s="135">
        <f>'Class Allocations'!E$144*Functional!$F203+'Class Allocations'!E$148*Functional!$G203+'Class Allocations'!E$152*Functional!$I203+'Class Allocations'!E$156*Functional!$H203+'Class Allocations'!E$160*Functional!$J203+'Class Allocations'!E$166*Functional!$K203+'Class Allocations'!E$172*Functional!$L203+'Class Allocations'!E$178*Functional!$M203+'Class Allocations'!E$184*Functional!$N203+Functional!$O203</f>
        <v>201729.106905149</v>
      </c>
      <c r="G203" s="135">
        <f>'Class Allocations'!F$144*Functional!$F203+'Class Allocations'!F$148*Functional!$G203+'Class Allocations'!F$152*Functional!$I203+'Class Allocations'!F$156*Functional!$H203+'Class Allocations'!F$160*Functional!$J203+'Class Allocations'!F$166*Functional!$K203+'Class Allocations'!F$172*Functional!$L203+'Class Allocations'!F$178*Functional!$M203+'Class Allocations'!F$184*Functional!$N203</f>
        <v>139420.27093179955</v>
      </c>
      <c r="H203" s="135">
        <f t="shared" si="78"/>
        <v>341149.37783694855</v>
      </c>
      <c r="I203" s="4">
        <f>'Class Allocations'!H$144*Functional!$F203+'Class Allocations'!H$148*Functional!$G203+'Class Allocations'!H$152*Functional!$I203+'Class Allocations'!H$156*Functional!$H203+'Class Allocations'!H$160*Functional!$J203+'Class Allocations'!H$166*Functional!$K203+'Class Allocations'!H$172*Functional!$L203+'Class Allocations'!H$178*Functional!$M203+'Class Allocations'!H$184*Functional!$N203</f>
        <v>26157.192534524875</v>
      </c>
      <c r="J203" s="4">
        <f>'Class Allocations'!I$144*Functional!$F203+'Class Allocations'!I$148*Functional!$G203+'Class Allocations'!I$152*Functional!$I203+'Class Allocations'!I$156*Functional!$H203+'Class Allocations'!I$160*Functional!$J203+'Class Allocations'!I$166*Functional!$K203+'Class Allocations'!I$172*Functional!$L203+'Class Allocations'!I$178*Functional!$M203+'Class Allocations'!I$184*Functional!$N203</f>
        <v>8472.9239637808932</v>
      </c>
      <c r="K203" s="4">
        <f>'Class Allocations'!J$144*Functional!$F203+'Class Allocations'!J$148*Functional!$G203+'Class Allocations'!J$152*Functional!$I203+'Class Allocations'!J$156*Functional!$H203+'Class Allocations'!J$160*Functional!$J203+'Class Allocations'!J$166*Functional!$K203+'Class Allocations'!J$172*Functional!$L203+'Class Allocations'!J$178*Functional!$M203+'Class Allocations'!J$184*Functional!$N203</f>
        <v>5848.4764307831256</v>
      </c>
      <c r="L203" s="4">
        <f>'Class Allocations'!K$144*Functional!$F203+'Class Allocations'!K$148*Functional!$G203+'Class Allocations'!K$152*Functional!$I203+'Class Allocations'!K$156*Functional!$H203+'Class Allocations'!K$160*Functional!$J203+'Class Allocations'!K$166*Functional!$K203+'Class Allocations'!K$172*Functional!$L203+'Class Allocations'!K$178*Functional!$M203+'Class Allocations'!K$184*Functional!$N203</f>
        <v>90644.225972501328</v>
      </c>
      <c r="M203" s="4">
        <f>'Class Allocations'!L$144*Functional!$F203+'Class Allocations'!L$148*Functional!$G203+'Class Allocations'!L$152*Functional!$I203+'Class Allocations'!L$156*Functional!$H203+'Class Allocations'!L$160*Functional!$J203+'Class Allocations'!L$166*Functional!$K203+'Class Allocations'!L$172*Functional!$L203+'Class Allocations'!L$178*Functional!$M203+'Class Allocations'!L$184*Functional!$N203</f>
        <v>7687.259331324236</v>
      </c>
      <c r="N203" s="4">
        <f>'Class Allocations'!M$144*Functional!$F203+'Class Allocations'!M$148*Functional!$G203+'Class Allocations'!M$152*Functional!$I203+'Class Allocations'!M$156*Functional!$H203+'Class Allocations'!M$160*Functional!$J203+'Class Allocations'!M$166*Functional!$K203+'Class Allocations'!M$172*Functional!$L203+'Class Allocations'!M$178*Functional!$M203+'Class Allocations'!M$184*Functional!$N203+Functional!$P203</f>
        <v>11399.180301260938</v>
      </c>
      <c r="O203" s="4">
        <f>'Class Allocations'!N$144*Functional!$F203+'Class Allocations'!N$148*Functional!$G203+'Class Allocations'!N$152*Functional!$I203+'Class Allocations'!N$156*Functional!$H203+'Class Allocations'!N$160*Functional!$J203+'Class Allocations'!N$166*Functional!$K203+'Class Allocations'!N$172*Functional!$L203+'Class Allocations'!N$178*Functional!$M203+'Class Allocations'!N$184*Functional!$N203+Functional!$Q203</f>
        <v>18411.037879385181</v>
      </c>
      <c r="P203" s="4">
        <f t="shared" si="80"/>
        <v>168620.29641356054</v>
      </c>
      <c r="R203" s="124">
        <f t="shared" si="75"/>
        <v>0</v>
      </c>
      <c r="S203" s="124">
        <f t="shared" si="76"/>
        <v>0</v>
      </c>
    </row>
    <row r="204" spans="1:19">
      <c r="A204" s="117">
        <f>IF(ISBLANK(C204),"",MAX($A$155:$A203)+1)</f>
        <v>45</v>
      </c>
      <c r="B204" s="117">
        <f>Functional!$B204</f>
        <v>892</v>
      </c>
      <c r="C204" s="169" t="str">
        <f>Functional!$C204</f>
        <v>Services</v>
      </c>
      <c r="E204" s="135">
        <f>Functional!$E204</f>
        <v>455433.99012575269</v>
      </c>
      <c r="F204" s="135">
        <f>'Class Allocations'!E$144*Functional!$F204+'Class Allocations'!E$148*Functional!$G204+'Class Allocations'!E$152*Functional!$I204+'Class Allocations'!E$156*Functional!$H204+'Class Allocations'!E$160*Functional!$J204+'Class Allocations'!E$166*Functional!$K204+'Class Allocations'!E$172*Functional!$L204+'Class Allocations'!E$178*Functional!$M204+'Class Allocations'!E$184*Functional!$N204+Functional!$O204</f>
        <v>360896.85119113163</v>
      </c>
      <c r="G204" s="135">
        <f>'Class Allocations'!F$144*Functional!$F204+'Class Allocations'!F$148*Functional!$G204+'Class Allocations'!F$152*Functional!$I204+'Class Allocations'!F$156*Functional!$H204+'Class Allocations'!F$160*Functional!$J204+'Class Allocations'!F$166*Functional!$K204+'Class Allocations'!F$172*Functional!$L204+'Class Allocations'!F$178*Functional!$M204+'Class Allocations'!F$184*Functional!$N204</f>
        <v>91447.302471345422</v>
      </c>
      <c r="H204" s="135">
        <f t="shared" si="78"/>
        <v>452344.15366247704</v>
      </c>
      <c r="I204" s="4">
        <f>'Class Allocations'!H$144*Functional!$F204+'Class Allocations'!H$148*Functional!$G204+'Class Allocations'!H$152*Functional!$I204+'Class Allocations'!H$156*Functional!$H204+'Class Allocations'!H$160*Functional!$J204+'Class Allocations'!H$166*Functional!$K204+'Class Allocations'!H$172*Functional!$L204+'Class Allocations'!H$178*Functional!$M204+'Class Allocations'!H$184*Functional!$N204</f>
        <v>0</v>
      </c>
      <c r="J204" s="4">
        <f>'Class Allocations'!I$144*Functional!$F204+'Class Allocations'!I$148*Functional!$G204+'Class Allocations'!I$152*Functional!$I204+'Class Allocations'!I$156*Functional!$H204+'Class Allocations'!I$160*Functional!$J204+'Class Allocations'!I$166*Functional!$K204+'Class Allocations'!I$172*Functional!$L204+'Class Allocations'!I$178*Functional!$M204+'Class Allocations'!I$184*Functional!$N204</f>
        <v>275.24810888019567</v>
      </c>
      <c r="K204" s="4">
        <f>'Class Allocations'!J$144*Functional!$F204+'Class Allocations'!J$148*Functional!$G204+'Class Allocations'!J$152*Functional!$I204+'Class Allocations'!J$156*Functional!$H204+'Class Allocations'!J$160*Functional!$J204+'Class Allocations'!J$166*Functional!$K204+'Class Allocations'!J$172*Functional!$L204+'Class Allocations'!J$178*Functional!$M204+'Class Allocations'!J$184*Functional!$N204</f>
        <v>1007.8315371305625</v>
      </c>
      <c r="L204" s="4">
        <f>'Class Allocations'!K$144*Functional!$F204+'Class Allocations'!K$148*Functional!$G204+'Class Allocations'!K$152*Functional!$I204+'Class Allocations'!K$156*Functional!$H204+'Class Allocations'!K$160*Functional!$J204+'Class Allocations'!K$166*Functional!$K204+'Class Allocations'!K$172*Functional!$L204+'Class Allocations'!K$178*Functional!$M204+'Class Allocations'!K$184*Functional!$N204</f>
        <v>1806.7568172648744</v>
      </c>
      <c r="M204" s="4">
        <f>'Class Allocations'!L$144*Functional!$F204+'Class Allocations'!L$148*Functional!$G204+'Class Allocations'!L$152*Functional!$I204+'Class Allocations'!L$156*Functional!$H204+'Class Allocations'!L$160*Functional!$J204+'Class Allocations'!L$166*Functional!$K204+'Class Allocations'!L$172*Functional!$L204+'Class Allocations'!L$178*Functional!$M204+'Class Allocations'!L$184*Functional!$N204</f>
        <v>0</v>
      </c>
      <c r="N204" s="4">
        <f>'Class Allocations'!M$144*Functional!$F204+'Class Allocations'!M$148*Functional!$G204+'Class Allocations'!M$152*Functional!$I204+'Class Allocations'!M$156*Functional!$H204+'Class Allocations'!M$160*Functional!$J204+'Class Allocations'!M$166*Functional!$K204+'Class Allocations'!M$172*Functional!$L204+'Class Allocations'!M$178*Functional!$M204+'Class Allocations'!M$184*Functional!$N204+Functional!$P204</f>
        <v>0</v>
      </c>
      <c r="O204" s="4">
        <f>'Class Allocations'!N$144*Functional!$F204+'Class Allocations'!N$148*Functional!$G204+'Class Allocations'!N$152*Functional!$I204+'Class Allocations'!N$156*Functional!$H204+'Class Allocations'!N$160*Functional!$J204+'Class Allocations'!N$166*Functional!$K204+'Class Allocations'!N$172*Functional!$L204+'Class Allocations'!N$178*Functional!$M204+'Class Allocations'!N$184*Functional!$N204+Functional!$Q204</f>
        <v>0</v>
      </c>
      <c r="P204" s="4">
        <f t="shared" si="80"/>
        <v>3089.8364632756325</v>
      </c>
      <c r="R204" s="124">
        <f t="shared" si="75"/>
        <v>0</v>
      </c>
      <c r="S204" s="124">
        <f t="shared" si="76"/>
        <v>2.4101609596982598E-11</v>
      </c>
    </row>
    <row r="205" spans="1:19">
      <c r="A205" s="117">
        <f>IF(ISBLANK(C205),"",MAX($A$155:$A204)+1)</f>
        <v>46</v>
      </c>
      <c r="B205" s="117">
        <f>Functional!$B205</f>
        <v>893</v>
      </c>
      <c r="C205" s="169" t="str">
        <f>Functional!$C205</f>
        <v>Meters &amp; House Regulators</v>
      </c>
      <c r="E205" s="135">
        <f>Functional!$E205</f>
        <v>1070351.1555256925</v>
      </c>
      <c r="F205" s="135">
        <f>'Class Allocations'!E$144*Functional!$F205+'Class Allocations'!E$148*Functional!$G205+'Class Allocations'!E$152*Functional!$I205+'Class Allocations'!E$156*Functional!$H205+'Class Allocations'!E$160*Functional!$J205+'Class Allocations'!E$166*Functional!$K205+'Class Allocations'!E$172*Functional!$L205+'Class Allocations'!E$178*Functional!$M205+'Class Allocations'!E$184*Functional!$N205+Functional!$O205</f>
        <v>644420.86649350729</v>
      </c>
      <c r="G205" s="135">
        <f>'Class Allocations'!F$144*Functional!$F205+'Class Allocations'!F$148*Functional!$G205+'Class Allocations'!F$152*Functional!$I205+'Class Allocations'!F$156*Functional!$H205+'Class Allocations'!F$160*Functional!$J205+'Class Allocations'!F$166*Functional!$K205+'Class Allocations'!F$172*Functional!$L205+'Class Allocations'!F$178*Functional!$M205+'Class Allocations'!F$184*Functional!$N205</f>
        <v>285756.06015822495</v>
      </c>
      <c r="H205" s="135">
        <f t="shared" si="78"/>
        <v>930176.9266517323</v>
      </c>
      <c r="I205" s="4">
        <f>'Class Allocations'!H$144*Functional!$F205+'Class Allocations'!H$148*Functional!$G205+'Class Allocations'!H$152*Functional!$I205+'Class Allocations'!H$156*Functional!$H205+'Class Allocations'!H$160*Functional!$J205+'Class Allocations'!H$166*Functional!$K205+'Class Allocations'!H$172*Functional!$L205+'Class Allocations'!H$178*Functional!$M205+'Class Allocations'!H$184*Functional!$N205</f>
        <v>111378.21044574851</v>
      </c>
      <c r="J205" s="4">
        <f>'Class Allocations'!I$144*Functional!$F205+'Class Allocations'!I$148*Functional!$G205+'Class Allocations'!I$152*Functional!$I205+'Class Allocations'!I$156*Functional!$H205+'Class Allocations'!I$160*Functional!$J205+'Class Allocations'!I$166*Functional!$K205+'Class Allocations'!I$172*Functional!$L205+'Class Allocations'!I$178*Functional!$M205+'Class Allocations'!I$184*Functional!$N205</f>
        <v>1965.9426147925737</v>
      </c>
      <c r="K205" s="4">
        <f>'Class Allocations'!J$144*Functional!$F205+'Class Allocations'!J$148*Functional!$G205+'Class Allocations'!J$152*Functional!$I205+'Class Allocations'!J$156*Functional!$H205+'Class Allocations'!J$160*Functional!$J205+'Class Allocations'!J$166*Functional!$K205+'Class Allocations'!J$172*Functional!$L205+'Class Allocations'!J$178*Functional!$M205+'Class Allocations'!J$184*Functional!$N205</f>
        <v>5998.6454143670844</v>
      </c>
      <c r="L205" s="4">
        <f>'Class Allocations'!K$144*Functional!$F205+'Class Allocations'!K$148*Functional!$G205+'Class Allocations'!K$152*Functional!$I205+'Class Allocations'!K$156*Functional!$H205+'Class Allocations'!K$160*Functional!$J205+'Class Allocations'!K$166*Functional!$K205+'Class Allocations'!K$172*Functional!$L205+'Class Allocations'!K$178*Functional!$M205+'Class Allocations'!K$184*Functional!$N205</f>
        <v>14517.730078468237</v>
      </c>
      <c r="M205" s="4">
        <f>'Class Allocations'!L$144*Functional!$F205+'Class Allocations'!L$148*Functional!$G205+'Class Allocations'!L$152*Functional!$I205+'Class Allocations'!L$156*Functional!$H205+'Class Allocations'!L$160*Functional!$J205+'Class Allocations'!L$166*Functional!$K205+'Class Allocations'!L$172*Functional!$L205+'Class Allocations'!L$178*Functional!$M205+'Class Allocations'!L$184*Functional!$N205</f>
        <v>1701.2964935704965</v>
      </c>
      <c r="N205" s="4">
        <f>'Class Allocations'!M$144*Functional!$F205+'Class Allocations'!M$148*Functional!$G205+'Class Allocations'!M$152*Functional!$I205+'Class Allocations'!M$156*Functional!$H205+'Class Allocations'!M$160*Functional!$J205+'Class Allocations'!M$166*Functional!$K205+'Class Allocations'!M$172*Functional!$L205+'Class Allocations'!M$178*Functional!$M205+'Class Allocations'!M$184*Functional!$N205+Functional!$P205</f>
        <v>4536.7906495213238</v>
      </c>
      <c r="O205" s="4">
        <f>'Class Allocations'!N$144*Functional!$F205+'Class Allocations'!N$148*Functional!$G205+'Class Allocations'!N$152*Functional!$I205+'Class Allocations'!N$156*Functional!$H205+'Class Allocations'!N$160*Functional!$J205+'Class Allocations'!N$166*Functional!$K205+'Class Allocations'!N$172*Functional!$L205+'Class Allocations'!N$178*Functional!$M205+'Class Allocations'!N$184*Functional!$N205+Functional!$Q205</f>
        <v>75.613177492022075</v>
      </c>
      <c r="P205" s="4">
        <f t="shared" si="80"/>
        <v>140174.22887396024</v>
      </c>
      <c r="R205" s="124">
        <f t="shared" si="75"/>
        <v>0</v>
      </c>
      <c r="S205" s="124">
        <f t="shared" si="76"/>
        <v>0</v>
      </c>
    </row>
    <row r="206" spans="1:19">
      <c r="A206" s="117">
        <f>IF(ISBLANK(C206),"",MAX($A$155:$A205)+1)</f>
        <v>47</v>
      </c>
      <c r="B206" s="117">
        <f>Functional!$B206</f>
        <v>894</v>
      </c>
      <c r="C206" s="169" t="str">
        <f>Functional!$C206</f>
        <v>Other Equipment</v>
      </c>
      <c r="D206" s="303"/>
      <c r="E206" s="298">
        <f>Functional!$E206</f>
        <v>146627.87107701585</v>
      </c>
      <c r="F206" s="298">
        <f>'Class Allocations'!E$144*Functional!$F206+'Class Allocations'!E$148*Functional!$G206+'Class Allocations'!E$152*Functional!$I206+'Class Allocations'!E$156*Functional!$H206+'Class Allocations'!E$160*Functional!$J206+'Class Allocations'!E$166*Functional!$K206+'Class Allocations'!E$172*Functional!$L206+'Class Allocations'!E$178*Functional!$M206+'Class Allocations'!E$184*Functional!$N206+Functional!$O206</f>
        <v>90325.936801124742</v>
      </c>
      <c r="G206" s="298">
        <f>'Class Allocations'!F$144*Functional!$F206+'Class Allocations'!F$148*Functional!$G206+'Class Allocations'!F$152*Functional!$I206+'Class Allocations'!F$156*Functional!$H206+'Class Allocations'!F$160*Functional!$J206+'Class Allocations'!F$166*Functional!$K206+'Class Allocations'!F$172*Functional!$L206+'Class Allocations'!F$178*Functional!$M206+'Class Allocations'!F$184*Functional!$N206</f>
        <v>36021.404771653681</v>
      </c>
      <c r="H206" s="298">
        <f t="shared" si="78"/>
        <v>126347.34157277842</v>
      </c>
      <c r="I206" s="5">
        <f>'Class Allocations'!H$144*Functional!$F206+'Class Allocations'!H$148*Functional!$G206+'Class Allocations'!H$152*Functional!$I206+'Class Allocations'!H$156*Functional!$H206+'Class Allocations'!H$160*Functional!$J206+'Class Allocations'!H$166*Functional!$K206+'Class Allocations'!H$172*Functional!$L206+'Class Allocations'!H$178*Functional!$M206+'Class Allocations'!H$184*Functional!$N206</f>
        <v>7283.4867299180314</v>
      </c>
      <c r="J206" s="5">
        <f>'Class Allocations'!I$144*Functional!$F206+'Class Allocations'!I$148*Functional!$G206+'Class Allocations'!I$152*Functional!$I206+'Class Allocations'!I$156*Functional!$H206+'Class Allocations'!I$160*Functional!$J206+'Class Allocations'!I$166*Functional!$K206+'Class Allocations'!I$172*Functional!$L206+'Class Allocations'!I$178*Functional!$M206+'Class Allocations'!I$184*Functional!$N206</f>
        <v>878.4876927188518</v>
      </c>
      <c r="K206" s="5">
        <f>'Class Allocations'!J$144*Functional!$F206+'Class Allocations'!J$148*Functional!$G206+'Class Allocations'!J$152*Functional!$I206+'Class Allocations'!J$156*Functional!$H206+'Class Allocations'!J$160*Functional!$J206+'Class Allocations'!J$166*Functional!$K206+'Class Allocations'!J$172*Functional!$L206+'Class Allocations'!J$178*Functional!$M206+'Class Allocations'!J$184*Functional!$N206</f>
        <v>758.26104254636232</v>
      </c>
      <c r="L206" s="5">
        <f>'Class Allocations'!K$144*Functional!$F206+'Class Allocations'!K$148*Functional!$G206+'Class Allocations'!K$152*Functional!$I206+'Class Allocations'!K$156*Functional!$H206+'Class Allocations'!K$160*Functional!$J206+'Class Allocations'!K$166*Functional!$K206+'Class Allocations'!K$172*Functional!$L206+'Class Allocations'!K$178*Functional!$M206+'Class Allocations'!K$184*Functional!$N206</f>
        <v>9207.1356623172633</v>
      </c>
      <c r="M206" s="5">
        <f>'Class Allocations'!L$144*Functional!$F206+'Class Allocations'!L$148*Functional!$G206+'Class Allocations'!L$152*Functional!$I206+'Class Allocations'!L$156*Functional!$H206+'Class Allocations'!L$160*Functional!$J206+'Class Allocations'!L$166*Functional!$K206+'Class Allocations'!L$172*Functional!$L206+'Class Allocations'!L$178*Functional!$M206+'Class Allocations'!L$184*Functional!$N206</f>
        <v>1266.8241529152024</v>
      </c>
      <c r="N206" s="5">
        <f>'Class Allocations'!M$144*Functional!$F206+'Class Allocations'!M$148*Functional!$G206+'Class Allocations'!M$152*Functional!$I206+'Class Allocations'!M$156*Functional!$H206+'Class Allocations'!M$160*Functional!$J206+'Class Allocations'!M$166*Functional!$K206+'Class Allocations'!M$172*Functional!$L206+'Class Allocations'!M$178*Functional!$M206+'Class Allocations'!M$184*Functional!$N206+Functional!$P206</f>
        <v>333.14200623018644</v>
      </c>
      <c r="O206" s="5">
        <f>'Class Allocations'!N$144*Functional!$F206+'Class Allocations'!N$148*Functional!$G206+'Class Allocations'!N$152*Functional!$I206+'Class Allocations'!N$156*Functional!$H206+'Class Allocations'!N$160*Functional!$J206+'Class Allocations'!N$166*Functional!$K206+'Class Allocations'!N$172*Functional!$L206+'Class Allocations'!N$178*Functional!$M206+'Class Allocations'!N$184*Functional!$N206+Functional!$Q206</f>
        <v>553.19221759154118</v>
      </c>
      <c r="P206" s="5">
        <f t="shared" si="80"/>
        <v>20280.529504237442</v>
      </c>
      <c r="R206" s="124">
        <f t="shared" si="75"/>
        <v>0</v>
      </c>
      <c r="S206" s="124">
        <f t="shared" si="76"/>
        <v>0</v>
      </c>
    </row>
    <row r="207" spans="1:19">
      <c r="A207" s="117">
        <f>IF(ISBLANK(C207),"",MAX($A$155:$A206)+1)</f>
        <v>48</v>
      </c>
      <c r="C207" s="174" t="str">
        <f>Functional!$C207</f>
        <v>Total Maintenance</v>
      </c>
      <c r="D207" s="303"/>
      <c r="E207" s="298">
        <f>SUM(E197:E206)</f>
        <v>3099225.9007256473</v>
      </c>
      <c r="F207" s="298">
        <f t="shared" ref="F207:N207" si="81">SUM(F197:F206)</f>
        <v>1772537.2488938179</v>
      </c>
      <c r="G207" s="298">
        <f t="shared" si="81"/>
        <v>791560.65694519808</v>
      </c>
      <c r="H207" s="298">
        <f t="shared" si="81"/>
        <v>2564097.9058390157</v>
      </c>
      <c r="I207" s="5">
        <f t="shared" si="81"/>
        <v>195142.91504212466</v>
      </c>
      <c r="J207" s="5">
        <f>SUM(J197:J206)</f>
        <v>21252.03732648084</v>
      </c>
      <c r="K207" s="5">
        <f t="shared" si="81"/>
        <v>20518.281598545836</v>
      </c>
      <c r="L207" s="5">
        <f t="shared" si="81"/>
        <v>219316.61567600502</v>
      </c>
      <c r="M207" s="5">
        <f t="shared" si="81"/>
        <v>22505.945947589735</v>
      </c>
      <c r="N207" s="5">
        <f t="shared" si="81"/>
        <v>24177.079532156433</v>
      </c>
      <c r="O207" s="5">
        <f>SUM(O197:O206)</f>
        <v>32215.119763728508</v>
      </c>
      <c r="P207" s="5">
        <f>SUM(P197:P206)</f>
        <v>535127.99488663103</v>
      </c>
      <c r="R207" s="124">
        <f t="shared" si="75"/>
        <v>0</v>
      </c>
      <c r="S207" s="124">
        <f t="shared" si="76"/>
        <v>0</v>
      </c>
    </row>
    <row r="208" spans="1:19">
      <c r="A208" s="117"/>
      <c r="C208" s="174"/>
      <c r="D208" s="177"/>
      <c r="E208" s="311"/>
      <c r="F208" s="311"/>
      <c r="G208" s="311"/>
      <c r="H208" s="311"/>
      <c r="I208" s="312"/>
      <c r="J208" s="312"/>
      <c r="K208" s="312"/>
      <c r="L208" s="312"/>
      <c r="M208" s="312"/>
      <c r="N208" s="312"/>
      <c r="O208" s="312"/>
      <c r="P208" s="312"/>
      <c r="R208" s="124"/>
      <c r="S208" s="124"/>
    </row>
    <row r="209" spans="1:19">
      <c r="A209" s="117">
        <f>IF(ISBLANK(C209),"",MAX($A$155:$A207)+1)</f>
        <v>49</v>
      </c>
      <c r="C209" s="174" t="str">
        <f>Functional!$C209</f>
        <v>Total Distribution</v>
      </c>
      <c r="E209" s="135">
        <f>E194+E207</f>
        <v>28527152.454658844</v>
      </c>
      <c r="F209" s="135">
        <f t="shared" ref="F209:N209" si="82">F194+F207</f>
        <v>17454711.813500948</v>
      </c>
      <c r="G209" s="135">
        <f t="shared" si="82"/>
        <v>6997917.604162951</v>
      </c>
      <c r="H209" s="135">
        <f t="shared" si="82"/>
        <v>24452629.417663895</v>
      </c>
      <c r="I209" s="4">
        <f t="shared" si="82"/>
        <v>1384895.0540932654</v>
      </c>
      <c r="J209" s="4">
        <f>J194+J207</f>
        <v>176956.18779363181</v>
      </c>
      <c r="K209" s="4">
        <f t="shared" si="82"/>
        <v>154280.24482957163</v>
      </c>
      <c r="L209" s="4">
        <f t="shared" si="82"/>
        <v>1851650.4999048198</v>
      </c>
      <c r="M209" s="4">
        <f t="shared" si="82"/>
        <v>237709.81583652744</v>
      </c>
      <c r="N209" s="4">
        <f t="shared" si="82"/>
        <v>106032.37245061263</v>
      </c>
      <c r="O209" s="4">
        <f>O194+O207</f>
        <v>162998.86208651843</v>
      </c>
      <c r="P209" s="4">
        <f>P194+P207</f>
        <v>4074523.0369949476</v>
      </c>
      <c r="R209" s="124">
        <f t="shared" si="75"/>
        <v>0</v>
      </c>
      <c r="S209" s="124">
        <f t="shared" si="76"/>
        <v>0</v>
      </c>
    </row>
    <row r="210" spans="1:19">
      <c r="A210" s="117"/>
      <c r="E210" s="491"/>
      <c r="F210" s="491"/>
      <c r="G210" s="135"/>
      <c r="H210" s="135"/>
      <c r="I210" s="4"/>
      <c r="J210" s="4"/>
      <c r="K210" s="4"/>
      <c r="L210" s="4"/>
      <c r="M210" s="4"/>
      <c r="N210" s="4"/>
      <c r="O210" s="4"/>
      <c r="P210" s="4"/>
      <c r="R210" s="124"/>
      <c r="S210" s="124"/>
    </row>
    <row r="211" spans="1:19">
      <c r="A211" s="117"/>
      <c r="E211" s="211"/>
      <c r="F211" s="491"/>
      <c r="G211" s="135"/>
      <c r="H211" s="135"/>
      <c r="I211" s="4"/>
      <c r="J211" s="4"/>
      <c r="K211" s="4"/>
      <c r="L211" s="4"/>
      <c r="M211" s="4"/>
      <c r="N211" s="4"/>
      <c r="O211" s="4"/>
      <c r="P211" s="4"/>
      <c r="R211" s="124"/>
      <c r="S211" s="124"/>
    </row>
    <row r="212" spans="1:19">
      <c r="A212" s="113" t="str">
        <f>$A$1</f>
        <v>Black Hills Nebraska Gas, LLC</v>
      </c>
      <c r="B212" s="114"/>
      <c r="C212" s="115"/>
      <c r="D212" s="115"/>
      <c r="E212" s="143"/>
      <c r="F212" s="143"/>
      <c r="G212" s="143"/>
      <c r="H212" s="143"/>
      <c r="I212" s="302"/>
      <c r="J212" s="302"/>
      <c r="K212" s="302"/>
      <c r="L212" s="302"/>
      <c r="M212" s="302"/>
      <c r="N212" s="302"/>
      <c r="O212" s="302"/>
      <c r="P212" s="302"/>
      <c r="R212" s="124"/>
      <c r="S212" s="124"/>
    </row>
    <row r="213" spans="1:19">
      <c r="A213" s="113" t="str">
        <f>$A$2</f>
        <v>RATE BASE AND COST OF SERVICE BY CUSTOMER CLASS</v>
      </c>
      <c r="E213" s="135"/>
      <c r="F213" s="135"/>
      <c r="G213" s="135"/>
      <c r="H213" s="135"/>
      <c r="I213" s="4"/>
      <c r="J213" s="4"/>
      <c r="K213" s="4"/>
      <c r="L213" s="4"/>
      <c r="M213" s="4"/>
      <c r="N213" s="4"/>
      <c r="O213" s="4"/>
      <c r="P213" s="4"/>
      <c r="R213" s="124"/>
      <c r="S213" s="124"/>
    </row>
    <row r="214" spans="1:19">
      <c r="A214" s="113" t="str">
        <f>$A$3</f>
        <v>FOR THE PRO FORMA PERIOD ENDED DECEMBER 31, 2020</v>
      </c>
      <c r="E214" s="135"/>
      <c r="F214" s="135"/>
      <c r="G214" s="135"/>
      <c r="H214" s="135"/>
      <c r="I214" s="4"/>
      <c r="J214" s="4"/>
      <c r="K214" s="4"/>
      <c r="L214" s="4"/>
      <c r="M214" s="4"/>
      <c r="N214" s="4"/>
      <c r="O214" s="4"/>
      <c r="P214" s="4"/>
      <c r="R214" s="124"/>
      <c r="S214" s="124"/>
    </row>
    <row r="215" spans="1:19">
      <c r="A215" s="113"/>
      <c r="E215" s="135"/>
      <c r="F215" s="135"/>
      <c r="G215" s="135"/>
      <c r="H215" s="135"/>
      <c r="I215" s="4"/>
      <c r="J215" s="4"/>
      <c r="K215" s="4"/>
      <c r="L215" s="4"/>
      <c r="M215" s="4"/>
      <c r="N215" s="4"/>
      <c r="O215" s="4"/>
      <c r="P215" s="4"/>
      <c r="R215" s="124"/>
      <c r="S215" s="124"/>
    </row>
    <row r="216" spans="1:19">
      <c r="A216" s="113"/>
      <c r="E216" s="135"/>
      <c r="F216" s="135"/>
      <c r="G216" s="135"/>
      <c r="H216" s="135"/>
      <c r="I216" s="4"/>
      <c r="J216" s="4"/>
      <c r="K216" s="4"/>
      <c r="L216" s="4"/>
      <c r="M216" s="4"/>
      <c r="N216" s="4"/>
      <c r="O216" s="4"/>
      <c r="P216" s="4"/>
      <c r="R216" s="124"/>
      <c r="S216" s="124"/>
    </row>
    <row r="217" spans="1:19">
      <c r="A217" s="117"/>
      <c r="B217" s="117" t="s">
        <v>0</v>
      </c>
      <c r="C217" s="115" t="s">
        <v>1</v>
      </c>
      <c r="D217" s="115"/>
      <c r="E217" s="117" t="s">
        <v>2</v>
      </c>
      <c r="F217" s="117" t="s">
        <v>3</v>
      </c>
      <c r="G217" s="117" t="s">
        <v>4</v>
      </c>
      <c r="H217" s="117" t="s">
        <v>26</v>
      </c>
      <c r="I217" s="148" t="s">
        <v>61</v>
      </c>
      <c r="J217" s="148" t="s">
        <v>62</v>
      </c>
      <c r="K217" s="148" t="s">
        <v>63</v>
      </c>
      <c r="L217" s="148" t="s">
        <v>64</v>
      </c>
      <c r="M217" s="148" t="s">
        <v>79</v>
      </c>
      <c r="N217" s="148" t="s">
        <v>80</v>
      </c>
      <c r="O217" s="148" t="s">
        <v>195</v>
      </c>
      <c r="P217" s="148" t="s">
        <v>196</v>
      </c>
      <c r="Q217" s="117"/>
      <c r="R217" s="124"/>
      <c r="S217" s="124"/>
    </row>
    <row r="218" spans="1:19">
      <c r="R218" s="124"/>
      <c r="S218" s="124"/>
    </row>
    <row r="219" spans="1:19">
      <c r="A219" s="118"/>
      <c r="B219" s="119"/>
      <c r="C219" s="119"/>
      <c r="D219" s="120"/>
      <c r="E219" s="118"/>
      <c r="F219" s="118"/>
      <c r="G219" s="118"/>
      <c r="H219" s="118"/>
      <c r="I219" s="218" t="s">
        <v>197</v>
      </c>
      <c r="J219" s="219"/>
      <c r="K219" s="219"/>
      <c r="L219" s="219"/>
      <c r="M219" s="219"/>
      <c r="N219" s="219"/>
      <c r="O219" s="219"/>
      <c r="P219" s="296"/>
      <c r="Q219" s="117"/>
      <c r="R219" s="124"/>
      <c r="S219" s="124"/>
    </row>
    <row r="220" spans="1:19">
      <c r="A220" s="125" t="s">
        <v>6</v>
      </c>
      <c r="B220" s="126" t="s">
        <v>87</v>
      </c>
      <c r="C220" s="126"/>
      <c r="D220" s="117"/>
      <c r="E220" s="125" t="s">
        <v>20</v>
      </c>
      <c r="F220" s="125" t="s">
        <v>22</v>
      </c>
      <c r="G220" s="125" t="s">
        <v>24</v>
      </c>
      <c r="H220" s="125" t="s">
        <v>20</v>
      </c>
      <c r="I220" s="205"/>
      <c r="J220" s="205"/>
      <c r="K220" s="205" t="s">
        <v>76</v>
      </c>
      <c r="L220" s="205" t="s">
        <v>418</v>
      </c>
      <c r="M220" s="205" t="s">
        <v>418</v>
      </c>
      <c r="N220" s="205" t="s">
        <v>418</v>
      </c>
      <c r="O220" s="220" t="s">
        <v>418</v>
      </c>
      <c r="P220" s="205" t="s">
        <v>20</v>
      </c>
      <c r="Q220" s="117"/>
      <c r="R220" s="124"/>
      <c r="S220" s="124"/>
    </row>
    <row r="221" spans="1:19">
      <c r="A221" s="130" t="s">
        <v>88</v>
      </c>
      <c r="B221" s="131" t="s">
        <v>88</v>
      </c>
      <c r="C221" s="127" t="s">
        <v>8</v>
      </c>
      <c r="D221" s="129"/>
      <c r="E221" s="130" t="s">
        <v>219</v>
      </c>
      <c r="F221" s="130" t="s">
        <v>23</v>
      </c>
      <c r="G221" s="130" t="s">
        <v>23</v>
      </c>
      <c r="H221" s="130" t="s">
        <v>21</v>
      </c>
      <c r="I221" s="208" t="s">
        <v>416</v>
      </c>
      <c r="J221" s="208" t="s">
        <v>436</v>
      </c>
      <c r="K221" s="208" t="s">
        <v>417</v>
      </c>
      <c r="L221" s="208" t="s">
        <v>45</v>
      </c>
      <c r="M221" s="208" t="s">
        <v>42</v>
      </c>
      <c r="N221" s="208" t="s">
        <v>47</v>
      </c>
      <c r="O221" s="221" t="s">
        <v>41</v>
      </c>
      <c r="P221" s="208" t="s">
        <v>77</v>
      </c>
      <c r="Q221" s="117"/>
      <c r="R221" s="124"/>
      <c r="S221" s="124"/>
    </row>
    <row r="222" spans="1:19">
      <c r="A222" s="117"/>
      <c r="B222" s="117"/>
      <c r="C222" s="117"/>
      <c r="D222" s="117"/>
      <c r="E222" s="117" t="s">
        <v>27</v>
      </c>
      <c r="F222" s="117" t="s">
        <v>27</v>
      </c>
      <c r="G222" s="117" t="s">
        <v>27</v>
      </c>
      <c r="H222" s="117" t="s">
        <v>27</v>
      </c>
      <c r="I222" s="148" t="s">
        <v>27</v>
      </c>
      <c r="J222" s="148" t="s">
        <v>27</v>
      </c>
      <c r="K222" s="148" t="s">
        <v>27</v>
      </c>
      <c r="L222" s="148" t="s">
        <v>27</v>
      </c>
      <c r="M222" s="148" t="s">
        <v>27</v>
      </c>
      <c r="N222" s="148" t="s">
        <v>27</v>
      </c>
      <c r="O222" s="148" t="s">
        <v>27</v>
      </c>
      <c r="P222" s="148" t="s">
        <v>27</v>
      </c>
      <c r="Q222" s="117"/>
      <c r="R222" s="124"/>
      <c r="S222" s="124"/>
    </row>
    <row r="223" spans="1:19">
      <c r="A223" s="117" t="str">
        <f>IF(ISBLANK(C223),"",MAX($A$156:$A222)+1)</f>
        <v/>
      </c>
      <c r="E223" s="135"/>
      <c r="F223" s="135"/>
      <c r="G223" s="135"/>
      <c r="H223" s="135"/>
      <c r="I223" s="4"/>
      <c r="J223" s="4"/>
      <c r="K223" s="4"/>
      <c r="L223" s="4"/>
      <c r="M223" s="4"/>
      <c r="N223" s="4"/>
      <c r="O223" s="4"/>
      <c r="P223" s="4"/>
      <c r="R223" s="124"/>
      <c r="S223" s="124"/>
    </row>
    <row r="224" spans="1:19">
      <c r="A224" s="117">
        <f>IF(ISBLANK(C224),"",MAX($A$155:$A223)+1)</f>
        <v>50</v>
      </c>
      <c r="C224" s="34" t="str">
        <f>Functional!$C224</f>
        <v>Customer Accounts Expenses</v>
      </c>
      <c r="E224" s="135"/>
      <c r="F224" s="135"/>
      <c r="G224" s="135"/>
      <c r="H224" s="135"/>
      <c r="I224" s="4"/>
      <c r="J224" s="4"/>
      <c r="K224" s="4"/>
      <c r="L224" s="4"/>
      <c r="M224" s="4"/>
      <c r="N224" s="4"/>
      <c r="O224" s="4"/>
      <c r="P224" s="4"/>
      <c r="R224" s="124"/>
      <c r="S224" s="124"/>
    </row>
    <row r="225" spans="1:19">
      <c r="A225" s="117">
        <f>IF(ISBLANK(C225),"",MAX($A$155:$A224)+1)</f>
        <v>51</v>
      </c>
      <c r="B225" s="117">
        <f>Functional!$B225</f>
        <v>901</v>
      </c>
      <c r="C225" s="140" t="str">
        <f>Functional!$C225</f>
        <v>Supervision</v>
      </c>
      <c r="E225" s="135">
        <f>Functional!$E225</f>
        <v>258554.74256354259</v>
      </c>
      <c r="F225" s="135">
        <f>'Class Allocations'!E$144*Functional!$F225+'Class Allocations'!E$148*Functional!$G225+'Class Allocations'!E$152*Functional!$I225+'Class Allocations'!E$156*Functional!$H225+'Class Allocations'!E$160*Functional!$J225+'Class Allocations'!E$166*Functional!$K225+'Class Allocations'!E$172*Functional!$L225+'Class Allocations'!E$178*Functional!$M225+'Class Allocations'!E$184*Functional!$N225+Functional!$O225</f>
        <v>206126.60201572278</v>
      </c>
      <c r="G225" s="135">
        <f>'Class Allocations'!F$144*Functional!$F225+'Class Allocations'!F$148*Functional!$G225+'Class Allocations'!F$152*Functional!$I225+'Class Allocations'!F$156*Functional!$H225+'Class Allocations'!F$160*Functional!$J225+'Class Allocations'!F$166*Functional!$K225+'Class Allocations'!F$172*Functional!$L225+'Class Allocations'!F$178*Functional!$M225+'Class Allocations'!F$184*Functional!$N225</f>
        <v>39172.664557149859</v>
      </c>
      <c r="H225" s="135">
        <f t="shared" ref="H225" si="83">SUM(F225:G225)</f>
        <v>245299.26657287264</v>
      </c>
      <c r="I225" s="4">
        <f>'Class Allocations'!H$144*Functional!$F225+'Class Allocations'!H$148*Functional!$G225+'Class Allocations'!H$152*Functional!$I225+'Class Allocations'!H$156*Functional!$H225+'Class Allocations'!H$160*Functional!$J225+'Class Allocations'!H$166*Functional!$K225+'Class Allocations'!H$172*Functional!$L225+'Class Allocations'!H$178*Functional!$M225+'Class Allocations'!H$184*Functional!$N225</f>
        <v>10687.741467480333</v>
      </c>
      <c r="J225" s="4">
        <f>'Class Allocations'!I$144*Functional!$F225+'Class Allocations'!I$148*Functional!$G225+'Class Allocations'!I$152*Functional!$I225+'Class Allocations'!I$156*Functional!$H225+'Class Allocations'!I$160*Functional!$J225+'Class Allocations'!I$166*Functional!$K225+'Class Allocations'!I$172*Functional!$L225+'Class Allocations'!I$178*Functional!$M225+'Class Allocations'!I$184*Functional!$N225</f>
        <v>157.20823611365054</v>
      </c>
      <c r="K225" s="4">
        <f>'Class Allocations'!J$144*Functional!$F225+'Class Allocations'!J$148*Functional!$G225+'Class Allocations'!J$152*Functional!$I225+'Class Allocations'!J$156*Functional!$H225+'Class Allocations'!J$160*Functional!$J225+'Class Allocations'!J$166*Functional!$K225+'Class Allocations'!J$172*Functional!$L225+'Class Allocations'!J$178*Functional!$M225+'Class Allocations'!J$184*Functional!$N225</f>
        <v>959.37333833458524</v>
      </c>
      <c r="L225" s="4">
        <f>'Class Allocations'!K$144*Functional!$F225+'Class Allocations'!K$148*Functional!$G225+'Class Allocations'!K$152*Functional!$I225+'Class Allocations'!K$156*Functional!$H225+'Class Allocations'!K$160*Functional!$J225+'Class Allocations'!K$166*Functional!$K225+'Class Allocations'!K$172*Functional!$L225+'Class Allocations'!K$178*Functional!$M225+'Class Allocations'!K$184*Functional!$N225</f>
        <v>1031.9309857716546</v>
      </c>
      <c r="M225" s="4">
        <f>'Class Allocations'!L$144*Functional!$F225+'Class Allocations'!L$148*Functional!$G225+'Class Allocations'!L$152*Functional!$I225+'Class Allocations'!L$156*Functional!$H225+'Class Allocations'!L$160*Functional!$J225+'Class Allocations'!L$166*Functional!$K225+'Class Allocations'!L$172*Functional!$L225+'Class Allocations'!L$178*Functional!$M225+'Class Allocations'!L$184*Functional!$N225</f>
        <v>145.11529487413895</v>
      </c>
      <c r="N225" s="4">
        <f>'Class Allocations'!M$144*Functional!$F225+'Class Allocations'!M$148*Functional!$G225+'Class Allocations'!M$152*Functional!$I225+'Class Allocations'!M$156*Functional!$H225+'Class Allocations'!M$160*Functional!$J225+'Class Allocations'!M$166*Functional!$K225+'Class Allocations'!M$172*Functional!$L225+'Class Allocations'!M$178*Functional!$M225+'Class Allocations'!M$184*Functional!$N225+Functional!$P225</f>
        <v>241.85882479023158</v>
      </c>
      <c r="O225" s="4">
        <f>'Class Allocations'!N$144*Functional!$F225+'Class Allocations'!N$148*Functional!$G225+'Class Allocations'!N$152*Functional!$I225+'Class Allocations'!N$156*Functional!$H225+'Class Allocations'!N$160*Functional!$J225+'Class Allocations'!N$166*Functional!$K225+'Class Allocations'!N$172*Functional!$L225+'Class Allocations'!N$178*Functional!$M225+'Class Allocations'!N$184*Functional!$N225+Functional!$Q225</f>
        <v>32.247843305364206</v>
      </c>
      <c r="P225" s="4">
        <f>SUM(I225:O225)</f>
        <v>13255.475990669956</v>
      </c>
      <c r="R225" s="124">
        <f t="shared" ref="R225:R264" si="84">SUM(F225:G225,I225:O225)-E225</f>
        <v>0</v>
      </c>
      <c r="S225" s="124">
        <f t="shared" ref="S225:S264" si="85">E225-H225-P225</f>
        <v>0</v>
      </c>
    </row>
    <row r="226" spans="1:19">
      <c r="A226" s="117">
        <f>IF(ISBLANK(C226),"",MAX($A$155:$A225)+1)</f>
        <v>52</v>
      </c>
      <c r="B226" s="117">
        <f>Functional!$B226</f>
        <v>902</v>
      </c>
      <c r="C226" s="140" t="str">
        <f>Functional!$C226</f>
        <v>Meter Reading Expenses</v>
      </c>
      <c r="E226" s="135">
        <f>Functional!$E226</f>
        <v>714264.13289960171</v>
      </c>
      <c r="F226" s="135">
        <f>'Class Allocations'!E$144*Functional!$F226+'Class Allocations'!E$148*Functional!$G226+'Class Allocations'!E$152*Functional!$I226+'Class Allocations'!E$156*Functional!$H226+'Class Allocations'!E$160*Functional!$J226+'Class Allocations'!E$166*Functional!$K226+'Class Allocations'!E$172*Functional!$L226+'Class Allocations'!E$178*Functional!$M226+'Class Allocations'!E$184*Functional!$N226+Functional!$O226</f>
        <v>569430.04485836672</v>
      </c>
      <c r="G226" s="135">
        <f>'Class Allocations'!F$144*Functional!$F226+'Class Allocations'!F$148*Functional!$G226+'Class Allocations'!F$152*Functional!$I226+'Class Allocations'!F$156*Functional!$H226+'Class Allocations'!F$160*Functional!$J226+'Class Allocations'!F$166*Functional!$K226+'Class Allocations'!F$172*Functional!$L226+'Class Allocations'!F$178*Functional!$M226+'Class Allocations'!F$184*Functional!$N226</f>
        <v>108215.49435088513</v>
      </c>
      <c r="H226" s="135">
        <f t="shared" ref="H226:H229" si="86">SUM(F226:G226)</f>
        <v>677645.53920925187</v>
      </c>
      <c r="I226" s="4">
        <f>'Class Allocations'!H$144*Functional!$F226+'Class Allocations'!H$148*Functional!$G226+'Class Allocations'!H$152*Functional!$I226+'Class Allocations'!H$156*Functional!$H226+'Class Allocations'!H$160*Functional!$J226+'Class Allocations'!H$166*Functional!$K226+'Class Allocations'!H$172*Functional!$L226+'Class Allocations'!H$178*Functional!$M226+'Class Allocations'!H$184*Functional!$N226</f>
        <v>29525.160962958751</v>
      </c>
      <c r="J226" s="4">
        <f>'Class Allocations'!I$144*Functional!$F226+'Class Allocations'!I$148*Functional!$G226+'Class Allocations'!I$152*Functional!$I226+'Class Allocations'!I$156*Functional!$H226+'Class Allocations'!I$160*Functional!$J226+'Class Allocations'!I$166*Functional!$K226+'Class Allocations'!I$172*Functional!$L226+'Class Allocations'!I$178*Functional!$M226+'Class Allocations'!I$184*Functional!$N226</f>
        <v>434.29179963618895</v>
      </c>
      <c r="K226" s="4">
        <f>'Class Allocations'!J$144*Functional!$F226+'Class Allocations'!J$148*Functional!$G226+'Class Allocations'!J$152*Functional!$I226+'Class Allocations'!J$156*Functional!$H226+'Class Allocations'!J$160*Functional!$J226+'Class Allocations'!J$166*Functional!$K226+'Class Allocations'!J$172*Functional!$L226+'Class Allocations'!J$178*Functional!$M226+'Class Allocations'!J$184*Functional!$N226</f>
        <v>2650.2935464977681</v>
      </c>
      <c r="L226" s="4">
        <f>'Class Allocations'!K$144*Functional!$F226+'Class Allocations'!K$148*Functional!$G226+'Class Allocations'!K$152*Functional!$I226+'Class Allocations'!K$156*Functional!$H226+'Class Allocations'!K$160*Functional!$J226+'Class Allocations'!K$166*Functional!$K226+'Class Allocations'!K$172*Functional!$L226+'Class Allocations'!K$178*Functional!$M226+'Class Allocations'!K$184*Functional!$N226</f>
        <v>2850.7359155606246</v>
      </c>
      <c r="M226" s="4">
        <f>'Class Allocations'!L$144*Functional!$F226+'Class Allocations'!L$148*Functional!$G226+'Class Allocations'!L$152*Functional!$I226+'Class Allocations'!L$156*Functional!$H226+'Class Allocations'!L$160*Functional!$J226+'Class Allocations'!L$166*Functional!$K226+'Class Allocations'!L$172*Functional!$L226+'Class Allocations'!L$178*Functional!$M226+'Class Allocations'!L$184*Functional!$N226</f>
        <v>400.88473812571283</v>
      </c>
      <c r="N226" s="4">
        <f>'Class Allocations'!M$144*Functional!$F226+'Class Allocations'!M$148*Functional!$G226+'Class Allocations'!M$152*Functional!$I226+'Class Allocations'!M$156*Functional!$H226+'Class Allocations'!M$160*Functional!$J226+'Class Allocations'!M$166*Functional!$K226+'Class Allocations'!M$172*Functional!$L226+'Class Allocations'!M$178*Functional!$M226+'Class Allocations'!M$184*Functional!$N226+Functional!$P226</f>
        <v>668.14123020952138</v>
      </c>
      <c r="O226" s="4">
        <f>'Class Allocations'!N$144*Functional!$F226+'Class Allocations'!N$148*Functional!$G226+'Class Allocations'!N$152*Functional!$I226+'Class Allocations'!N$156*Functional!$H226+'Class Allocations'!N$160*Functional!$J226+'Class Allocations'!N$166*Functional!$K226+'Class Allocations'!N$172*Functional!$L226+'Class Allocations'!N$178*Functional!$M226+'Class Allocations'!N$184*Functional!$N226+Functional!$Q226</f>
        <v>89.085497361269518</v>
      </c>
      <c r="P226" s="4">
        <f>SUM(I226:O226)</f>
        <v>36618.593690349837</v>
      </c>
      <c r="R226" s="124">
        <f t="shared" si="84"/>
        <v>0</v>
      </c>
      <c r="S226" s="124">
        <f t="shared" si="85"/>
        <v>0</v>
      </c>
    </row>
    <row r="227" spans="1:19">
      <c r="A227" s="117">
        <f>IF(ISBLANK(C227),"",MAX($A$155:$A226)+1)</f>
        <v>53</v>
      </c>
      <c r="B227" s="117">
        <f>Functional!$B227</f>
        <v>903</v>
      </c>
      <c r="C227" s="140" t="str">
        <f>Functional!$C227</f>
        <v>Customer Records &amp; Collection</v>
      </c>
      <c r="E227" s="135">
        <f>Functional!$E227</f>
        <v>6055809.61893583</v>
      </c>
      <c r="F227" s="135">
        <f>'Class Allocations'!E$144*Functional!$F227+'Class Allocations'!E$148*Functional!$G227+'Class Allocations'!E$152*Functional!$I227+'Class Allocations'!E$156*Functional!$H227+'Class Allocations'!E$160*Functional!$J227+'Class Allocations'!E$166*Functional!$K227+'Class Allocations'!E$172*Functional!$L227+'Class Allocations'!E$178*Functional!$M227+'Class Allocations'!E$184*Functional!$N227+Functional!$O227</f>
        <v>4827849.7885166332</v>
      </c>
      <c r="G227" s="135">
        <f>'Class Allocations'!F$144*Functional!$F227+'Class Allocations'!F$148*Functional!$G227+'Class Allocations'!F$152*Functional!$I227+'Class Allocations'!F$156*Functional!$H227+'Class Allocations'!F$160*Functional!$J227+'Class Allocations'!F$166*Functional!$K227+'Class Allocations'!F$172*Functional!$L227+'Class Allocations'!F$178*Functional!$M227+'Class Allocations'!F$184*Functional!$N227</f>
        <v>917493.12533393141</v>
      </c>
      <c r="H227" s="135">
        <f t="shared" si="86"/>
        <v>5745342.9138505645</v>
      </c>
      <c r="I227" s="4">
        <f>'Class Allocations'!H$144*Functional!$F227+'Class Allocations'!H$148*Functional!$G227+'Class Allocations'!H$152*Functional!$I227+'Class Allocations'!H$156*Functional!$H227+'Class Allocations'!H$160*Functional!$J227+'Class Allocations'!H$166*Functional!$K227+'Class Allocations'!H$172*Functional!$L227+'Class Allocations'!H$178*Functional!$M227+'Class Allocations'!H$184*Functional!$N227</f>
        <v>250325.81859356302</v>
      </c>
      <c r="J227" s="4">
        <f>'Class Allocations'!I$144*Functional!$F227+'Class Allocations'!I$148*Functional!$G227+'Class Allocations'!I$152*Functional!$I227+'Class Allocations'!I$156*Functional!$H227+'Class Allocations'!I$160*Functional!$J227+'Class Allocations'!I$166*Functional!$K227+'Class Allocations'!I$172*Functional!$L227+'Class Allocations'!I$178*Functional!$M227+'Class Allocations'!I$184*Functional!$N227</f>
        <v>3682.0950913287161</v>
      </c>
      <c r="K227" s="4">
        <f>'Class Allocations'!J$144*Functional!$F227+'Class Allocations'!J$148*Functional!$G227+'Class Allocations'!J$152*Functional!$I227+'Class Allocations'!J$156*Functional!$H227+'Class Allocations'!J$160*Functional!$J227+'Class Allocations'!J$166*Functional!$K227+'Class Allocations'!J$172*Functional!$L227+'Class Allocations'!J$178*Functional!$M227+'Class Allocations'!J$184*Functional!$N227</f>
        <v>22470.221326570114</v>
      </c>
      <c r="L227" s="4">
        <f>'Class Allocations'!K$144*Functional!$F227+'Class Allocations'!K$148*Functional!$G227+'Class Allocations'!K$152*Functional!$I227+'Class Allocations'!K$156*Functional!$H227+'Class Allocations'!K$160*Functional!$J227+'Class Allocations'!K$166*Functional!$K227+'Class Allocations'!K$172*Functional!$L227+'Class Allocations'!K$178*Functional!$M227+'Class Allocations'!K$184*Functional!$N227</f>
        <v>24169.649830260289</v>
      </c>
      <c r="M227" s="4">
        <f>'Class Allocations'!L$144*Functional!$F227+'Class Allocations'!L$148*Functional!$G227+'Class Allocations'!L$152*Functional!$I227+'Class Allocations'!L$156*Functional!$H227+'Class Allocations'!L$160*Functional!$J227+'Class Allocations'!L$166*Functional!$K227+'Class Allocations'!L$172*Functional!$L227+'Class Allocations'!L$178*Functional!$M227+'Class Allocations'!L$184*Functional!$N227</f>
        <v>3398.857007380353</v>
      </c>
      <c r="N227" s="4">
        <f>'Class Allocations'!M$144*Functional!$F227+'Class Allocations'!M$148*Functional!$G227+'Class Allocations'!M$152*Functional!$I227+'Class Allocations'!M$156*Functional!$H227+'Class Allocations'!M$160*Functional!$J227+'Class Allocations'!M$166*Functional!$K227+'Class Allocations'!M$172*Functional!$L227+'Class Allocations'!M$178*Functional!$M227+'Class Allocations'!M$184*Functional!$N227+Functional!$P227</f>
        <v>5664.7616789672556</v>
      </c>
      <c r="O227" s="4">
        <f>'Class Allocations'!N$144*Functional!$F227+'Class Allocations'!N$148*Functional!$G227+'Class Allocations'!N$152*Functional!$I227+'Class Allocations'!N$156*Functional!$H227+'Class Allocations'!N$160*Functional!$J227+'Class Allocations'!N$166*Functional!$K227+'Class Allocations'!N$172*Functional!$L227+'Class Allocations'!N$178*Functional!$M227+'Class Allocations'!N$184*Functional!$N227+Functional!$Q227</f>
        <v>755.30155719563402</v>
      </c>
      <c r="P227" s="4">
        <f>SUM(I227:O227)</f>
        <v>310466.70508526539</v>
      </c>
      <c r="R227" s="124">
        <f t="shared" si="84"/>
        <v>0</v>
      </c>
      <c r="S227" s="124">
        <f t="shared" si="85"/>
        <v>0</v>
      </c>
    </row>
    <row r="228" spans="1:19">
      <c r="A228" s="117">
        <f>IF(ISBLANK(C228),"",MAX($A$155:$A227)+1)</f>
        <v>54</v>
      </c>
      <c r="B228" s="117">
        <f>Functional!$B228</f>
        <v>904</v>
      </c>
      <c r="C228" s="140" t="str">
        <f>Functional!$C228</f>
        <v>Uncollectible Accounts</v>
      </c>
      <c r="E228" s="135">
        <f>Functional!$E228</f>
        <v>664748.74297257431</v>
      </c>
      <c r="F228" s="135">
        <f>'Class Allocations'!E$144*Functional!$F228+'Class Allocations'!E$148*Functional!$G228+'Class Allocations'!E$152*Functional!$I228+'Class Allocations'!E$156*Functional!$H228+'Class Allocations'!E$160*Functional!$J228+'Class Allocations'!E$166*Functional!$K228+'Class Allocations'!E$172*Functional!$L228+'Class Allocations'!E$178*Functional!$M228+'Class Allocations'!E$184*Functional!$N228+Functional!$O228</f>
        <v>529955.08117390308</v>
      </c>
      <c r="G228" s="135">
        <f>'Class Allocations'!F$144*Functional!$F228+'Class Allocations'!F$148*Functional!$G228+'Class Allocations'!F$152*Functional!$I228+'Class Allocations'!F$156*Functional!$H228+'Class Allocations'!F$160*Functional!$J228+'Class Allocations'!F$166*Functional!$K228+'Class Allocations'!F$172*Functional!$L228+'Class Allocations'!F$178*Functional!$M228+'Class Allocations'!F$184*Functional!$N228</f>
        <v>100713.60233066342</v>
      </c>
      <c r="H228" s="135">
        <f t="shared" si="86"/>
        <v>630668.68350456655</v>
      </c>
      <c r="I228" s="4">
        <f>'Class Allocations'!H$144*Functional!$F228+'Class Allocations'!H$148*Functional!$G228+'Class Allocations'!H$152*Functional!$I228+'Class Allocations'!H$156*Functional!$H228+'Class Allocations'!H$160*Functional!$J228+'Class Allocations'!H$166*Functional!$K228+'Class Allocations'!H$172*Functional!$L228+'Class Allocations'!H$178*Functional!$M228+'Class Allocations'!H$184*Functional!$N228</f>
        <v>27478.369320482921</v>
      </c>
      <c r="J228" s="4">
        <f>'Class Allocations'!I$144*Functional!$F228+'Class Allocations'!I$148*Functional!$G228+'Class Allocations'!I$152*Functional!$I228+'Class Allocations'!I$156*Functional!$H228+'Class Allocations'!I$160*Functional!$J228+'Class Allocations'!I$166*Functional!$K228+'Class Allocations'!I$172*Functional!$L228+'Class Allocations'!I$178*Functional!$M228+'Class Allocations'!I$184*Functional!$N228</f>
        <v>404.18511107295546</v>
      </c>
      <c r="K228" s="4">
        <f>'Class Allocations'!J$144*Functional!$F228+'Class Allocations'!J$148*Functional!$G228+'Class Allocations'!J$152*Functional!$I228+'Class Allocations'!J$156*Functional!$H228+'Class Allocations'!J$160*Functional!$J228+'Class Allocations'!J$166*Functional!$K228+'Class Allocations'!J$172*Functional!$L228+'Class Allocations'!J$178*Functional!$M228+'Class Allocations'!J$184*Functional!$N228</f>
        <v>2466.5655496247023</v>
      </c>
      <c r="L228" s="4">
        <f>'Class Allocations'!K$144*Functional!$F228+'Class Allocations'!K$148*Functional!$G228+'Class Allocations'!K$152*Functional!$I228+'Class Allocations'!K$156*Functional!$H228+'Class Allocations'!K$160*Functional!$J228+'Class Allocations'!K$166*Functional!$K228+'Class Allocations'!K$172*Functional!$L228+'Class Allocations'!K$178*Functional!$M228+'Class Allocations'!K$184*Functional!$N228</f>
        <v>2653.112523966066</v>
      </c>
      <c r="M228" s="4">
        <f>'Class Allocations'!L$144*Functional!$F228+'Class Allocations'!L$148*Functional!$G228+'Class Allocations'!L$152*Functional!$I228+'Class Allocations'!L$156*Functional!$H228+'Class Allocations'!L$160*Functional!$J228+'Class Allocations'!L$166*Functional!$K228+'Class Allocations'!L$172*Functional!$L228+'Class Allocations'!L$178*Functional!$M228+'Class Allocations'!L$184*Functional!$N228</f>
        <v>373.09394868272807</v>
      </c>
      <c r="N228" s="4">
        <f>'Class Allocations'!M$144*Functional!$F228+'Class Allocations'!M$148*Functional!$G228+'Class Allocations'!M$152*Functional!$I228+'Class Allocations'!M$156*Functional!$H228+'Class Allocations'!M$160*Functional!$J228+'Class Allocations'!M$166*Functional!$K228+'Class Allocations'!M$172*Functional!$L228+'Class Allocations'!M$178*Functional!$M228+'Class Allocations'!M$184*Functional!$N228+Functional!$P228</f>
        <v>621.82324780454678</v>
      </c>
      <c r="O228" s="4">
        <f>'Class Allocations'!N$144*Functional!$F228+'Class Allocations'!N$148*Functional!$G228+'Class Allocations'!N$152*Functional!$I228+'Class Allocations'!N$156*Functional!$H228+'Class Allocations'!N$160*Functional!$J228+'Class Allocations'!N$166*Functional!$K228+'Class Allocations'!N$172*Functional!$L228+'Class Allocations'!N$178*Functional!$M228+'Class Allocations'!N$184*Functional!$N228+Functional!$Q228</f>
        <v>82.909766373939561</v>
      </c>
      <c r="P228" s="4">
        <f>SUM(I228:O228)</f>
        <v>34080.059468007858</v>
      </c>
      <c r="R228" s="124">
        <f t="shared" si="84"/>
        <v>0</v>
      </c>
      <c r="S228" s="124">
        <f t="shared" si="85"/>
        <v>-9.4587448984384537E-11</v>
      </c>
    </row>
    <row r="229" spans="1:19">
      <c r="A229" s="117">
        <f>IF(ISBLANK(C229),"",MAX($A$155:$A228)+1)</f>
        <v>55</v>
      </c>
      <c r="B229" s="117">
        <f>Functional!$B229</f>
        <v>905</v>
      </c>
      <c r="C229" s="140" t="str">
        <f>Functional!$C229</f>
        <v>Miscellaneous</v>
      </c>
      <c r="E229" s="298">
        <f>Functional!$E229</f>
        <v>165908.54092312654</v>
      </c>
      <c r="F229" s="298">
        <f>'Class Allocations'!E$144*Functional!$F229+'Class Allocations'!E$148*Functional!$G229+'Class Allocations'!E$152*Functional!$I229+'Class Allocations'!E$156*Functional!$H229+'Class Allocations'!E$160*Functional!$J229+'Class Allocations'!E$166*Functional!$K229+'Class Allocations'!E$172*Functional!$L229+'Class Allocations'!E$178*Functional!$M229+'Class Allocations'!E$184*Functional!$N229+Functional!$O229</f>
        <v>132266.62735635566</v>
      </c>
      <c r="G229" s="298">
        <f>'Class Allocations'!F$144*Functional!$F229+'Class Allocations'!F$148*Functional!$G229+'Class Allocations'!F$152*Functional!$I229+'Class Allocations'!F$156*Functional!$H229+'Class Allocations'!F$160*Functional!$J229+'Class Allocations'!F$166*Functional!$K229+'Class Allocations'!F$172*Functional!$L229+'Class Allocations'!F$178*Functional!$M229+'Class Allocations'!F$184*Functional!$N229</f>
        <v>25136.184145415886</v>
      </c>
      <c r="H229" s="298">
        <f t="shared" si="86"/>
        <v>157402.81150177156</v>
      </c>
      <c r="I229" s="5">
        <f>'Class Allocations'!H$144*Functional!$F229+'Class Allocations'!H$148*Functional!$G229+'Class Allocations'!H$152*Functional!$I229+'Class Allocations'!H$156*Functional!$H229+'Class Allocations'!H$160*Functional!$J229+'Class Allocations'!H$166*Functional!$K229+'Class Allocations'!H$172*Functional!$L229+'Class Allocations'!H$178*Functional!$M229+'Class Allocations'!H$184*Functional!$N229</f>
        <v>6858.0741356831913</v>
      </c>
      <c r="J229" s="5">
        <f>'Class Allocations'!I$144*Functional!$F229+'Class Allocations'!I$148*Functional!$G229+'Class Allocations'!I$152*Functional!$I229+'Class Allocations'!I$156*Functional!$H229+'Class Allocations'!I$160*Functional!$J229+'Class Allocations'!I$166*Functional!$K229+'Class Allocations'!I$172*Functional!$L229+'Class Allocations'!I$178*Functional!$M229+'Class Allocations'!I$184*Functional!$N229</f>
        <v>100.87685422480368</v>
      </c>
      <c r="K229" s="5">
        <f>'Class Allocations'!J$144*Functional!$F229+'Class Allocations'!J$148*Functional!$G229+'Class Allocations'!J$152*Functional!$I229+'Class Allocations'!J$156*Functional!$H229+'Class Allocations'!J$160*Functional!$J229+'Class Allocations'!J$166*Functional!$K229+'Class Allocations'!J$172*Functional!$L229+'Class Allocations'!J$178*Functional!$M229+'Class Allocations'!J$184*Functional!$N229</f>
        <v>615.60746937187878</v>
      </c>
      <c r="L229" s="5">
        <f>'Class Allocations'!K$144*Functional!$F229+'Class Allocations'!K$148*Functional!$G229+'Class Allocations'!K$152*Functional!$I229+'Class Allocations'!K$156*Functional!$H229+'Class Allocations'!K$160*Functional!$J229+'Class Allocations'!K$166*Functional!$K229+'Class Allocations'!K$172*Functional!$L229+'Class Allocations'!K$178*Functional!$M229+'Class Allocations'!K$184*Functional!$N229</f>
        <v>662.16601747563436</v>
      </c>
      <c r="M229" s="5">
        <f>'Class Allocations'!L$144*Functional!$F229+'Class Allocations'!L$148*Functional!$G229+'Class Allocations'!L$152*Functional!$I229+'Class Allocations'!L$156*Functional!$H229+'Class Allocations'!L$160*Functional!$J229+'Class Allocations'!L$166*Functional!$K229+'Class Allocations'!L$172*Functional!$L229+'Class Allocations'!L$178*Functional!$M229+'Class Allocations'!L$184*Functional!$N229</f>
        <v>93.117096207511082</v>
      </c>
      <c r="N229" s="5">
        <f>'Class Allocations'!M$144*Functional!$F229+'Class Allocations'!M$148*Functional!$G229+'Class Allocations'!M$152*Functional!$I229+'Class Allocations'!M$156*Functional!$H229+'Class Allocations'!M$160*Functional!$J229+'Class Allocations'!M$166*Functional!$K229+'Class Allocations'!M$172*Functional!$L229+'Class Allocations'!M$178*Functional!$M229+'Class Allocations'!M$184*Functional!$N229+Functional!$P229</f>
        <v>155.1951603458518</v>
      </c>
      <c r="O229" s="5">
        <f>'Class Allocations'!N$144*Functional!$F229+'Class Allocations'!N$148*Functional!$G229+'Class Allocations'!N$152*Functional!$I229+'Class Allocations'!N$156*Functional!$H229+'Class Allocations'!N$160*Functional!$J229+'Class Allocations'!N$166*Functional!$K229+'Class Allocations'!N$172*Functional!$L229+'Class Allocations'!N$178*Functional!$M229+'Class Allocations'!N$184*Functional!$N229+Functional!$Q229</f>
        <v>20.692688046113574</v>
      </c>
      <c r="P229" s="5">
        <f>SUM(I229:O229)</f>
        <v>8505.7294213549831</v>
      </c>
      <c r="R229" s="124">
        <f t="shared" si="84"/>
        <v>0</v>
      </c>
      <c r="S229" s="124">
        <f t="shared" si="85"/>
        <v>0</v>
      </c>
    </row>
    <row r="230" spans="1:19">
      <c r="A230" s="117">
        <f>IF(ISBLANK(C230),"",MAX($A$155:$A229)+1)</f>
        <v>56</v>
      </c>
      <c r="B230" s="117"/>
      <c r="C230" s="169" t="s">
        <v>166</v>
      </c>
      <c r="E230" s="135">
        <f>SUM(E225:E229)</f>
        <v>7859285.7782946751</v>
      </c>
      <c r="F230" s="135">
        <f t="shared" ref="F230:N230" si="87">SUM(F225:F229)</f>
        <v>6265628.1439209823</v>
      </c>
      <c r="G230" s="135">
        <f t="shared" si="87"/>
        <v>1190731.0707180458</v>
      </c>
      <c r="H230" s="135">
        <f t="shared" si="87"/>
        <v>7456359.2146390267</v>
      </c>
      <c r="I230" s="4">
        <f t="shared" si="87"/>
        <v>324875.16448016826</v>
      </c>
      <c r="J230" s="4">
        <f>SUM(J225:J229)</f>
        <v>4778.6570923763147</v>
      </c>
      <c r="K230" s="4">
        <f t="shared" si="87"/>
        <v>29162.061230399049</v>
      </c>
      <c r="L230" s="4">
        <f t="shared" si="87"/>
        <v>31367.595273034269</v>
      </c>
      <c r="M230" s="4">
        <f t="shared" si="87"/>
        <v>4411.0680852704445</v>
      </c>
      <c r="N230" s="4">
        <f t="shared" si="87"/>
        <v>7351.7801421174072</v>
      </c>
      <c r="O230" s="4">
        <f>SUM(O225:O229)</f>
        <v>980.2373522823209</v>
      </c>
      <c r="P230" s="4">
        <f>SUM(P225:P229)</f>
        <v>402926.56365564809</v>
      </c>
      <c r="R230" s="124">
        <f t="shared" si="84"/>
        <v>0</v>
      </c>
      <c r="S230" s="124">
        <f t="shared" si="85"/>
        <v>0</v>
      </c>
    </row>
    <row r="231" spans="1:19">
      <c r="A231" s="117" t="str">
        <f>IF(ISBLANK(C231),"",MAX($A$155:$A230)+1)</f>
        <v/>
      </c>
      <c r="B231" s="117"/>
      <c r="E231" s="491"/>
      <c r="F231" s="491"/>
      <c r="G231" s="135"/>
      <c r="H231" s="135"/>
      <c r="I231" s="4"/>
      <c r="J231" s="4"/>
      <c r="K231" s="4"/>
      <c r="L231" s="4"/>
      <c r="M231" s="4"/>
      <c r="N231" s="4"/>
      <c r="O231" s="4"/>
      <c r="P231" s="4"/>
      <c r="R231" s="124"/>
      <c r="S231" s="124"/>
    </row>
    <row r="232" spans="1:19">
      <c r="A232" s="117">
        <f>IF(ISBLANK(C232),"",MAX($A$155:$A231)+1)</f>
        <v>57</v>
      </c>
      <c r="B232" s="117"/>
      <c r="C232" s="34" t="str">
        <f>Functional!$C232</f>
        <v>Customer Service &amp; Inform. Exp.</v>
      </c>
      <c r="E232" s="135"/>
      <c r="F232" s="135"/>
      <c r="G232" s="135"/>
      <c r="H232" s="135"/>
      <c r="I232" s="4"/>
      <c r="J232" s="4"/>
      <c r="K232" s="4"/>
      <c r="L232" s="4"/>
      <c r="M232" s="4"/>
      <c r="N232" s="4"/>
      <c r="O232" s="4"/>
      <c r="P232" s="4"/>
      <c r="R232" s="124"/>
      <c r="S232" s="124"/>
    </row>
    <row r="233" spans="1:19">
      <c r="A233" s="117">
        <f>IF(ISBLANK(C233),"",MAX($A$155:$A232)+1)</f>
        <v>58</v>
      </c>
      <c r="B233" s="117">
        <f>Functional!$B233</f>
        <v>907</v>
      </c>
      <c r="C233" s="140" t="str">
        <f>Functional!$C233</f>
        <v>Supervision</v>
      </c>
      <c r="E233" s="135">
        <f>Functional!$E233</f>
        <v>103310.22256000002</v>
      </c>
      <c r="F233" s="135">
        <f>'Class Allocations'!E$144*Functional!$F233+'Class Allocations'!E$148*Functional!$G233+'Class Allocations'!E$152*Functional!$I233+'Class Allocations'!E$156*Functional!$H233+'Class Allocations'!E$160*Functional!$J233+'Class Allocations'!E$166*Functional!$K233+'Class Allocations'!E$172*Functional!$L233+'Class Allocations'!E$178*Functional!$M233+'Class Allocations'!E$184*Functional!$N233+Functional!$O233</f>
        <v>67657.031756666562</v>
      </c>
      <c r="G233" s="135">
        <f>'Class Allocations'!F$144*Functional!$F233+'Class Allocations'!F$148*Functional!$G233+'Class Allocations'!F$152*Functional!$I233+'Class Allocations'!F$156*Functional!$H233+'Class Allocations'!F$160*Functional!$J233+'Class Allocations'!F$166*Functional!$K233+'Class Allocations'!F$172*Functional!$L233+'Class Allocations'!F$178*Functional!$M233+'Class Allocations'!F$184*Functional!$N233</f>
        <v>19456.569916549146</v>
      </c>
      <c r="H233" s="135">
        <f t="shared" ref="H233:H236" si="88">SUM(F233:G233)</f>
        <v>87113.601673215715</v>
      </c>
      <c r="I233" s="4">
        <f>'Class Allocations'!H$144*Functional!$F233+'Class Allocations'!H$148*Functional!$G233+'Class Allocations'!H$152*Functional!$I233+'Class Allocations'!H$156*Functional!$H233+'Class Allocations'!H$160*Functional!$J233+'Class Allocations'!H$166*Functional!$K233+'Class Allocations'!H$172*Functional!$L233+'Class Allocations'!H$178*Functional!$M233+'Class Allocations'!H$184*Functional!$N233</f>
        <v>5777.2366856157632</v>
      </c>
      <c r="J233" s="4">
        <f>'Class Allocations'!I$144*Functional!$F233+'Class Allocations'!I$148*Functional!$G233+'Class Allocations'!I$152*Functional!$I233+'Class Allocations'!I$156*Functional!$H233+'Class Allocations'!I$160*Functional!$J233+'Class Allocations'!I$166*Functional!$K233+'Class Allocations'!I$172*Functional!$L233+'Class Allocations'!I$178*Functional!$M233+'Class Allocations'!I$184*Functional!$N233</f>
        <v>841.08732340357858</v>
      </c>
      <c r="K233" s="4">
        <f>'Class Allocations'!J$144*Functional!$F233+'Class Allocations'!J$148*Functional!$G233+'Class Allocations'!J$152*Functional!$I233+'Class Allocations'!J$156*Functional!$H233+'Class Allocations'!J$160*Functional!$J233+'Class Allocations'!J$166*Functional!$K233+'Class Allocations'!J$172*Functional!$L233+'Class Allocations'!J$178*Functional!$M233+'Class Allocations'!J$184*Functional!$N233</f>
        <v>910.73004339742829</v>
      </c>
      <c r="L233" s="4">
        <f>'Class Allocations'!K$144*Functional!$F233+'Class Allocations'!K$148*Functional!$G233+'Class Allocations'!K$152*Functional!$I233+'Class Allocations'!K$156*Functional!$H233+'Class Allocations'!K$160*Functional!$J233+'Class Allocations'!K$166*Functional!$K233+'Class Allocations'!K$172*Functional!$L233+'Class Allocations'!K$178*Functional!$M233+'Class Allocations'!K$184*Functional!$N233</f>
        <v>8555.8950239364021</v>
      </c>
      <c r="M233" s="4">
        <f>'Class Allocations'!L$144*Functional!$F233+'Class Allocations'!L$148*Functional!$G233+'Class Allocations'!L$152*Functional!$I233+'Class Allocations'!L$156*Functional!$H233+'Class Allocations'!L$160*Functional!$J233+'Class Allocations'!L$166*Functional!$K233+'Class Allocations'!L$172*Functional!$L233+'Class Allocations'!L$178*Functional!$M233+'Class Allocations'!L$184*Functional!$N233</f>
        <v>38.655626687703368</v>
      </c>
      <c r="N233" s="4">
        <f>'Class Allocations'!M$144*Functional!$F233+'Class Allocations'!M$148*Functional!$G233+'Class Allocations'!M$152*Functional!$I233+'Class Allocations'!M$156*Functional!$H233+'Class Allocations'!M$160*Functional!$J233+'Class Allocations'!M$166*Functional!$K233+'Class Allocations'!M$172*Functional!$L233+'Class Allocations'!M$178*Functional!$M233+'Class Allocations'!M$184*Functional!$N233+Functional!$P233</f>
        <v>64.42604447950562</v>
      </c>
      <c r="O233" s="4">
        <f>'Class Allocations'!N$144*Functional!$F233+'Class Allocations'!N$148*Functional!$G233+'Class Allocations'!N$152*Functional!$I233+'Class Allocations'!N$156*Functional!$H233+'Class Allocations'!N$160*Functional!$J233+'Class Allocations'!N$166*Functional!$K233+'Class Allocations'!N$172*Functional!$L233+'Class Allocations'!N$178*Functional!$M233+'Class Allocations'!N$184*Functional!$N233+Functional!$Q233</f>
        <v>8.5901392639340806</v>
      </c>
      <c r="P233" s="4">
        <f>SUM(I233:O233)</f>
        <v>16196.620886784314</v>
      </c>
      <c r="R233" s="124">
        <f t="shared" si="84"/>
        <v>0</v>
      </c>
      <c r="S233" s="124">
        <f t="shared" si="85"/>
        <v>0</v>
      </c>
    </row>
    <row r="234" spans="1:19">
      <c r="A234" s="117">
        <f>IF(ISBLANK(C234),"",MAX($A$155:$A233)+1)</f>
        <v>59</v>
      </c>
      <c r="B234" s="117">
        <f>Functional!$B234</f>
        <v>908</v>
      </c>
      <c r="C234" s="140" t="str">
        <f>Functional!$C234</f>
        <v>Customer Assistance Expenses</v>
      </c>
      <c r="E234" s="135">
        <f>Functional!$E234</f>
        <v>131313.89288500001</v>
      </c>
      <c r="F234" s="135">
        <f>'Class Allocations'!E$144*Functional!$F234+'Class Allocations'!E$148*Functional!$G234+'Class Allocations'!E$152*Functional!$I234+'Class Allocations'!E$156*Functional!$H234+'Class Allocations'!E$160*Functional!$J234+'Class Allocations'!E$166*Functional!$K234+'Class Allocations'!E$172*Functional!$L234+'Class Allocations'!E$178*Functional!$M234+'Class Allocations'!E$184*Functional!$N234+Functional!$O234</f>
        <v>85996.40965686788</v>
      </c>
      <c r="G234" s="135">
        <f>'Class Allocations'!F$144*Functional!$F234+'Class Allocations'!F$148*Functional!$G234+'Class Allocations'!F$152*Functional!$I234+'Class Allocations'!F$156*Functional!$H234+'Class Allocations'!F$160*Functional!$J234+'Class Allocations'!F$166*Functional!$K234+'Class Allocations'!F$172*Functional!$L234+'Class Allocations'!F$178*Functional!$M234+'Class Allocations'!F$184*Functional!$N234</f>
        <v>24730.543353997855</v>
      </c>
      <c r="H234" s="135">
        <f t="shared" si="88"/>
        <v>110726.95301086573</v>
      </c>
      <c r="I234" s="4">
        <f>'Class Allocations'!H$144*Functional!$F234+'Class Allocations'!H$148*Functional!$G234+'Class Allocations'!H$152*Functional!$I234+'Class Allocations'!H$156*Functional!$H234+'Class Allocations'!H$160*Functional!$J234+'Class Allocations'!H$166*Functional!$K234+'Class Allocations'!H$172*Functional!$L234+'Class Allocations'!H$178*Functional!$M234+'Class Allocations'!H$184*Functional!$N234</f>
        <v>7343.2369082899449</v>
      </c>
      <c r="J234" s="4">
        <f>'Class Allocations'!I$144*Functional!$F234+'Class Allocations'!I$148*Functional!$G234+'Class Allocations'!I$152*Functional!$I234+'Class Allocations'!I$156*Functional!$H234+'Class Allocations'!I$160*Functional!$J234+'Class Allocations'!I$166*Functional!$K234+'Class Allocations'!I$172*Functional!$L234+'Class Allocations'!I$178*Functional!$M234+'Class Allocations'!I$184*Functional!$N234</f>
        <v>1069.0757212163037</v>
      </c>
      <c r="K234" s="4">
        <f>'Class Allocations'!J$144*Functional!$F234+'Class Allocations'!J$148*Functional!$G234+'Class Allocations'!J$152*Functional!$I234+'Class Allocations'!J$156*Functional!$H234+'Class Allocations'!J$160*Functional!$J234+'Class Allocations'!J$166*Functional!$K234+'Class Allocations'!J$172*Functional!$L234+'Class Allocations'!J$178*Functional!$M234+'Class Allocations'!J$184*Functional!$N234</f>
        <v>1157.5960674790485</v>
      </c>
      <c r="L234" s="4">
        <f>'Class Allocations'!K$144*Functional!$F234+'Class Allocations'!K$148*Functional!$G234+'Class Allocations'!K$152*Functional!$I234+'Class Allocations'!K$156*Functional!$H234+'Class Allocations'!K$160*Functional!$J234+'Class Allocations'!K$166*Functional!$K234+'Class Allocations'!K$172*Functional!$L234+'Class Allocations'!K$178*Functional!$M234+'Class Allocations'!K$184*Functional!$N234</f>
        <v>10875.089171896649</v>
      </c>
      <c r="M234" s="4">
        <f>'Class Allocations'!L$144*Functional!$F234+'Class Allocations'!L$148*Functional!$G234+'Class Allocations'!L$152*Functional!$I234+'Class Allocations'!L$156*Functional!$H234+'Class Allocations'!L$160*Functional!$J234+'Class Allocations'!L$166*Functional!$K234+'Class Allocations'!L$172*Functional!$L234+'Class Allocations'!L$178*Functional!$M234+'Class Allocations'!L$184*Functional!$N234</f>
        <v>49.133771048877563</v>
      </c>
      <c r="N234" s="4">
        <f>'Class Allocations'!M$144*Functional!$F234+'Class Allocations'!M$148*Functional!$G234+'Class Allocations'!M$152*Functional!$I234+'Class Allocations'!M$156*Functional!$H234+'Class Allocations'!M$160*Functional!$J234+'Class Allocations'!M$166*Functional!$K234+'Class Allocations'!M$172*Functional!$L234+'Class Allocations'!M$178*Functional!$M234+'Class Allocations'!M$184*Functional!$N234+Functional!$P234</f>
        <v>81.889618414795947</v>
      </c>
      <c r="O234" s="4">
        <f>'Class Allocations'!N$144*Functional!$F234+'Class Allocations'!N$148*Functional!$G234+'Class Allocations'!N$152*Functional!$I234+'Class Allocations'!N$156*Functional!$H234+'Class Allocations'!N$160*Functional!$J234+'Class Allocations'!N$166*Functional!$K234+'Class Allocations'!N$172*Functional!$L234+'Class Allocations'!N$178*Functional!$M234+'Class Allocations'!N$184*Functional!$N234+Functional!$Q234</f>
        <v>10.918615788639459</v>
      </c>
      <c r="P234" s="4">
        <f>SUM(I234:O234)</f>
        <v>20586.939874134259</v>
      </c>
      <c r="R234" s="124">
        <f t="shared" si="84"/>
        <v>0</v>
      </c>
      <c r="S234" s="124">
        <f t="shared" si="85"/>
        <v>0</v>
      </c>
    </row>
    <row r="235" spans="1:19">
      <c r="A235" s="117">
        <f>IF(ISBLANK(C235),"",MAX($A$155:$A234)+1)</f>
        <v>60</v>
      </c>
      <c r="B235" s="117">
        <f>Functional!$B235</f>
        <v>909</v>
      </c>
      <c r="C235" s="140" t="str">
        <f>Functional!$C235</f>
        <v>Information &amp; Instruction Exp.</v>
      </c>
      <c r="E235" s="135">
        <f>Functional!$E235</f>
        <v>664.92460000000392</v>
      </c>
      <c r="F235" s="135">
        <f>'Class Allocations'!E$144*Functional!$F235+'Class Allocations'!E$148*Functional!$G235+'Class Allocations'!E$152*Functional!$I235+'Class Allocations'!E$156*Functional!$H235+'Class Allocations'!E$160*Functional!$J235+'Class Allocations'!E$166*Functional!$K235+'Class Allocations'!E$172*Functional!$L235+'Class Allocations'!E$178*Functional!$M235+'Class Allocations'!E$184*Functional!$N235+Functional!$O235</f>
        <v>435.45375920434054</v>
      </c>
      <c r="G235" s="135">
        <f>'Class Allocations'!F$144*Functional!$F235+'Class Allocations'!F$148*Functional!$G235+'Class Allocations'!F$152*Functional!$I235+'Class Allocations'!F$156*Functional!$H235+'Class Allocations'!F$160*Functional!$J235+'Class Allocations'!F$166*Functional!$K235+'Class Allocations'!F$172*Functional!$L235+'Class Allocations'!F$178*Functional!$M235+'Class Allocations'!F$184*Functional!$N235</f>
        <v>125.22625204509623</v>
      </c>
      <c r="H235" s="135">
        <f t="shared" si="88"/>
        <v>560.6800112494368</v>
      </c>
      <c r="I235" s="4">
        <f>'Class Allocations'!H$144*Functional!$F235+'Class Allocations'!H$148*Functional!$G235+'Class Allocations'!H$152*Functional!$I235+'Class Allocations'!H$156*Functional!$H235+'Class Allocations'!H$160*Functional!$J235+'Class Allocations'!H$166*Functional!$K235+'Class Allocations'!H$172*Functional!$L235+'Class Allocations'!H$178*Functional!$M235+'Class Allocations'!H$184*Functional!$N235</f>
        <v>37.183414158820575</v>
      </c>
      <c r="J235" s="4">
        <f>'Class Allocations'!I$144*Functional!$F235+'Class Allocations'!I$148*Functional!$G235+'Class Allocations'!I$152*Functional!$I235+'Class Allocations'!I$156*Functional!$H235+'Class Allocations'!I$160*Functional!$J235+'Class Allocations'!I$166*Functional!$K235+'Class Allocations'!I$172*Functional!$L235+'Class Allocations'!I$178*Functional!$M235+'Class Allocations'!I$184*Functional!$N235</f>
        <v>5.4134009028428354</v>
      </c>
      <c r="K235" s="4">
        <f>'Class Allocations'!J$144*Functional!$F235+'Class Allocations'!J$148*Functional!$G235+'Class Allocations'!J$152*Functional!$I235+'Class Allocations'!J$156*Functional!$H235+'Class Allocations'!J$160*Functional!$J235+'Class Allocations'!J$166*Functional!$K235+'Class Allocations'!J$172*Functional!$L235+'Class Allocations'!J$178*Functional!$M235+'Class Allocations'!J$184*Functional!$N235</f>
        <v>5.8616349361005682</v>
      </c>
      <c r="L235" s="4">
        <f>'Class Allocations'!K$144*Functional!$F235+'Class Allocations'!K$148*Functional!$G235+'Class Allocations'!K$152*Functional!$I235+'Class Allocations'!K$156*Functional!$H235+'Class Allocations'!K$160*Functional!$J235+'Class Allocations'!K$166*Functional!$K235+'Class Allocations'!K$172*Functional!$L235+'Class Allocations'!K$178*Functional!$M235+'Class Allocations'!K$184*Functional!$N235</f>
        <v>55.067397353915204</v>
      </c>
      <c r="M235" s="4">
        <f>'Class Allocations'!L$144*Functional!$F235+'Class Allocations'!L$148*Functional!$G235+'Class Allocations'!L$152*Functional!$I235+'Class Allocations'!L$156*Functional!$H235+'Class Allocations'!L$160*Functional!$J235+'Class Allocations'!L$166*Functional!$K235+'Class Allocations'!L$172*Functional!$L235+'Class Allocations'!L$178*Functional!$M235+'Class Allocations'!L$184*Functional!$N235</f>
        <v>0.24879509961507368</v>
      </c>
      <c r="N235" s="4">
        <f>'Class Allocations'!M$144*Functional!$F235+'Class Allocations'!M$148*Functional!$G235+'Class Allocations'!M$152*Functional!$I235+'Class Allocations'!M$156*Functional!$H235+'Class Allocations'!M$160*Functional!$J235+'Class Allocations'!M$166*Functional!$K235+'Class Allocations'!M$172*Functional!$L235+'Class Allocations'!M$178*Functional!$M235+'Class Allocations'!M$184*Functional!$N235+Functional!$P235</f>
        <v>0.41465849935845617</v>
      </c>
      <c r="O235" s="4">
        <f>'Class Allocations'!N$144*Functional!$F235+'Class Allocations'!N$148*Functional!$G235+'Class Allocations'!N$152*Functional!$I235+'Class Allocations'!N$156*Functional!$H235+'Class Allocations'!N$160*Functional!$J235+'Class Allocations'!N$166*Functional!$K235+'Class Allocations'!N$172*Functional!$L235+'Class Allocations'!N$178*Functional!$M235+'Class Allocations'!N$184*Functional!$N235+Functional!$Q235</f>
        <v>5.5287799914460811E-2</v>
      </c>
      <c r="P235" s="4">
        <f>SUM(I235:O235)</f>
        <v>104.24458875056717</v>
      </c>
      <c r="R235" s="124">
        <f t="shared" si="84"/>
        <v>0</v>
      </c>
      <c r="S235" s="124">
        <f t="shared" si="85"/>
        <v>0</v>
      </c>
    </row>
    <row r="236" spans="1:19">
      <c r="A236" s="117">
        <f>IF(ISBLANK(C236),"",MAX($A$155:$A235)+1)</f>
        <v>61</v>
      </c>
      <c r="B236" s="117">
        <f>Functional!$B236</f>
        <v>910</v>
      </c>
      <c r="C236" s="140" t="str">
        <f>Functional!$C236</f>
        <v>Miscellaneous</v>
      </c>
      <c r="E236" s="298">
        <f>Functional!$E236</f>
        <v>3812.6019309999997</v>
      </c>
      <c r="F236" s="298">
        <f>'Class Allocations'!E$144*Functional!$F236+'Class Allocations'!E$148*Functional!$G236+'Class Allocations'!E$152*Functional!$I236+'Class Allocations'!E$156*Functional!$H236+'Class Allocations'!E$160*Functional!$J236+'Class Allocations'!E$166*Functional!$K236+'Class Allocations'!E$172*Functional!$L236+'Class Allocations'!E$178*Functional!$M236+'Class Allocations'!E$184*Functional!$N236+Functional!$O236</f>
        <v>2496.8422633237933</v>
      </c>
      <c r="G236" s="298">
        <f>'Class Allocations'!F$144*Functional!$F236+'Class Allocations'!F$148*Functional!$G236+'Class Allocations'!F$152*Functional!$I236+'Class Allocations'!F$156*Functional!$H236+'Class Allocations'!F$160*Functional!$J236+'Class Allocations'!F$166*Functional!$K236+'Class Allocations'!F$172*Functional!$L236+'Class Allocations'!F$178*Functional!$M236+'Class Allocations'!F$184*Functional!$N236</f>
        <v>718.03306774786756</v>
      </c>
      <c r="H236" s="298">
        <f t="shared" si="88"/>
        <v>3214.8753310716611</v>
      </c>
      <c r="I236" s="5">
        <f>'Class Allocations'!H$144*Functional!$F236+'Class Allocations'!H$148*Functional!$G236+'Class Allocations'!H$152*Functional!$I236+'Class Allocations'!H$156*Functional!$H236+'Class Allocations'!H$160*Functional!$J236+'Class Allocations'!H$166*Functional!$K236+'Class Allocations'!H$172*Functional!$L236+'Class Allocations'!H$178*Functional!$M236+'Class Allocations'!H$184*Functional!$N236</f>
        <v>213.2054621277228</v>
      </c>
      <c r="J236" s="5">
        <f>'Class Allocations'!I$144*Functional!$F236+'Class Allocations'!I$148*Functional!$G236+'Class Allocations'!I$152*Functional!$I236+'Class Allocations'!I$156*Functional!$H236+'Class Allocations'!I$160*Functional!$J236+'Class Allocations'!I$166*Functional!$K236+'Class Allocations'!I$172*Functional!$L236+'Class Allocations'!I$178*Functional!$M236+'Class Allocations'!I$184*Functional!$N236</f>
        <v>31.039824267978073</v>
      </c>
      <c r="K236" s="5">
        <f>'Class Allocations'!J$144*Functional!$F236+'Class Allocations'!J$148*Functional!$G236+'Class Allocations'!J$152*Functional!$I236+'Class Allocations'!J$156*Functional!$H236+'Class Allocations'!J$160*Functional!$J236+'Class Allocations'!J$166*Functional!$K236+'Class Allocations'!J$172*Functional!$L236+'Class Allocations'!J$178*Functional!$M236+'Class Allocations'!J$184*Functional!$N236</f>
        <v>33.609947167233628</v>
      </c>
      <c r="L236" s="5">
        <f>'Class Allocations'!K$144*Functional!$F236+'Class Allocations'!K$148*Functional!$G236+'Class Allocations'!K$152*Functional!$I236+'Class Allocations'!K$156*Functional!$H236+'Class Allocations'!K$160*Functional!$J236+'Class Allocations'!K$166*Functional!$K236+'Class Allocations'!K$172*Functional!$L236+'Class Allocations'!K$178*Functional!$M236+'Class Allocations'!K$184*Functional!$N236</f>
        <v>315.75018503854443</v>
      </c>
      <c r="M236" s="5">
        <f>'Class Allocations'!L$144*Functional!$F236+'Class Allocations'!L$148*Functional!$G236+'Class Allocations'!L$152*Functional!$I236+'Class Allocations'!L$156*Functional!$H236+'Class Allocations'!L$160*Functional!$J236+'Class Allocations'!L$166*Functional!$K236+'Class Allocations'!L$172*Functional!$L236+'Class Allocations'!L$178*Functional!$M236+'Class Allocations'!L$184*Functional!$N236</f>
        <v>1.4265627669900642</v>
      </c>
      <c r="N236" s="5">
        <f>'Class Allocations'!M$144*Functional!$F236+'Class Allocations'!M$148*Functional!$G236+'Class Allocations'!M$152*Functional!$I236+'Class Allocations'!M$156*Functional!$H236+'Class Allocations'!M$160*Functional!$J236+'Class Allocations'!M$166*Functional!$K236+'Class Allocations'!M$172*Functional!$L236+'Class Allocations'!M$178*Functional!$M236+'Class Allocations'!M$184*Functional!$N236+Functional!$P236</f>
        <v>2.3776046116501068</v>
      </c>
      <c r="O236" s="5">
        <f>'Class Allocations'!N$144*Functional!$F236+'Class Allocations'!N$148*Functional!$G236+'Class Allocations'!N$152*Functional!$I236+'Class Allocations'!N$156*Functional!$H236+'Class Allocations'!N$160*Functional!$J236+'Class Allocations'!N$166*Functional!$K236+'Class Allocations'!N$172*Functional!$L236+'Class Allocations'!N$178*Functional!$M236+'Class Allocations'!N$184*Functional!$N236+Functional!$Q236</f>
        <v>0.31701394822001422</v>
      </c>
      <c r="P236" s="5">
        <f>SUM(I236:O236)</f>
        <v>597.72659992833917</v>
      </c>
      <c r="R236" s="124">
        <f t="shared" si="84"/>
        <v>0</v>
      </c>
      <c r="S236" s="124">
        <f t="shared" si="85"/>
        <v>0</v>
      </c>
    </row>
    <row r="237" spans="1:19">
      <c r="A237" s="117">
        <f>IF(ISBLANK(C237),"",MAX($A$155:$A236)+1)</f>
        <v>62</v>
      </c>
      <c r="B237" s="117"/>
      <c r="C237" s="169" t="s">
        <v>169</v>
      </c>
      <c r="E237" s="135">
        <f>SUM(E233:E236)</f>
        <v>239101.64197600004</v>
      </c>
      <c r="F237" s="135">
        <f t="shared" ref="F237:N237" si="89">SUM(F233:F236)</f>
        <v>156585.7374360626</v>
      </c>
      <c r="G237" s="135">
        <f t="shared" si="89"/>
        <v>45030.372590339968</v>
      </c>
      <c r="H237" s="135">
        <f t="shared" si="89"/>
        <v>201616.11002640257</v>
      </c>
      <c r="I237" s="4">
        <f t="shared" si="89"/>
        <v>13370.862470192251</v>
      </c>
      <c r="J237" s="4">
        <f>SUM(J233:J236)</f>
        <v>1946.6162697907032</v>
      </c>
      <c r="K237" s="4">
        <f t="shared" si="89"/>
        <v>2107.797692979811</v>
      </c>
      <c r="L237" s="4">
        <f t="shared" si="89"/>
        <v>19801.801778225512</v>
      </c>
      <c r="M237" s="4">
        <f t="shared" si="89"/>
        <v>89.464755603186063</v>
      </c>
      <c r="N237" s="4">
        <f t="shared" si="89"/>
        <v>149.10792600531013</v>
      </c>
      <c r="O237" s="4">
        <f>SUM(O233:O236)</f>
        <v>19.881056800708016</v>
      </c>
      <c r="P237" s="4">
        <f>SUM(P233:P236)</f>
        <v>37485.531949597484</v>
      </c>
      <c r="R237" s="124">
        <f t="shared" si="84"/>
        <v>0</v>
      </c>
      <c r="S237" s="124">
        <f t="shared" si="85"/>
        <v>0</v>
      </c>
    </row>
    <row r="238" spans="1:19">
      <c r="A238" s="117" t="str">
        <f>IF(ISBLANK(C238),"",MAX($A$155:$A237)+1)</f>
        <v/>
      </c>
      <c r="B238" s="117"/>
      <c r="E238" s="135"/>
      <c r="F238" s="135"/>
      <c r="G238" s="135"/>
      <c r="H238" s="135"/>
      <c r="I238" s="4"/>
      <c r="J238" s="4"/>
      <c r="K238" s="4"/>
      <c r="L238" s="4"/>
      <c r="M238" s="4"/>
      <c r="N238" s="4"/>
      <c r="O238" s="4"/>
      <c r="P238" s="4"/>
      <c r="R238" s="124"/>
      <c r="S238" s="124"/>
    </row>
    <row r="239" spans="1:19">
      <c r="A239" s="117">
        <f>IF(ISBLANK(C239),"",MAX($A$155:$A238)+1)</f>
        <v>63</v>
      </c>
      <c r="B239" s="117"/>
      <c r="C239" s="34" t="str">
        <f>Functional!$C239</f>
        <v>Sales Expenses</v>
      </c>
      <c r="E239" s="135"/>
      <c r="F239" s="135"/>
      <c r="G239" s="135"/>
      <c r="H239" s="135"/>
      <c r="I239" s="4"/>
      <c r="J239" s="4"/>
      <c r="K239" s="4"/>
      <c r="L239" s="4"/>
      <c r="M239" s="4"/>
      <c r="N239" s="4"/>
      <c r="O239" s="4"/>
      <c r="P239" s="4"/>
      <c r="R239" s="124"/>
      <c r="S239" s="124"/>
    </row>
    <row r="240" spans="1:19">
      <c r="A240" s="117">
        <f>IF(ISBLANK(C240),"",MAX($A$155:$A239)+1)</f>
        <v>64</v>
      </c>
      <c r="B240" s="117">
        <f>Functional!$B240</f>
        <v>911</v>
      </c>
      <c r="C240" s="169" t="str">
        <f>Functional!$C240</f>
        <v>Supervision</v>
      </c>
      <c r="E240" s="135">
        <f>Functional!$E240</f>
        <v>0</v>
      </c>
      <c r="F240" s="135">
        <f>'Class Allocations'!E$144*Functional!$F240+'Class Allocations'!E$148*Functional!$G240+'Class Allocations'!E$152*Functional!$I240+'Class Allocations'!E$156*Functional!$H240+'Class Allocations'!E$160*Functional!$J240+'Class Allocations'!E$166*Functional!$K240+'Class Allocations'!E$172*Functional!$L240+'Class Allocations'!E$178*Functional!$M240+'Class Allocations'!E$184*Functional!$N240+Functional!$O240</f>
        <v>0</v>
      </c>
      <c r="G240" s="135">
        <f>'Class Allocations'!F$144*Functional!$F240+'Class Allocations'!F$148*Functional!$G240+'Class Allocations'!F$152*Functional!$I240+'Class Allocations'!F$156*Functional!$H240+'Class Allocations'!F$160*Functional!$J240+'Class Allocations'!F$166*Functional!$K240+'Class Allocations'!F$172*Functional!$L240+'Class Allocations'!F$178*Functional!$M240+'Class Allocations'!F$184*Functional!$N240</f>
        <v>0</v>
      </c>
      <c r="H240" s="135">
        <f t="shared" ref="H240:H243" si="90">SUM(F240:G240)</f>
        <v>0</v>
      </c>
      <c r="I240" s="4">
        <f>'Class Allocations'!H$144*Functional!$F240+'Class Allocations'!H$148*Functional!$G240+'Class Allocations'!H$152*Functional!$I240+'Class Allocations'!H$156*Functional!$H240+'Class Allocations'!H$160*Functional!$J240+'Class Allocations'!H$166*Functional!$K240+'Class Allocations'!H$172*Functional!$L240+'Class Allocations'!H$178*Functional!$M240+'Class Allocations'!H$184*Functional!$N240</f>
        <v>0</v>
      </c>
      <c r="J240" s="4">
        <f>'Class Allocations'!I$144*Functional!$F240+'Class Allocations'!I$148*Functional!$G240+'Class Allocations'!I$152*Functional!$I240+'Class Allocations'!I$156*Functional!$H240+'Class Allocations'!I$160*Functional!$J240+'Class Allocations'!I$166*Functional!$K240+'Class Allocations'!I$172*Functional!$L240+'Class Allocations'!I$178*Functional!$M240+'Class Allocations'!I$184*Functional!$N240</f>
        <v>0</v>
      </c>
      <c r="K240" s="4">
        <f>'Class Allocations'!J$144*Functional!$F240+'Class Allocations'!J$148*Functional!$G240+'Class Allocations'!J$152*Functional!$I240+'Class Allocations'!J$156*Functional!$H240+'Class Allocations'!J$160*Functional!$J240+'Class Allocations'!J$166*Functional!$K240+'Class Allocations'!J$172*Functional!$L240+'Class Allocations'!J$178*Functional!$M240+'Class Allocations'!J$184*Functional!$N240</f>
        <v>0</v>
      </c>
      <c r="L240" s="4">
        <f>'Class Allocations'!K$144*Functional!$F240+'Class Allocations'!K$148*Functional!$G240+'Class Allocations'!K$152*Functional!$I240+'Class Allocations'!K$156*Functional!$H240+'Class Allocations'!K$160*Functional!$J240+'Class Allocations'!K$166*Functional!$K240+'Class Allocations'!K$172*Functional!$L240+'Class Allocations'!K$178*Functional!$M240+'Class Allocations'!K$184*Functional!$N240</f>
        <v>0</v>
      </c>
      <c r="M240" s="4">
        <f>'Class Allocations'!L$144*Functional!$F240+'Class Allocations'!L$148*Functional!$G240+'Class Allocations'!L$152*Functional!$I240+'Class Allocations'!L$156*Functional!$H240+'Class Allocations'!L$160*Functional!$J240+'Class Allocations'!L$166*Functional!$K240+'Class Allocations'!L$172*Functional!$L240+'Class Allocations'!L$178*Functional!$M240+'Class Allocations'!L$184*Functional!$N240</f>
        <v>0</v>
      </c>
      <c r="N240" s="4">
        <f>'Class Allocations'!M$144*Functional!$F240+'Class Allocations'!M$148*Functional!$G240+'Class Allocations'!M$152*Functional!$I240+'Class Allocations'!M$156*Functional!$H240+'Class Allocations'!M$160*Functional!$J240+'Class Allocations'!M$166*Functional!$K240+'Class Allocations'!M$172*Functional!$L240+'Class Allocations'!M$178*Functional!$M240+'Class Allocations'!M$184*Functional!$N240+Functional!$P240</f>
        <v>0</v>
      </c>
      <c r="O240" s="4">
        <f>'Class Allocations'!N$144*Functional!$F240+'Class Allocations'!N$148*Functional!$G240+'Class Allocations'!N$152*Functional!$I240+'Class Allocations'!N$156*Functional!$H240+'Class Allocations'!N$160*Functional!$J240+'Class Allocations'!N$166*Functional!$K240+'Class Allocations'!N$172*Functional!$L240+'Class Allocations'!N$178*Functional!$M240+'Class Allocations'!N$184*Functional!$N240+Functional!$Q240</f>
        <v>0</v>
      </c>
      <c r="P240" s="4">
        <f>SUM(I240:O240)</f>
        <v>0</v>
      </c>
      <c r="R240" s="124">
        <f t="shared" si="84"/>
        <v>0</v>
      </c>
      <c r="S240" s="124">
        <f t="shared" si="85"/>
        <v>0</v>
      </c>
    </row>
    <row r="241" spans="1:19">
      <c r="A241" s="117">
        <f>IF(ISBLANK(C241),"",MAX($A$155:$A240)+1)</f>
        <v>65</v>
      </c>
      <c r="B241" s="117">
        <f>Functional!$B241</f>
        <v>912</v>
      </c>
      <c r="C241" s="169" t="str">
        <f>Functional!$C241</f>
        <v>Demonstrating &amp; Selling Exp.</v>
      </c>
      <c r="E241" s="135">
        <f>Functional!$E241</f>
        <v>343832.69154115691</v>
      </c>
      <c r="F241" s="135">
        <f>'Class Allocations'!E$144*Functional!$F241+'Class Allocations'!E$148*Functional!$G241+'Class Allocations'!E$152*Functional!$I241+'Class Allocations'!E$156*Functional!$H241+'Class Allocations'!E$160*Functional!$J241+'Class Allocations'!E$166*Functional!$K241+'Class Allocations'!E$172*Functional!$L241+'Class Allocations'!E$178*Functional!$M241+'Class Allocations'!E$184*Functional!$N241+Functional!$O241</f>
        <v>225173.25734217436</v>
      </c>
      <c r="G241" s="135">
        <f>'Class Allocations'!F$144*Functional!$F241+'Class Allocations'!F$148*Functional!$G241+'Class Allocations'!F$152*Functional!$I241+'Class Allocations'!F$156*Functional!$H241+'Class Allocations'!F$160*Functional!$J241+'Class Allocations'!F$166*Functional!$K241+'Class Allocations'!F$172*Functional!$L241+'Class Allocations'!F$178*Functional!$M241+'Class Allocations'!F$184*Functional!$N241</f>
        <v>64754.528998139773</v>
      </c>
      <c r="H241" s="135">
        <f t="shared" si="90"/>
        <v>289927.78634031414</v>
      </c>
      <c r="I241" s="4">
        <f>'Class Allocations'!H$144*Functional!$F241+'Class Allocations'!H$148*Functional!$G241+'Class Allocations'!H$152*Functional!$I241+'Class Allocations'!H$156*Functional!$H241+'Class Allocations'!H$160*Functional!$J241+'Class Allocations'!H$166*Functional!$K241+'Class Allocations'!H$172*Functional!$L241+'Class Allocations'!H$178*Functional!$M241+'Class Allocations'!H$184*Functional!$N241</f>
        <v>19227.553576626233</v>
      </c>
      <c r="J241" s="4">
        <f>'Class Allocations'!I$144*Functional!$F241+'Class Allocations'!I$148*Functional!$G241+'Class Allocations'!I$152*Functional!$I241+'Class Allocations'!I$156*Functional!$H241+'Class Allocations'!I$160*Functional!$J241+'Class Allocations'!I$166*Functional!$K241+'Class Allocations'!I$172*Functional!$L241+'Class Allocations'!I$178*Functional!$M241+'Class Allocations'!I$184*Functional!$N241</f>
        <v>2799.2710794814479</v>
      </c>
      <c r="K241" s="4">
        <f>'Class Allocations'!J$144*Functional!$F241+'Class Allocations'!J$148*Functional!$G241+'Class Allocations'!J$152*Functional!$I241+'Class Allocations'!J$156*Functional!$H241+'Class Allocations'!J$160*Functional!$J241+'Class Allocations'!J$166*Functional!$K241+'Class Allocations'!J$172*Functional!$L241+'Class Allocations'!J$178*Functional!$M241+'Class Allocations'!J$184*Functional!$N241</f>
        <v>3031.0530200132821</v>
      </c>
      <c r="L241" s="4">
        <f>'Class Allocations'!K$144*Functional!$F241+'Class Allocations'!K$148*Functional!$G241+'Class Allocations'!K$152*Functional!$I241+'Class Allocations'!K$156*Functional!$H241+'Class Allocations'!K$160*Functional!$J241+'Class Allocations'!K$166*Functional!$K241+'Class Allocations'!K$172*Functional!$L241+'Class Allocations'!K$178*Functional!$M241+'Class Allocations'!K$184*Functional!$N241</f>
        <v>28475.366151835766</v>
      </c>
      <c r="M241" s="4">
        <f>'Class Allocations'!L$144*Functional!$F241+'Class Allocations'!L$148*Functional!$G241+'Class Allocations'!L$152*Functional!$I241+'Class Allocations'!L$156*Functional!$H241+'Class Allocations'!L$160*Functional!$J241+'Class Allocations'!L$166*Functional!$K241+'Class Allocations'!L$172*Functional!$L241+'Class Allocations'!L$178*Functional!$M241+'Class Allocations'!L$184*Functional!$N241</f>
        <v>128.6520136913276</v>
      </c>
      <c r="N241" s="4">
        <f>'Class Allocations'!M$144*Functional!$F241+'Class Allocations'!M$148*Functional!$G241+'Class Allocations'!M$152*Functional!$I241+'Class Allocations'!M$156*Functional!$H241+'Class Allocations'!M$160*Functional!$J241+'Class Allocations'!M$166*Functional!$K241+'Class Allocations'!M$172*Functional!$L241+'Class Allocations'!M$178*Functional!$M241+'Class Allocations'!M$184*Functional!$N241+Functional!$P241</f>
        <v>214.42002281887935</v>
      </c>
      <c r="O241" s="4">
        <f>'Class Allocations'!N$144*Functional!$F241+'Class Allocations'!N$148*Functional!$G241+'Class Allocations'!N$152*Functional!$I241+'Class Allocations'!N$156*Functional!$H241+'Class Allocations'!N$160*Functional!$J241+'Class Allocations'!N$166*Functional!$K241+'Class Allocations'!N$172*Functional!$L241+'Class Allocations'!N$178*Functional!$M241+'Class Allocations'!N$184*Functional!$N241+Functional!$Q241</f>
        <v>28.589336375850575</v>
      </c>
      <c r="P241" s="4">
        <f>SUM(I241:O241)</f>
        <v>53904.905200842783</v>
      </c>
      <c r="R241" s="124">
        <f t="shared" si="84"/>
        <v>0</v>
      </c>
      <c r="S241" s="124">
        <f t="shared" si="85"/>
        <v>0</v>
      </c>
    </row>
    <row r="242" spans="1:19">
      <c r="A242" s="117">
        <f>IF(ISBLANK(C242),"",MAX($A$155:$A241)+1)</f>
        <v>66</v>
      </c>
      <c r="B242" s="117">
        <f>Functional!$B242</f>
        <v>913</v>
      </c>
      <c r="C242" s="169" t="str">
        <f>Functional!$C242</f>
        <v>Advertising Expenses</v>
      </c>
      <c r="E242" s="135">
        <f>Functional!$E242</f>
        <v>1679.8951108373317</v>
      </c>
      <c r="F242" s="135">
        <f>'Class Allocations'!E$144*Functional!$F242+'Class Allocations'!E$148*Functional!$G242+'Class Allocations'!E$152*Functional!$I242+'Class Allocations'!E$156*Functional!$H242+'Class Allocations'!E$160*Functional!$J242+'Class Allocations'!E$166*Functional!$K242+'Class Allocations'!E$172*Functional!$L242+'Class Allocations'!E$178*Functional!$M242+'Class Allocations'!E$184*Functional!$N242+Functional!$O242</f>
        <v>1100.1497629702737</v>
      </c>
      <c r="G242" s="135">
        <f>'Class Allocations'!F$144*Functional!$F242+'Class Allocations'!F$148*Functional!$G242+'Class Allocations'!F$152*Functional!$I242+'Class Allocations'!F$156*Functional!$H242+'Class Allocations'!F$160*Functional!$J242+'Class Allocations'!F$166*Functional!$K242+'Class Allocations'!F$172*Functional!$L242+'Class Allocations'!F$178*Functional!$M242+'Class Allocations'!F$184*Functional!$N242</f>
        <v>316.3771780425019</v>
      </c>
      <c r="H242" s="135">
        <f t="shared" si="90"/>
        <v>1416.5269410127758</v>
      </c>
      <c r="I242" s="4">
        <f>'Class Allocations'!H$144*Functional!$F242+'Class Allocations'!H$148*Functional!$G242+'Class Allocations'!H$152*Functional!$I242+'Class Allocations'!H$156*Functional!$H242+'Class Allocations'!H$160*Functional!$J242+'Class Allocations'!H$166*Functional!$K242+'Class Allocations'!H$172*Functional!$L242+'Class Allocations'!H$178*Functional!$M242+'Class Allocations'!H$184*Functional!$N242</f>
        <v>93.941832877956273</v>
      </c>
      <c r="J242" s="4">
        <f>'Class Allocations'!I$144*Functional!$F242+'Class Allocations'!I$148*Functional!$G242+'Class Allocations'!I$152*Functional!$I242+'Class Allocations'!I$156*Functional!$H242+'Class Allocations'!I$160*Functional!$J242+'Class Allocations'!I$166*Functional!$K242+'Class Allocations'!I$172*Functional!$L242+'Class Allocations'!I$178*Functional!$M242+'Class Allocations'!I$184*Functional!$N242</f>
        <v>13.676657037035511</v>
      </c>
      <c r="K242" s="4">
        <f>'Class Allocations'!J$144*Functional!$F242+'Class Allocations'!J$148*Functional!$G242+'Class Allocations'!J$152*Functional!$I242+'Class Allocations'!J$156*Functional!$H242+'Class Allocations'!J$160*Functional!$J242+'Class Allocations'!J$166*Functional!$K242+'Class Allocations'!J$172*Functional!$L242+'Class Allocations'!J$178*Functional!$M242+'Class Allocations'!J$184*Functional!$N242</f>
        <v>14.809095453331974</v>
      </c>
      <c r="L242" s="4">
        <f>'Class Allocations'!K$144*Functional!$F242+'Class Allocations'!K$148*Functional!$G242+'Class Allocations'!K$152*Functional!$I242+'Class Allocations'!K$156*Functional!$H242+'Class Allocations'!K$160*Functional!$J242+'Class Allocations'!K$166*Functional!$K242+'Class Allocations'!K$172*Functional!$L242+'Class Allocations'!K$178*Functional!$M242+'Class Allocations'!K$184*Functional!$N242</f>
        <v>139.12472418884519</v>
      </c>
      <c r="M242" s="4">
        <f>'Class Allocations'!L$144*Functional!$F242+'Class Allocations'!L$148*Functional!$G242+'Class Allocations'!L$152*Functional!$I242+'Class Allocations'!L$156*Functional!$H242+'Class Allocations'!L$160*Functional!$J242+'Class Allocations'!L$166*Functional!$K242+'Class Allocations'!L$172*Functional!$L242+'Class Allocations'!L$178*Functional!$M242+'Class Allocations'!L$184*Functional!$N242</f>
        <v>0.62856701563402329</v>
      </c>
      <c r="N242" s="4">
        <f>'Class Allocations'!M$144*Functional!$F242+'Class Allocations'!M$148*Functional!$G242+'Class Allocations'!M$152*Functional!$I242+'Class Allocations'!M$156*Functional!$H242+'Class Allocations'!M$160*Functional!$J242+'Class Allocations'!M$166*Functional!$K242+'Class Allocations'!M$172*Functional!$L242+'Class Allocations'!M$178*Functional!$M242+'Class Allocations'!M$184*Functional!$N242+Functional!$P242</f>
        <v>1.0476116927233723</v>
      </c>
      <c r="O242" s="4">
        <f>'Class Allocations'!N$144*Functional!$F242+'Class Allocations'!N$148*Functional!$G242+'Class Allocations'!N$152*Functional!$I242+'Class Allocations'!N$156*Functional!$H242+'Class Allocations'!N$160*Functional!$J242+'Class Allocations'!N$166*Functional!$K242+'Class Allocations'!N$172*Functional!$L242+'Class Allocations'!N$178*Functional!$M242+'Class Allocations'!N$184*Functional!$N242+Functional!$Q242</f>
        <v>0.13968155902978294</v>
      </c>
      <c r="P242" s="4">
        <f>SUM(I242:O242)</f>
        <v>263.36816982455611</v>
      </c>
      <c r="R242" s="124">
        <f t="shared" si="84"/>
        <v>0</v>
      </c>
      <c r="S242" s="124">
        <f t="shared" si="85"/>
        <v>0</v>
      </c>
    </row>
    <row r="243" spans="1:19">
      <c r="A243" s="117">
        <f>IF(ISBLANK(C243),"",MAX($A$155:$A242)+1)</f>
        <v>67</v>
      </c>
      <c r="B243" s="117">
        <f>Functional!$B243</f>
        <v>916</v>
      </c>
      <c r="C243" s="169" t="str">
        <f>Functional!$C243</f>
        <v>Miscellaneous</v>
      </c>
      <c r="E243" s="298">
        <f>Functional!$E243</f>
        <v>320.97294399999987</v>
      </c>
      <c r="F243" s="298">
        <f>'Class Allocations'!E$144*Functional!$F243+'Class Allocations'!E$148*Functional!$G243+'Class Allocations'!E$152*Functional!$I243+'Class Allocations'!E$156*Functional!$H243+'Class Allocations'!E$160*Functional!$J243+'Class Allocations'!E$166*Functional!$K243+'Class Allocations'!E$172*Functional!$L243+'Class Allocations'!E$178*Functional!$M243+'Class Allocations'!E$184*Functional!$N243+Functional!$O243</f>
        <v>210.2025929972863</v>
      </c>
      <c r="G243" s="298">
        <f>'Class Allocations'!F$144*Functional!$F243+'Class Allocations'!F$148*Functional!$G243+'Class Allocations'!F$152*Functional!$I243+'Class Allocations'!F$156*Functional!$H243+'Class Allocations'!F$160*Functional!$J243+'Class Allocations'!F$166*Functional!$K243+'Class Allocations'!F$172*Functional!$L243+'Class Allocations'!F$178*Functional!$M243+'Class Allocations'!F$184*Functional!$N243</f>
        <v>60.449318291127007</v>
      </c>
      <c r="H243" s="298">
        <f t="shared" si="90"/>
        <v>270.65191128841332</v>
      </c>
      <c r="I243" s="5">
        <f>'Class Allocations'!H$144*Functional!$F243+'Class Allocations'!H$148*Functional!$G243+'Class Allocations'!H$152*Functional!$I243+'Class Allocations'!H$156*Functional!$H243+'Class Allocations'!H$160*Functional!$J243+'Class Allocations'!H$166*Functional!$K243+'Class Allocations'!H$172*Functional!$L243+'Class Allocations'!H$178*Functional!$M243+'Class Allocations'!H$184*Functional!$N243</f>
        <v>17.949207941062561</v>
      </c>
      <c r="J243" s="5">
        <f>'Class Allocations'!I$144*Functional!$F243+'Class Allocations'!I$148*Functional!$G243+'Class Allocations'!I$152*Functional!$I243+'Class Allocations'!I$156*Functional!$H243+'Class Allocations'!I$160*Functional!$J243+'Class Allocations'!I$166*Functional!$K243+'Class Allocations'!I$172*Functional!$L243+'Class Allocations'!I$178*Functional!$M243+'Class Allocations'!I$184*Functional!$N243</f>
        <v>2.6131612890209084</v>
      </c>
      <c r="K243" s="5">
        <f>'Class Allocations'!J$144*Functional!$F243+'Class Allocations'!J$148*Functional!$G243+'Class Allocations'!J$152*Functional!$I243+'Class Allocations'!J$156*Functional!$H243+'Class Allocations'!J$160*Functional!$J243+'Class Allocations'!J$166*Functional!$K243+'Class Allocations'!J$172*Functional!$L243+'Class Allocations'!J$178*Functional!$M243+'Class Allocations'!J$184*Functional!$N243</f>
        <v>2.8295331863093036</v>
      </c>
      <c r="L243" s="5">
        <f>'Class Allocations'!K$144*Functional!$F243+'Class Allocations'!K$148*Functional!$G243+'Class Allocations'!K$152*Functional!$I243+'Class Allocations'!K$156*Functional!$H243+'Class Allocations'!K$160*Functional!$J243+'Class Allocations'!K$166*Functional!$K243+'Class Allocations'!K$172*Functional!$L243+'Class Allocations'!K$178*Functional!$M243+'Class Allocations'!K$184*Functional!$N243</f>
        <v>26.582178862240717</v>
      </c>
      <c r="M243" s="5">
        <f>'Class Allocations'!L$144*Functional!$F243+'Class Allocations'!L$148*Functional!$G243+'Class Allocations'!L$152*Functional!$I243+'Class Allocations'!L$156*Functional!$H243+'Class Allocations'!L$160*Functional!$J243+'Class Allocations'!L$166*Functional!$K243+'Class Allocations'!L$172*Functional!$L243+'Class Allocations'!L$178*Functional!$M243+'Class Allocations'!L$184*Functional!$N243</f>
        <v>0.1200985729452978</v>
      </c>
      <c r="N243" s="5">
        <f>'Class Allocations'!M$144*Functional!$F243+'Class Allocations'!M$148*Functional!$G243+'Class Allocations'!M$152*Functional!$I243+'Class Allocations'!M$156*Functional!$H243+'Class Allocations'!M$160*Functional!$J243+'Class Allocations'!M$166*Functional!$K243+'Class Allocations'!M$172*Functional!$L243+'Class Allocations'!M$178*Functional!$M243+'Class Allocations'!M$184*Functional!$N243+Functional!$P243</f>
        <v>0.20016428824216301</v>
      </c>
      <c r="O243" s="5">
        <f>'Class Allocations'!N$144*Functional!$F243+'Class Allocations'!N$148*Functional!$G243+'Class Allocations'!N$152*Functional!$I243+'Class Allocations'!N$156*Functional!$H243+'Class Allocations'!N$160*Functional!$J243+'Class Allocations'!N$166*Functional!$K243+'Class Allocations'!N$172*Functional!$L243+'Class Allocations'!N$178*Functional!$M243+'Class Allocations'!N$184*Functional!$N243+Functional!$Q243</f>
        <v>2.668857176562173E-2</v>
      </c>
      <c r="P243" s="5">
        <f>SUM(I243:O243)</f>
        <v>50.321032711586575</v>
      </c>
      <c r="R243" s="124">
        <f t="shared" si="84"/>
        <v>0</v>
      </c>
      <c r="S243" s="124">
        <f t="shared" si="85"/>
        <v>0</v>
      </c>
    </row>
    <row r="244" spans="1:19">
      <c r="A244" s="117">
        <f>IF(ISBLANK(C244),"",MAX($A$155:$A243)+1)</f>
        <v>68</v>
      </c>
      <c r="B244" s="117"/>
      <c r="C244" s="174" t="s">
        <v>172</v>
      </c>
      <c r="E244" s="135">
        <f>SUM(E240:E243)</f>
        <v>345833.55959599424</v>
      </c>
      <c r="F244" s="135">
        <f t="shared" ref="F244:N244" si="91">SUM(F240:F243)</f>
        <v>226483.60969814193</v>
      </c>
      <c r="G244" s="135">
        <f t="shared" si="91"/>
        <v>65131.355494473399</v>
      </c>
      <c r="H244" s="135">
        <f t="shared" si="91"/>
        <v>291614.96519261535</v>
      </c>
      <c r="I244" s="4">
        <f t="shared" si="91"/>
        <v>19339.444617445253</v>
      </c>
      <c r="J244" s="4">
        <f>SUM(J240:J243)</f>
        <v>2815.5608978075043</v>
      </c>
      <c r="K244" s="4">
        <f t="shared" si="91"/>
        <v>3048.691648652923</v>
      </c>
      <c r="L244" s="4">
        <f t="shared" si="91"/>
        <v>28641.073054886852</v>
      </c>
      <c r="M244" s="4">
        <f t="shared" si="91"/>
        <v>129.40067927990691</v>
      </c>
      <c r="N244" s="4">
        <f t="shared" si="91"/>
        <v>215.66779879984486</v>
      </c>
      <c r="O244" s="4">
        <f>SUM(O240:O243)</f>
        <v>28.755706506645978</v>
      </c>
      <c r="P244" s="4">
        <f>SUM(P240:P243)</f>
        <v>54218.594403378927</v>
      </c>
      <c r="R244" s="124">
        <f t="shared" si="84"/>
        <v>0</v>
      </c>
      <c r="S244" s="124">
        <f t="shared" si="85"/>
        <v>0</v>
      </c>
    </row>
    <row r="245" spans="1:19">
      <c r="A245" s="117" t="str">
        <f>IF(ISBLANK(C245),"",MAX($A$155:$A244)+1)</f>
        <v/>
      </c>
      <c r="B245" s="117"/>
      <c r="E245" s="135"/>
      <c r="F245" s="135"/>
      <c r="G245" s="135"/>
      <c r="H245" s="135"/>
      <c r="I245" s="4"/>
      <c r="J245" s="4"/>
      <c r="K245" s="4"/>
      <c r="L245" s="4"/>
      <c r="M245" s="4"/>
      <c r="N245" s="4"/>
      <c r="O245" s="4"/>
      <c r="P245" s="4"/>
      <c r="R245" s="124"/>
      <c r="S245" s="124"/>
    </row>
    <row r="246" spans="1:19">
      <c r="A246" s="117">
        <f>IF(ISBLANK(C246),"",MAX($A$155:$A245)+1)</f>
        <v>69</v>
      </c>
      <c r="B246" s="117"/>
      <c r="C246" s="34" t="str">
        <f>Functional!$C246</f>
        <v>Administrative &amp; General Expenses</v>
      </c>
      <c r="E246" s="135"/>
      <c r="F246" s="135"/>
      <c r="G246" s="135"/>
      <c r="H246" s="135"/>
      <c r="I246" s="4"/>
      <c r="J246" s="4"/>
      <c r="K246" s="4"/>
      <c r="L246" s="4"/>
      <c r="M246" s="4"/>
      <c r="N246" s="4"/>
      <c r="O246" s="4"/>
      <c r="P246" s="4"/>
      <c r="R246" s="124"/>
      <c r="S246" s="124"/>
    </row>
    <row r="247" spans="1:19">
      <c r="A247" s="117">
        <f>IF(ISBLANK(C247),"",MAX($A$155:$A246)+1)</f>
        <v>70</v>
      </c>
      <c r="B247" s="117"/>
      <c r="C247" s="140" t="str">
        <f>Functional!$C247</f>
        <v>Operation</v>
      </c>
      <c r="E247" s="135"/>
      <c r="F247" s="135"/>
      <c r="G247" s="135"/>
      <c r="H247" s="135"/>
      <c r="I247" s="4"/>
      <c r="J247" s="4"/>
      <c r="K247" s="4"/>
      <c r="L247" s="4"/>
      <c r="M247" s="4"/>
      <c r="N247" s="4"/>
      <c r="O247" s="4"/>
      <c r="P247" s="4"/>
      <c r="R247" s="124"/>
      <c r="S247" s="124"/>
    </row>
    <row r="248" spans="1:19">
      <c r="A248" s="117">
        <f>IF(ISBLANK(C248),"",MAX($A$155:$A247)+1)</f>
        <v>71</v>
      </c>
      <c r="B248" s="117">
        <v>920</v>
      </c>
      <c r="C248" s="169" t="s">
        <v>173</v>
      </c>
      <c r="E248" s="135">
        <f>Functional!$E248</f>
        <v>12443583.055497548</v>
      </c>
      <c r="F248" s="135">
        <f>'Class Allocations'!E$144*Functional!$F248+'Class Allocations'!E$148*Functional!$G248+'Class Allocations'!E$152*Functional!$I248+'Class Allocations'!E$156*Functional!$H248+'Class Allocations'!E$160*Functional!$J248+'Class Allocations'!E$166*Functional!$K248+'Class Allocations'!E$172*Functional!$L248+'Class Allocations'!E$178*Functional!$M248+'Class Allocations'!E$184*Functional!$N248+Functional!$O248</f>
        <v>8040579.2178570442</v>
      </c>
      <c r="G248" s="135">
        <f>'Class Allocations'!F$144*Functional!$F248+'Class Allocations'!F$148*Functional!$G248+'Class Allocations'!F$152*Functional!$I248+'Class Allocations'!F$156*Functional!$H248+'Class Allocations'!F$160*Functional!$J248+'Class Allocations'!F$166*Functional!$K248+'Class Allocations'!F$172*Functional!$L248+'Class Allocations'!F$178*Functional!$M248+'Class Allocations'!F$184*Functional!$N248</f>
        <v>2809521.845748296</v>
      </c>
      <c r="H248" s="135">
        <f t="shared" ref="H248:H259" si="92">SUM(F248:G248)</f>
        <v>10850101.06360534</v>
      </c>
      <c r="I248" s="4">
        <f>'Class Allocations'!H$144*Functional!$F248+'Class Allocations'!H$148*Functional!$G248+'Class Allocations'!H$152*Functional!$I248+'Class Allocations'!H$156*Functional!$H248+'Class Allocations'!H$160*Functional!$J248+'Class Allocations'!H$166*Functional!$K248+'Class Allocations'!H$172*Functional!$L248+'Class Allocations'!H$178*Functional!$M248+'Class Allocations'!H$184*Functional!$N248</f>
        <v>587066.97840715852</v>
      </c>
      <c r="J248" s="4">
        <f>'Class Allocations'!I$144*Functional!$F248+'Class Allocations'!I$148*Functional!$G248+'Class Allocations'!I$152*Functional!$I248+'Class Allocations'!I$156*Functional!$H248+'Class Allocations'!I$160*Functional!$J248+'Class Allocations'!I$166*Functional!$K248+'Class Allocations'!I$172*Functional!$L248+'Class Allocations'!I$178*Functional!$M248+'Class Allocations'!I$184*Functional!$N248</f>
        <v>64796.605404932292</v>
      </c>
      <c r="K248" s="4">
        <f>'Class Allocations'!J$144*Functional!$F248+'Class Allocations'!J$148*Functional!$G248+'Class Allocations'!J$152*Functional!$I248+'Class Allocations'!J$156*Functional!$H248+'Class Allocations'!J$160*Functional!$J248+'Class Allocations'!J$166*Functional!$K248+'Class Allocations'!J$172*Functional!$L248+'Class Allocations'!J$178*Functional!$M248+'Class Allocations'!J$184*Functional!$N248</f>
        <v>64300.406185720458</v>
      </c>
      <c r="L248" s="4">
        <f>'Class Allocations'!K$144*Functional!$F248+'Class Allocations'!K$148*Functional!$G248+'Class Allocations'!K$152*Functional!$I248+'Class Allocations'!K$156*Functional!$H248+'Class Allocations'!K$160*Functional!$J248+'Class Allocations'!K$166*Functional!$K248+'Class Allocations'!K$172*Functional!$L248+'Class Allocations'!K$178*Functional!$M248+'Class Allocations'!K$184*Functional!$N248</f>
        <v>672164.72991900216</v>
      </c>
      <c r="M248" s="4">
        <f>'Class Allocations'!L$144*Functional!$F248+'Class Allocations'!L$148*Functional!$G248+'Class Allocations'!L$152*Functional!$I248+'Class Allocations'!L$156*Functional!$H248+'Class Allocations'!L$160*Functional!$J248+'Class Allocations'!L$166*Functional!$K248+'Class Allocations'!L$172*Functional!$L248+'Class Allocations'!L$178*Functional!$M248+'Class Allocations'!L$184*Functional!$N248</f>
        <v>93329.101780758312</v>
      </c>
      <c r="N248" s="4">
        <f>'Class Allocations'!M$144*Functional!$F248+'Class Allocations'!M$148*Functional!$G248+'Class Allocations'!M$152*Functional!$I248+'Class Allocations'!M$156*Functional!$H248+'Class Allocations'!M$160*Functional!$J248+'Class Allocations'!M$166*Functional!$K248+'Class Allocations'!M$172*Functional!$L248+'Class Allocations'!M$178*Functional!$M248+'Class Allocations'!M$184*Functional!$N248+Functional!$P248</f>
        <v>56175.421331354337</v>
      </c>
      <c r="O248" s="4">
        <f>'Class Allocations'!N$144*Functional!$F248+'Class Allocations'!N$148*Functional!$G248+'Class Allocations'!N$152*Functional!$I248+'Class Allocations'!N$156*Functional!$H248+'Class Allocations'!N$160*Functional!$J248+'Class Allocations'!N$166*Functional!$K248+'Class Allocations'!N$172*Functional!$L248+'Class Allocations'!N$178*Functional!$M248+'Class Allocations'!N$184*Functional!$N248+Functional!$Q248</f>
        <v>55648.748863283137</v>
      </c>
      <c r="P248" s="4">
        <f t="shared" ref="P248:P259" si="93">SUM(I248:O248)</f>
        <v>1593481.9918922093</v>
      </c>
      <c r="R248" s="124">
        <f t="shared" si="84"/>
        <v>0</v>
      </c>
      <c r="S248" s="124">
        <f t="shared" si="85"/>
        <v>-1.862645149230957E-9</v>
      </c>
    </row>
    <row r="249" spans="1:19">
      <c r="A249" s="117">
        <f>IF(ISBLANK(C249),"",MAX($A$155:$A248)+1)</f>
        <v>72</v>
      </c>
      <c r="B249" s="117">
        <v>921</v>
      </c>
      <c r="C249" s="169" t="s">
        <v>174</v>
      </c>
      <c r="E249" s="135">
        <f>Functional!$E249</f>
        <v>4275928.9665266424</v>
      </c>
      <c r="F249" s="135">
        <f>'Class Allocations'!E$144*Functional!$F249+'Class Allocations'!E$148*Functional!$G249+'Class Allocations'!E$152*Functional!$I249+'Class Allocations'!E$156*Functional!$H249+'Class Allocations'!E$160*Functional!$J249+'Class Allocations'!E$166*Functional!$K249+'Class Allocations'!E$172*Functional!$L249+'Class Allocations'!E$178*Functional!$M249+'Class Allocations'!E$184*Functional!$N249+Functional!$O249</f>
        <v>2762945.8036282919</v>
      </c>
      <c r="G249" s="135">
        <f>'Class Allocations'!F$144*Functional!$F249+'Class Allocations'!F$148*Functional!$G249+'Class Allocations'!F$152*Functional!$I249+'Class Allocations'!F$156*Functional!$H249+'Class Allocations'!F$160*Functional!$J249+'Class Allocations'!F$166*Functional!$K249+'Class Allocations'!F$172*Functional!$L249+'Class Allocations'!F$178*Functional!$M249+'Class Allocations'!F$184*Functional!$N249</f>
        <v>965422.5626771606</v>
      </c>
      <c r="H249" s="135">
        <f t="shared" si="92"/>
        <v>3728368.3663054528</v>
      </c>
      <c r="I249" s="4">
        <f>'Class Allocations'!H$144*Functional!$F249+'Class Allocations'!H$148*Functional!$G249+'Class Allocations'!H$152*Functional!$I249+'Class Allocations'!H$156*Functional!$H249+'Class Allocations'!H$160*Functional!$J249+'Class Allocations'!H$166*Functional!$K249+'Class Allocations'!H$172*Functional!$L249+'Class Allocations'!H$178*Functional!$M249+'Class Allocations'!H$184*Functional!$N249</f>
        <v>201731.01968033347</v>
      </c>
      <c r="J249" s="4">
        <f>'Class Allocations'!I$144*Functional!$F249+'Class Allocations'!I$148*Functional!$G249+'Class Allocations'!I$152*Functional!$I249+'Class Allocations'!I$156*Functional!$H249+'Class Allocations'!I$160*Functional!$J249+'Class Allocations'!I$166*Functional!$K249+'Class Allocations'!I$172*Functional!$L249+'Class Allocations'!I$178*Functional!$M249+'Class Allocations'!I$184*Functional!$N249</f>
        <v>22265.747795297575</v>
      </c>
      <c r="K249" s="4">
        <f>'Class Allocations'!J$144*Functional!$F249+'Class Allocations'!J$148*Functional!$G249+'Class Allocations'!J$152*Functional!$I249+'Class Allocations'!J$156*Functional!$H249+'Class Allocations'!J$160*Functional!$J249+'Class Allocations'!J$166*Functional!$K249+'Class Allocations'!J$172*Functional!$L249+'Class Allocations'!J$178*Functional!$M249+'Class Allocations'!J$184*Functional!$N249</f>
        <v>22095.241229372547</v>
      </c>
      <c r="L249" s="4">
        <f>'Class Allocations'!K$144*Functional!$F249+'Class Allocations'!K$148*Functional!$G249+'Class Allocations'!K$152*Functional!$I249+'Class Allocations'!K$156*Functional!$H249+'Class Allocations'!K$160*Functional!$J249+'Class Allocations'!K$166*Functional!$K249+'Class Allocations'!K$172*Functional!$L249+'Class Allocations'!K$178*Functional!$M249+'Class Allocations'!K$184*Functional!$N249</f>
        <v>230972.7532753064</v>
      </c>
      <c r="M249" s="4">
        <f>'Class Allocations'!L$144*Functional!$F249+'Class Allocations'!L$148*Functional!$G249+'Class Allocations'!L$152*Functional!$I249+'Class Allocations'!L$156*Functional!$H249+'Class Allocations'!L$160*Functional!$J249+'Class Allocations'!L$166*Functional!$K249+'Class Allocations'!L$172*Functional!$L249+'Class Allocations'!L$178*Functional!$M249+'Class Allocations'!L$184*Functional!$N249</f>
        <v>32070.233143013433</v>
      </c>
      <c r="N249" s="4">
        <f>'Class Allocations'!M$144*Functional!$F249+'Class Allocations'!M$148*Functional!$G249+'Class Allocations'!M$152*Functional!$I249+'Class Allocations'!M$156*Functional!$H249+'Class Allocations'!M$160*Functional!$J249+'Class Allocations'!M$166*Functional!$K249+'Class Allocations'!M$172*Functional!$L249+'Class Allocations'!M$178*Functional!$M249+'Class Allocations'!M$184*Functional!$N249+Functional!$P249</f>
        <v>19303.291520319457</v>
      </c>
      <c r="O249" s="4">
        <f>'Class Allocations'!N$144*Functional!$F249+'Class Allocations'!N$148*Functional!$G249+'Class Allocations'!N$152*Functional!$I249+'Class Allocations'!N$156*Functional!$H249+'Class Allocations'!N$160*Functional!$J249+'Class Allocations'!N$166*Functional!$K249+'Class Allocations'!N$172*Functional!$L249+'Class Allocations'!N$178*Functional!$M249+'Class Allocations'!N$184*Functional!$N249+Functional!$Q249</f>
        <v>19122.313577547353</v>
      </c>
      <c r="P249" s="4">
        <f t="shared" si="93"/>
        <v>547560.60022119014</v>
      </c>
      <c r="R249" s="124">
        <f t="shared" si="84"/>
        <v>0</v>
      </c>
      <c r="S249" s="124">
        <f t="shared" si="85"/>
        <v>0</v>
      </c>
    </row>
    <row r="250" spans="1:19">
      <c r="A250" s="117">
        <f>IF(ISBLANK(C250),"",MAX($A$155:$A249)+1)</f>
        <v>73</v>
      </c>
      <c r="B250" s="117">
        <v>922</v>
      </c>
      <c r="C250" s="169" t="s">
        <v>175</v>
      </c>
      <c r="E250" s="135">
        <f>Functional!$E250</f>
        <v>-3248588.9635294112</v>
      </c>
      <c r="F250" s="135">
        <f>'Class Allocations'!E$144*Functional!$F250+'Class Allocations'!E$148*Functional!$G250+'Class Allocations'!E$152*Functional!$I250+'Class Allocations'!E$156*Functional!$H250+'Class Allocations'!E$160*Functional!$J250+'Class Allocations'!E$166*Functional!$K250+'Class Allocations'!E$172*Functional!$L250+'Class Allocations'!E$178*Functional!$M250+'Class Allocations'!E$184*Functional!$N250+Functional!$O250</f>
        <v>-2099117.0140480031</v>
      </c>
      <c r="G250" s="135">
        <f>'Class Allocations'!F$144*Functional!$F250+'Class Allocations'!F$148*Functional!$G250+'Class Allocations'!F$152*Functional!$I250+'Class Allocations'!F$156*Functional!$H250+'Class Allocations'!F$160*Functional!$J250+'Class Allocations'!F$166*Functional!$K250+'Class Allocations'!F$172*Functional!$L250+'Class Allocations'!F$178*Functional!$M250+'Class Allocations'!F$184*Functional!$N250</f>
        <v>-733468.93898541667</v>
      </c>
      <c r="H250" s="135">
        <f t="shared" si="92"/>
        <v>-2832585.9530334198</v>
      </c>
      <c r="I250" s="4">
        <f>'Class Allocations'!H$144*Functional!$F250+'Class Allocations'!H$148*Functional!$G250+'Class Allocations'!H$152*Functional!$I250+'Class Allocations'!H$156*Functional!$H250+'Class Allocations'!H$160*Functional!$J250+'Class Allocations'!H$166*Functional!$K250+'Class Allocations'!H$172*Functional!$L250+'Class Allocations'!H$178*Functional!$M250+'Class Allocations'!H$184*Functional!$N250</f>
        <v>-153262.87439882394</v>
      </c>
      <c r="J250" s="4">
        <f>'Class Allocations'!I$144*Functional!$F250+'Class Allocations'!I$148*Functional!$G250+'Class Allocations'!I$152*Functional!$I250+'Class Allocations'!I$156*Functional!$H250+'Class Allocations'!I$160*Functional!$J250+'Class Allocations'!I$166*Functional!$K250+'Class Allocations'!I$172*Functional!$L250+'Class Allocations'!I$178*Functional!$M250+'Class Allocations'!I$184*Functional!$N250</f>
        <v>-16916.151582211354</v>
      </c>
      <c r="K250" s="4">
        <f>'Class Allocations'!J$144*Functional!$F250+'Class Allocations'!J$148*Functional!$G250+'Class Allocations'!J$152*Functional!$I250+'Class Allocations'!J$156*Functional!$H250+'Class Allocations'!J$160*Functional!$J250+'Class Allocations'!J$166*Functional!$K250+'Class Allocations'!J$172*Functional!$L250+'Class Allocations'!J$178*Functional!$M250+'Class Allocations'!J$184*Functional!$N250</f>
        <v>-16786.611135536608</v>
      </c>
      <c r="L250" s="4">
        <f>'Class Allocations'!K$144*Functional!$F250+'Class Allocations'!K$148*Functional!$G250+'Class Allocations'!K$152*Functional!$I250+'Class Allocations'!K$156*Functional!$H250+'Class Allocations'!K$160*Functional!$J250+'Class Allocations'!K$166*Functional!$K250+'Class Allocations'!K$172*Functional!$L250+'Class Allocations'!K$178*Functional!$M250+'Class Allocations'!K$184*Functional!$N250</f>
        <v>-175478.9527702709</v>
      </c>
      <c r="M250" s="4">
        <f>'Class Allocations'!L$144*Functional!$F250+'Class Allocations'!L$148*Functional!$G250+'Class Allocations'!L$152*Functional!$I250+'Class Allocations'!L$156*Functional!$H250+'Class Allocations'!L$160*Functional!$J250+'Class Allocations'!L$166*Functional!$K250+'Class Allocations'!L$172*Functional!$L250+'Class Allocations'!L$178*Functional!$M250+'Class Allocations'!L$184*Functional!$N250</f>
        <v>-24364.999105875446</v>
      </c>
      <c r="N250" s="4">
        <f>'Class Allocations'!M$144*Functional!$F250+'Class Allocations'!M$148*Functional!$G250+'Class Allocations'!M$152*Functional!$I250+'Class Allocations'!M$156*Functional!$H250+'Class Allocations'!M$160*Functional!$J250+'Class Allocations'!M$166*Functional!$K250+'Class Allocations'!M$172*Functional!$L250+'Class Allocations'!M$178*Functional!$M250+'Class Allocations'!M$184*Functional!$N250+Functional!$P250</f>
        <v>-14665.458730395851</v>
      </c>
      <c r="O250" s="4">
        <f>'Class Allocations'!N$144*Functional!$F250+'Class Allocations'!N$148*Functional!$G250+'Class Allocations'!N$152*Functional!$I250+'Class Allocations'!N$156*Functional!$H250+'Class Allocations'!N$160*Functional!$J250+'Class Allocations'!N$166*Functional!$K250+'Class Allocations'!N$172*Functional!$L250+'Class Allocations'!N$178*Functional!$M250+'Class Allocations'!N$184*Functional!$N250+Functional!$Q250</f>
        <v>-14527.96277287781</v>
      </c>
      <c r="P250" s="4">
        <f t="shared" si="93"/>
        <v>-416003.01049599185</v>
      </c>
      <c r="R250" s="124">
        <f t="shared" si="84"/>
        <v>0</v>
      </c>
      <c r="S250" s="124">
        <f t="shared" si="85"/>
        <v>0</v>
      </c>
    </row>
    <row r="251" spans="1:19">
      <c r="A251" s="117">
        <f>IF(ISBLANK(C251),"",MAX($A$155:$A250)+1)</f>
        <v>74</v>
      </c>
      <c r="B251" s="117">
        <v>923</v>
      </c>
      <c r="C251" s="169" t="s">
        <v>176</v>
      </c>
      <c r="E251" s="135">
        <f>Functional!$E251</f>
        <v>3019470.8495949991</v>
      </c>
      <c r="F251" s="135">
        <f>'Class Allocations'!E$144*Functional!$F251+'Class Allocations'!E$148*Functional!$G251+'Class Allocations'!E$152*Functional!$I251+'Class Allocations'!E$156*Functional!$H251+'Class Allocations'!E$160*Functional!$J251+'Class Allocations'!E$166*Functional!$K251+'Class Allocations'!E$172*Functional!$L251+'Class Allocations'!E$178*Functional!$M251+'Class Allocations'!E$184*Functional!$N251+Functional!$O251</f>
        <v>1951069.4350573409</v>
      </c>
      <c r="G251" s="135">
        <f>'Class Allocations'!F$144*Functional!$F251+'Class Allocations'!F$148*Functional!$G251+'Class Allocations'!F$152*Functional!$I251+'Class Allocations'!F$156*Functional!$H251+'Class Allocations'!F$160*Functional!$J251+'Class Allocations'!F$166*Functional!$K251+'Class Allocations'!F$172*Functional!$L251+'Class Allocations'!F$178*Functional!$M251+'Class Allocations'!F$184*Functional!$N251</f>
        <v>681738.47329201759</v>
      </c>
      <c r="H251" s="135">
        <f t="shared" si="92"/>
        <v>2632807.9083493585</v>
      </c>
      <c r="I251" s="4">
        <f>'Class Allocations'!H$144*Functional!$F251+'Class Allocations'!H$148*Functional!$G251+'Class Allocations'!H$152*Functional!$I251+'Class Allocations'!H$156*Functional!$H251+'Class Allocations'!H$160*Functional!$J251+'Class Allocations'!H$166*Functional!$K251+'Class Allocations'!H$172*Functional!$L251+'Class Allocations'!H$178*Functional!$M251+'Class Allocations'!H$184*Functional!$N251</f>
        <v>142453.47342115318</v>
      </c>
      <c r="J251" s="4">
        <f>'Class Allocations'!I$144*Functional!$F251+'Class Allocations'!I$148*Functional!$G251+'Class Allocations'!I$152*Functional!$I251+'Class Allocations'!I$156*Functional!$H251+'Class Allocations'!I$160*Functional!$J251+'Class Allocations'!I$166*Functional!$K251+'Class Allocations'!I$172*Functional!$L251+'Class Allocations'!I$178*Functional!$M251+'Class Allocations'!I$184*Functional!$N251</f>
        <v>15723.080747748489</v>
      </c>
      <c r="K251" s="4">
        <f>'Class Allocations'!J$144*Functional!$F251+'Class Allocations'!J$148*Functional!$G251+'Class Allocations'!J$152*Functional!$I251+'Class Allocations'!J$156*Functional!$H251+'Class Allocations'!J$160*Functional!$J251+'Class Allocations'!J$166*Functional!$K251+'Class Allocations'!J$172*Functional!$L251+'Class Allocations'!J$178*Functional!$M251+'Class Allocations'!J$184*Functional!$N251</f>
        <v>15602.676594754954</v>
      </c>
      <c r="L251" s="4">
        <f>'Class Allocations'!K$144*Functional!$F251+'Class Allocations'!K$148*Functional!$G251+'Class Allocations'!K$152*Functional!$I251+'Class Allocations'!K$156*Functional!$H251+'Class Allocations'!K$160*Functional!$J251+'Class Allocations'!K$166*Functional!$K251+'Class Allocations'!K$172*Functional!$L251+'Class Allocations'!K$178*Functional!$M251+'Class Allocations'!K$184*Functional!$N251</f>
        <v>163102.68505980336</v>
      </c>
      <c r="M251" s="4">
        <f>'Class Allocations'!L$144*Functional!$F251+'Class Allocations'!L$148*Functional!$G251+'Class Allocations'!L$152*Functional!$I251+'Class Allocations'!L$156*Functional!$H251+'Class Allocations'!L$160*Functional!$J251+'Class Allocations'!L$166*Functional!$K251+'Class Allocations'!L$172*Functional!$L251+'Class Allocations'!L$178*Functional!$M251+'Class Allocations'!L$184*Functional!$N251</f>
        <v>22646.572212284456</v>
      </c>
      <c r="N251" s="4">
        <f>'Class Allocations'!M$144*Functional!$F251+'Class Allocations'!M$148*Functional!$G251+'Class Allocations'!M$152*Functional!$I251+'Class Allocations'!M$156*Functional!$H251+'Class Allocations'!M$160*Functional!$J251+'Class Allocations'!M$166*Functional!$K251+'Class Allocations'!M$172*Functional!$L251+'Class Allocations'!M$178*Functional!$M251+'Class Allocations'!M$184*Functional!$N251+Functional!$P251</f>
        <v>13631.125891734515</v>
      </c>
      <c r="O251" s="4">
        <f>'Class Allocations'!N$144*Functional!$F251+'Class Allocations'!N$148*Functional!$G251+'Class Allocations'!N$152*Functional!$I251+'Class Allocations'!N$156*Functional!$H251+'Class Allocations'!N$160*Functional!$J251+'Class Allocations'!N$166*Functional!$K251+'Class Allocations'!N$172*Functional!$L251+'Class Allocations'!N$178*Functional!$M251+'Class Allocations'!N$184*Functional!$N251+Functional!$Q251</f>
        <v>13503.327318161879</v>
      </c>
      <c r="P251" s="4">
        <f t="shared" si="93"/>
        <v>386662.9412456408</v>
      </c>
      <c r="R251" s="124">
        <f t="shared" si="84"/>
        <v>0</v>
      </c>
      <c r="S251" s="124">
        <f t="shared" si="85"/>
        <v>0</v>
      </c>
    </row>
    <row r="252" spans="1:19">
      <c r="A252" s="117">
        <f>IF(ISBLANK(C252),"",MAX($A$155:$A251)+1)</f>
        <v>75</v>
      </c>
      <c r="B252" s="117">
        <v>924</v>
      </c>
      <c r="C252" s="169" t="s">
        <v>177</v>
      </c>
      <c r="E252" s="135">
        <f>Functional!$E252</f>
        <v>31815.740631999994</v>
      </c>
      <c r="F252" s="135">
        <f>'Class Allocations'!E$144*Functional!$F252+'Class Allocations'!E$148*Functional!$G252+'Class Allocations'!E$152*Functional!$I252+'Class Allocations'!E$156*Functional!$H252+'Class Allocations'!E$160*Functional!$J252+'Class Allocations'!E$166*Functional!$K252+'Class Allocations'!E$172*Functional!$L252+'Class Allocations'!E$178*Functional!$M252+'Class Allocations'!E$184*Functional!$N252+Functional!$O252</f>
        <v>19832.76762987121</v>
      </c>
      <c r="G252" s="135">
        <f>'Class Allocations'!F$144*Functional!$F252+'Class Allocations'!F$148*Functional!$G252+'Class Allocations'!F$152*Functional!$I252+'Class Allocations'!F$156*Functional!$H252+'Class Allocations'!F$160*Functional!$J252+'Class Allocations'!F$166*Functional!$K252+'Class Allocations'!F$172*Functional!$L252+'Class Allocations'!F$178*Functional!$M252+'Class Allocations'!F$184*Functional!$N252</f>
        <v>7657.8960314164433</v>
      </c>
      <c r="H252" s="135">
        <f t="shared" si="92"/>
        <v>27490.663661287654</v>
      </c>
      <c r="I252" s="4">
        <f>'Class Allocations'!H$144*Functional!$F252+'Class Allocations'!H$148*Functional!$G252+'Class Allocations'!H$152*Functional!$I252+'Class Allocations'!H$156*Functional!$H252+'Class Allocations'!H$160*Functional!$J252+'Class Allocations'!H$166*Functional!$K252+'Class Allocations'!H$172*Functional!$L252+'Class Allocations'!H$178*Functional!$M252+'Class Allocations'!H$184*Functional!$N252</f>
        <v>1562.0669122022084</v>
      </c>
      <c r="J252" s="4">
        <f>'Class Allocations'!I$144*Functional!$F252+'Class Allocations'!I$148*Functional!$G252+'Class Allocations'!I$152*Functional!$I252+'Class Allocations'!I$156*Functional!$H252+'Class Allocations'!I$160*Functional!$J252+'Class Allocations'!I$166*Functional!$K252+'Class Allocations'!I$172*Functional!$L252+'Class Allocations'!I$178*Functional!$M252+'Class Allocations'!I$184*Functional!$N252</f>
        <v>184.16742875477271</v>
      </c>
      <c r="K252" s="4">
        <f>'Class Allocations'!J$144*Functional!$F252+'Class Allocations'!J$148*Functional!$G252+'Class Allocations'!J$152*Functional!$I252+'Class Allocations'!J$156*Functional!$H252+'Class Allocations'!J$160*Functional!$J252+'Class Allocations'!J$166*Functional!$K252+'Class Allocations'!J$172*Functional!$L252+'Class Allocations'!J$178*Functional!$M252+'Class Allocations'!J$184*Functional!$N252</f>
        <v>164.03585146943828</v>
      </c>
      <c r="L252" s="4">
        <f>'Class Allocations'!K$144*Functional!$F252+'Class Allocations'!K$148*Functional!$G252+'Class Allocations'!K$152*Functional!$I252+'Class Allocations'!K$156*Functional!$H252+'Class Allocations'!K$160*Functional!$J252+'Class Allocations'!K$166*Functional!$K252+'Class Allocations'!K$172*Functional!$L252+'Class Allocations'!K$178*Functional!$M252+'Class Allocations'!K$184*Functional!$N252</f>
        <v>1926.2447616552124</v>
      </c>
      <c r="M252" s="4">
        <f>'Class Allocations'!L$144*Functional!$F252+'Class Allocations'!L$148*Functional!$G252+'Class Allocations'!L$152*Functional!$I252+'Class Allocations'!L$156*Functional!$H252+'Class Allocations'!L$160*Functional!$J252+'Class Allocations'!L$166*Functional!$K252+'Class Allocations'!L$172*Functional!$L252+'Class Allocations'!L$178*Functional!$M252+'Class Allocations'!L$184*Functional!$N252</f>
        <v>271.99455812424429</v>
      </c>
      <c r="N252" s="4">
        <f>'Class Allocations'!M$144*Functional!$F252+'Class Allocations'!M$148*Functional!$G252+'Class Allocations'!M$152*Functional!$I252+'Class Allocations'!M$156*Functional!$H252+'Class Allocations'!M$160*Functional!$J252+'Class Allocations'!M$166*Functional!$K252+'Class Allocations'!M$172*Functional!$L252+'Class Allocations'!M$178*Functional!$M252+'Class Allocations'!M$184*Functional!$N252+Functional!$P252</f>
        <v>95.433644919150311</v>
      </c>
      <c r="O252" s="4">
        <f>'Class Allocations'!N$144*Functional!$F252+'Class Allocations'!N$148*Functional!$G252+'Class Allocations'!N$152*Functional!$I252+'Class Allocations'!N$156*Functional!$H252+'Class Allocations'!N$160*Functional!$J252+'Class Allocations'!N$166*Functional!$K252+'Class Allocations'!N$172*Functional!$L252+'Class Allocations'!N$178*Functional!$M252+'Class Allocations'!N$184*Functional!$N252+Functional!$Q252</f>
        <v>121.13381358731955</v>
      </c>
      <c r="P252" s="4">
        <f t="shared" si="93"/>
        <v>4325.0769707123463</v>
      </c>
      <c r="R252" s="124">
        <f t="shared" si="84"/>
        <v>0</v>
      </c>
      <c r="S252" s="124">
        <f t="shared" si="85"/>
        <v>0</v>
      </c>
    </row>
    <row r="253" spans="1:19">
      <c r="A253" s="117">
        <f>IF(ISBLANK(C253),"",MAX($A$155:$A252)+1)</f>
        <v>76</v>
      </c>
      <c r="B253" s="117">
        <v>925</v>
      </c>
      <c r="C253" s="169" t="s">
        <v>178</v>
      </c>
      <c r="E253" s="135">
        <f>Functional!$E253</f>
        <v>1449686.3842979998</v>
      </c>
      <c r="F253" s="135">
        <f>'Class Allocations'!E$144*Functional!$F253+'Class Allocations'!E$148*Functional!$G253+'Class Allocations'!E$152*Functional!$I253+'Class Allocations'!E$156*Functional!$H253+'Class Allocations'!E$160*Functional!$J253+'Class Allocations'!E$166*Functional!$K253+'Class Allocations'!E$172*Functional!$L253+'Class Allocations'!E$178*Functional!$M253+'Class Allocations'!E$184*Functional!$N253+Functional!$O253</f>
        <v>936733.26742067933</v>
      </c>
      <c r="G253" s="135">
        <f>'Class Allocations'!F$144*Functional!$F253+'Class Allocations'!F$148*Functional!$G253+'Class Allocations'!F$152*Functional!$I253+'Class Allocations'!F$156*Functional!$H253+'Class Allocations'!F$160*Functional!$J253+'Class Allocations'!F$166*Functional!$K253+'Class Allocations'!F$172*Functional!$L253+'Class Allocations'!F$178*Functional!$M253+'Class Allocations'!F$184*Functional!$N253</f>
        <v>327311.31764895323</v>
      </c>
      <c r="H253" s="135">
        <f t="shared" si="92"/>
        <v>1264044.5850696326</v>
      </c>
      <c r="I253" s="4">
        <f>'Class Allocations'!H$144*Functional!$F253+'Class Allocations'!H$148*Functional!$G253+'Class Allocations'!H$152*Functional!$I253+'Class Allocations'!H$156*Functional!$H253+'Class Allocations'!H$160*Functional!$J253+'Class Allocations'!H$166*Functional!$K253+'Class Allocations'!H$172*Functional!$L253+'Class Allocations'!H$178*Functional!$M253+'Class Allocations'!H$184*Functional!$N253</f>
        <v>68393.72562325027</v>
      </c>
      <c r="J253" s="4">
        <f>'Class Allocations'!I$144*Functional!$F253+'Class Allocations'!I$148*Functional!$G253+'Class Allocations'!I$152*Functional!$I253+'Class Allocations'!I$156*Functional!$H253+'Class Allocations'!I$160*Functional!$J253+'Class Allocations'!I$166*Functional!$K253+'Class Allocations'!I$172*Functional!$L253+'Class Allocations'!I$178*Functional!$M253+'Class Allocations'!I$184*Functional!$N253</f>
        <v>7548.8511777771555</v>
      </c>
      <c r="K253" s="4">
        <f>'Class Allocations'!J$144*Functional!$F253+'Class Allocations'!J$148*Functional!$G253+'Class Allocations'!J$152*Functional!$I253+'Class Allocations'!J$156*Functional!$H253+'Class Allocations'!J$160*Functional!$J253+'Class Allocations'!J$166*Functional!$K253+'Class Allocations'!J$172*Functional!$L253+'Class Allocations'!J$178*Functional!$M253+'Class Allocations'!J$184*Functional!$N253</f>
        <v>7491.0436115173015</v>
      </c>
      <c r="L253" s="4">
        <f>'Class Allocations'!K$144*Functional!$F253+'Class Allocations'!K$148*Functional!$G253+'Class Allocations'!K$152*Functional!$I253+'Class Allocations'!K$156*Functional!$H253+'Class Allocations'!K$160*Functional!$J253+'Class Allocations'!K$166*Functional!$K253+'Class Allocations'!K$172*Functional!$L253+'Class Allocations'!K$178*Functional!$M253+'Class Allocations'!K$184*Functional!$N253</f>
        <v>78307.674937599237</v>
      </c>
      <c r="M253" s="4">
        <f>'Class Allocations'!L$144*Functional!$F253+'Class Allocations'!L$148*Functional!$G253+'Class Allocations'!L$152*Functional!$I253+'Class Allocations'!L$156*Functional!$H253+'Class Allocations'!L$160*Functional!$J253+'Class Allocations'!L$166*Functional!$K253+'Class Allocations'!L$172*Functional!$L253+'Class Allocations'!L$178*Functional!$M253+'Class Allocations'!L$184*Functional!$N253</f>
        <v>10872.907546556955</v>
      </c>
      <c r="N253" s="4">
        <f>'Class Allocations'!M$144*Functional!$F253+'Class Allocations'!M$148*Functional!$G253+'Class Allocations'!M$152*Functional!$I253+'Class Allocations'!M$156*Functional!$H253+'Class Allocations'!M$160*Functional!$J253+'Class Allocations'!M$166*Functional!$K253+'Class Allocations'!M$172*Functional!$L253+'Class Allocations'!M$178*Functional!$M253+'Class Allocations'!M$184*Functional!$N253+Functional!$P253</f>
        <v>6544.4770266783589</v>
      </c>
      <c r="O253" s="4">
        <f>'Class Allocations'!N$144*Functional!$F253+'Class Allocations'!N$148*Functional!$G253+'Class Allocations'!N$152*Functional!$I253+'Class Allocations'!N$156*Functional!$H253+'Class Allocations'!N$160*Functional!$J253+'Class Allocations'!N$166*Functional!$K253+'Class Allocations'!N$172*Functional!$L253+'Class Allocations'!N$178*Functional!$M253+'Class Allocations'!N$184*Functional!$N253+Functional!$Q253</f>
        <v>6483.1193049882122</v>
      </c>
      <c r="P253" s="4">
        <f t="shared" si="93"/>
        <v>185641.79922836751</v>
      </c>
      <c r="R253" s="124">
        <f t="shared" si="84"/>
        <v>0</v>
      </c>
      <c r="S253" s="124">
        <f t="shared" si="85"/>
        <v>-3.4924596548080444E-10</v>
      </c>
    </row>
    <row r="254" spans="1:19" s="155" customFormat="1">
      <c r="A254" s="117">
        <f>IF(ISBLANK(C254),"",MAX($A$155:$A253)+1)</f>
        <v>77</v>
      </c>
      <c r="B254" s="117">
        <v>926</v>
      </c>
      <c r="C254" s="169" t="s">
        <v>179</v>
      </c>
      <c r="D254" s="34"/>
      <c r="E254" s="135">
        <f>Functional!$E254</f>
        <v>11712168.159590755</v>
      </c>
      <c r="F254" s="135">
        <f>'Class Allocations'!E$144*Functional!$F254+'Class Allocations'!E$148*Functional!$G254+'Class Allocations'!E$152*Functional!$I254+'Class Allocations'!E$156*Functional!$H254+'Class Allocations'!E$160*Functional!$J254+'Class Allocations'!E$166*Functional!$K254+'Class Allocations'!E$172*Functional!$L254+'Class Allocations'!E$178*Functional!$M254+'Class Allocations'!E$184*Functional!$N254+Functional!$O254</f>
        <v>7567966.1943066427</v>
      </c>
      <c r="G254" s="135">
        <f>'Class Allocations'!F$144*Functional!$F254+'Class Allocations'!F$148*Functional!$G254+'Class Allocations'!F$152*Functional!$I254+'Class Allocations'!F$156*Functional!$H254+'Class Allocations'!F$160*Functional!$J254+'Class Allocations'!F$166*Functional!$K254+'Class Allocations'!F$172*Functional!$L254+'Class Allocations'!F$178*Functional!$M254+'Class Allocations'!F$184*Functional!$N254</f>
        <v>2644382.4225459099</v>
      </c>
      <c r="H254" s="135">
        <f t="shared" si="92"/>
        <v>10212348.616852552</v>
      </c>
      <c r="I254" s="4">
        <f>'Class Allocations'!H$144*Functional!$F254+'Class Allocations'!H$148*Functional!$G254+'Class Allocations'!H$152*Functional!$I254+'Class Allocations'!H$156*Functional!$H254+'Class Allocations'!H$160*Functional!$J254+'Class Allocations'!H$166*Functional!$K254+'Class Allocations'!H$172*Functional!$L254+'Class Allocations'!H$178*Functional!$M254+'Class Allocations'!H$184*Functional!$N254</f>
        <v>552560.07384543074</v>
      </c>
      <c r="J254" s="4">
        <f>'Class Allocations'!I$144*Functional!$F254+'Class Allocations'!I$148*Functional!$G254+'Class Allocations'!I$152*Functional!$I254+'Class Allocations'!I$156*Functional!$H254+'Class Allocations'!I$160*Functional!$J254+'Class Allocations'!I$166*Functional!$K254+'Class Allocations'!I$172*Functional!$L254+'Class Allocations'!I$178*Functional!$M254+'Class Allocations'!I$184*Functional!$N254</f>
        <v>60987.95943969932</v>
      </c>
      <c r="K254" s="4">
        <f>'Class Allocations'!J$144*Functional!$F254+'Class Allocations'!J$148*Functional!$G254+'Class Allocations'!J$152*Functional!$I254+'Class Allocations'!J$156*Functional!$H254+'Class Allocations'!J$160*Functional!$J254+'Class Allocations'!J$166*Functional!$K254+'Class Allocations'!J$172*Functional!$L254+'Class Allocations'!J$178*Functional!$M254+'Class Allocations'!J$184*Functional!$N254</f>
        <v>60520.926056296215</v>
      </c>
      <c r="L254" s="4">
        <f>'Class Allocations'!K$144*Functional!$F254+'Class Allocations'!K$148*Functional!$G254+'Class Allocations'!K$152*Functional!$I254+'Class Allocations'!K$156*Functional!$H254+'Class Allocations'!K$160*Functional!$J254+'Class Allocations'!K$166*Functional!$K254+'Class Allocations'!K$172*Functional!$L254+'Class Allocations'!K$178*Functional!$M254+'Class Allocations'!K$184*Functional!$N254</f>
        <v>632655.90888463589</v>
      </c>
      <c r="M254" s="4">
        <f>'Class Allocations'!L$144*Functional!$F254+'Class Allocations'!L$148*Functional!$G254+'Class Allocations'!L$152*Functional!$I254+'Class Allocations'!L$156*Functional!$H254+'Class Allocations'!L$160*Functional!$J254+'Class Allocations'!L$166*Functional!$K254+'Class Allocations'!L$172*Functional!$L254+'Class Allocations'!L$178*Functional!$M254+'Class Allocations'!L$184*Functional!$N254</f>
        <v>87843.35905218868</v>
      </c>
      <c r="N254" s="4">
        <f>'Class Allocations'!M$144*Functional!$F254+'Class Allocations'!M$148*Functional!$G254+'Class Allocations'!M$152*Functional!$I254+'Class Allocations'!M$156*Functional!$H254+'Class Allocations'!M$160*Functional!$J254+'Class Allocations'!M$166*Functional!$K254+'Class Allocations'!M$172*Functional!$L254+'Class Allocations'!M$178*Functional!$M254+'Class Allocations'!M$184*Functional!$N254+Functional!$P254</f>
        <v>52873.515460485381</v>
      </c>
      <c r="O254" s="4">
        <f>'Class Allocations'!N$144*Functional!$F254+'Class Allocations'!N$148*Functional!$G254+'Class Allocations'!N$152*Functional!$I254+'Class Allocations'!N$156*Functional!$H254+'Class Allocations'!N$160*Functional!$J254+'Class Allocations'!N$166*Functional!$K254+'Class Allocations'!N$172*Functional!$L254+'Class Allocations'!N$178*Functional!$M254+'Class Allocations'!N$184*Functional!$N254+Functional!$Q254</f>
        <v>52377.799999466995</v>
      </c>
      <c r="P254" s="4">
        <f t="shared" si="93"/>
        <v>1499819.5427382032</v>
      </c>
      <c r="Q254" s="34"/>
      <c r="R254" s="124">
        <f t="shared" si="84"/>
        <v>0</v>
      </c>
      <c r="S254" s="124">
        <f t="shared" si="85"/>
        <v>0</v>
      </c>
    </row>
    <row r="255" spans="1:19">
      <c r="A255" s="117">
        <f>IF(ISBLANK(C255),"",MAX($A$155:$A254)+1)</f>
        <v>78</v>
      </c>
      <c r="B255" s="117">
        <v>929</v>
      </c>
      <c r="C255" s="169" t="s">
        <v>546</v>
      </c>
      <c r="E255" s="135">
        <f>Functional!$E255</f>
        <v>-1267.5361799999996</v>
      </c>
      <c r="F255" s="135">
        <f>'Class Allocations'!E$144*Functional!$F255+'Class Allocations'!E$148*Functional!$G255+'Class Allocations'!E$152*Functional!$I255+'Class Allocations'!E$156*Functional!$H255+'Class Allocations'!E$160*Functional!$J255+'Class Allocations'!E$166*Functional!$K255+'Class Allocations'!E$172*Functional!$L255+'Class Allocations'!E$178*Functional!$M255+'Class Allocations'!E$184*Functional!$N255+Functional!$O255</f>
        <v>-819.03459970777635</v>
      </c>
      <c r="G255" s="135">
        <f>'Class Allocations'!F$144*Functional!$F255+'Class Allocations'!F$148*Functional!$G255+'Class Allocations'!F$152*Functional!$I255+'Class Allocations'!F$156*Functional!$H255+'Class Allocations'!F$160*Functional!$J255+'Class Allocations'!F$166*Functional!$K255+'Class Allocations'!F$172*Functional!$L255+'Class Allocations'!F$178*Functional!$M255+'Class Allocations'!F$184*Functional!$N255</f>
        <v>-286.18530306775472</v>
      </c>
      <c r="H255" s="135">
        <f t="shared" si="92"/>
        <v>-1105.219902775531</v>
      </c>
      <c r="I255" s="4">
        <f>'Class Allocations'!H$144*Functional!$F255+'Class Allocations'!H$148*Functional!$G255+'Class Allocations'!H$152*Functional!$I255+'Class Allocations'!H$156*Functional!$H255+'Class Allocations'!H$160*Functional!$J255+'Class Allocations'!H$166*Functional!$K255+'Class Allocations'!H$172*Functional!$L255+'Class Allocations'!H$178*Functional!$M255+'Class Allocations'!H$184*Functional!$N255</f>
        <v>-59.800190338714181</v>
      </c>
      <c r="J255" s="4">
        <f>'Class Allocations'!I$144*Functional!$F255+'Class Allocations'!I$148*Functional!$G255+'Class Allocations'!I$152*Functional!$I255+'Class Allocations'!I$156*Functional!$H255+'Class Allocations'!I$160*Functional!$J255+'Class Allocations'!I$166*Functional!$K255+'Class Allocations'!I$172*Functional!$L255+'Class Allocations'!I$178*Functional!$M255+'Class Allocations'!I$184*Functional!$N255</f>
        <v>-6.6003530756078685</v>
      </c>
      <c r="K255" s="4">
        <f>'Class Allocations'!J$144*Functional!$F255+'Class Allocations'!J$148*Functional!$G255+'Class Allocations'!J$152*Functional!$I255+'Class Allocations'!J$156*Functional!$H255+'Class Allocations'!J$160*Functional!$J255+'Class Allocations'!J$166*Functional!$K255+'Class Allocations'!J$172*Functional!$L255+'Class Allocations'!J$178*Functional!$M255+'Class Allocations'!J$184*Functional!$N255</f>
        <v>-6.5498089148116039</v>
      </c>
      <c r="L255" s="4">
        <f>'Class Allocations'!K$144*Functional!$F255+'Class Allocations'!K$148*Functional!$G255+'Class Allocations'!K$152*Functional!$I255+'Class Allocations'!K$156*Functional!$H255+'Class Allocations'!K$160*Functional!$J255+'Class Allocations'!K$166*Functional!$K255+'Class Allocations'!K$172*Functional!$L255+'Class Allocations'!K$178*Functional!$M255+'Class Allocations'!K$184*Functional!$N255</f>
        <v>-68.468471684757603</v>
      </c>
      <c r="M255" s="4">
        <f>'Class Allocations'!L$144*Functional!$F255+'Class Allocations'!L$148*Functional!$G255+'Class Allocations'!L$152*Functional!$I255+'Class Allocations'!L$156*Functional!$H255+'Class Allocations'!L$160*Functional!$J255+'Class Allocations'!L$166*Functional!$K255+'Class Allocations'!L$172*Functional!$L255+'Class Allocations'!L$178*Functional!$M255+'Class Allocations'!L$184*Functional!$N255</f>
        <v>-9.5067483880175274</v>
      </c>
      <c r="N255" s="4">
        <f>'Class Allocations'!M$144*Functional!$F255+'Class Allocations'!M$148*Functional!$G255+'Class Allocations'!M$152*Functional!$I255+'Class Allocations'!M$156*Functional!$H255+'Class Allocations'!M$160*Functional!$J255+'Class Allocations'!M$166*Functional!$K255+'Class Allocations'!M$172*Functional!$L255+'Class Allocations'!M$178*Functional!$M255+'Class Allocations'!M$184*Functional!$N255+Functional!$P255</f>
        <v>-5.7221765344168638</v>
      </c>
      <c r="O255" s="4">
        <f>'Class Allocations'!N$144*Functional!$F255+'Class Allocations'!N$148*Functional!$G255+'Class Allocations'!N$152*Functional!$I255+'Class Allocations'!N$156*Functional!$H255+'Class Allocations'!N$160*Functional!$J255+'Class Allocations'!N$166*Functional!$K255+'Class Allocations'!N$172*Functional!$L255+'Class Allocations'!N$178*Functional!$M255+'Class Allocations'!N$184*Functional!$N255+Functional!$Q255</f>
        <v>-5.6685282881430377</v>
      </c>
      <c r="P255" s="4">
        <f t="shared" si="93"/>
        <v>-162.31627722446868</v>
      </c>
      <c r="R255" s="124">
        <f t="shared" si="84"/>
        <v>0</v>
      </c>
      <c r="S255" s="124">
        <f t="shared" si="85"/>
        <v>0</v>
      </c>
    </row>
    <row r="256" spans="1:19">
      <c r="A256" s="117">
        <f>IF(ISBLANK(C256),"",MAX($A$155:$A255)+1)</f>
        <v>79</v>
      </c>
      <c r="B256" s="117">
        <v>930.1</v>
      </c>
      <c r="C256" s="169" t="s">
        <v>582</v>
      </c>
      <c r="E256" s="135">
        <f>Functional!$E256</f>
        <v>-3895.8865290000103</v>
      </c>
      <c r="F256" s="135">
        <f>'Class Allocations'!E$144*Functional!$F256+'Class Allocations'!E$148*Functional!$G256+'Class Allocations'!E$152*Functional!$I256+'Class Allocations'!E$156*Functional!$H256+'Class Allocations'!E$160*Functional!$J256+'Class Allocations'!E$166*Functional!$K256+'Class Allocations'!E$172*Functional!$L256+'Class Allocations'!E$178*Functional!$M256+'Class Allocations'!E$184*Functional!$N256+Functional!$O256</f>
        <v>-2517.3765562939925</v>
      </c>
      <c r="G256" s="135">
        <f>'Class Allocations'!F$144*Functional!$F256+'Class Allocations'!F$148*Functional!$G256+'Class Allocations'!F$152*Functional!$I256+'Class Allocations'!F$156*Functional!$H256+'Class Allocations'!F$160*Functional!$J256+'Class Allocations'!F$166*Functional!$K256+'Class Allocations'!F$172*Functional!$L256+'Class Allocations'!F$178*Functional!$M256+'Class Allocations'!F$184*Functional!$N256</f>
        <v>-879.61628599780977</v>
      </c>
      <c r="H256" s="135">
        <f t="shared" si="92"/>
        <v>-3396.9928422918024</v>
      </c>
      <c r="I256" s="4">
        <f>'Class Allocations'!H$144*Functional!$F256+'Class Allocations'!H$148*Functional!$G256+'Class Allocations'!H$152*Functional!$I256+'Class Allocations'!H$156*Functional!$H256+'Class Allocations'!H$160*Functional!$J256+'Class Allocations'!H$166*Functional!$K256+'Class Allocations'!H$172*Functional!$L256+'Class Allocations'!H$178*Functional!$M256+'Class Allocations'!H$184*Functional!$N256</f>
        <v>-183.80126709458753</v>
      </c>
      <c r="J256" s="4">
        <f>'Class Allocations'!I$144*Functional!$F256+'Class Allocations'!I$148*Functional!$G256+'Class Allocations'!I$152*Functional!$I256+'Class Allocations'!I$156*Functional!$H256+'Class Allocations'!I$160*Functional!$J256+'Class Allocations'!I$166*Functional!$K256+'Class Allocations'!I$172*Functional!$L256+'Class Allocations'!I$178*Functional!$M256+'Class Allocations'!I$184*Functional!$N256</f>
        <v>-20.286779217540353</v>
      </c>
      <c r="K256" s="4">
        <f>'Class Allocations'!J$144*Functional!$F256+'Class Allocations'!J$148*Functional!$G256+'Class Allocations'!J$152*Functional!$I256+'Class Allocations'!J$156*Functional!$H256+'Class Allocations'!J$160*Functional!$J256+'Class Allocations'!J$166*Functional!$K256+'Class Allocations'!J$172*Functional!$L256+'Class Allocations'!J$178*Functional!$M256+'Class Allocations'!J$184*Functional!$N256</f>
        <v>-20.131427190298201</v>
      </c>
      <c r="L256" s="4">
        <f>'Class Allocations'!K$144*Functional!$F256+'Class Allocations'!K$148*Functional!$G256+'Class Allocations'!K$152*Functional!$I256+'Class Allocations'!K$156*Functional!$H256+'Class Allocations'!K$160*Functional!$J256+'Class Allocations'!K$166*Functional!$K256+'Class Allocations'!K$172*Functional!$L256+'Class Allocations'!K$178*Functional!$M256+'Class Allocations'!K$184*Functional!$N256</f>
        <v>-210.44400996732563</v>
      </c>
      <c r="M256" s="4">
        <f>'Class Allocations'!L$144*Functional!$F256+'Class Allocations'!L$148*Functional!$G256+'Class Allocations'!L$152*Functional!$I256+'Class Allocations'!L$156*Functional!$H256+'Class Allocations'!L$160*Functional!$J256+'Class Allocations'!L$166*Functional!$K256+'Class Allocations'!L$172*Functional!$L256+'Class Allocations'!L$178*Functional!$M256+'Class Allocations'!L$184*Functional!$N256</f>
        <v>-29.219846789280659</v>
      </c>
      <c r="N256" s="4">
        <f>'Class Allocations'!M$144*Functional!$F256+'Class Allocations'!M$148*Functional!$G256+'Class Allocations'!M$152*Functional!$I256+'Class Allocations'!M$156*Functional!$H256+'Class Allocations'!M$160*Functional!$J256+'Class Allocations'!M$166*Functional!$K256+'Class Allocations'!M$172*Functional!$L256+'Class Allocations'!M$178*Functional!$M256+'Class Allocations'!M$184*Functional!$N256+Functional!$P256</f>
        <v>-17.587624581252292</v>
      </c>
      <c r="O256" s="4">
        <f>'Class Allocations'!N$144*Functional!$F256+'Class Allocations'!N$148*Functional!$G256+'Class Allocations'!N$152*Functional!$I256+'Class Allocations'!N$156*Functional!$H256+'Class Allocations'!N$160*Functional!$J256+'Class Allocations'!N$166*Functional!$K256+'Class Allocations'!N$172*Functional!$L256+'Class Allocations'!N$178*Functional!$M256+'Class Allocations'!N$184*Functional!$N256+Functional!$Q256</f>
        <v>-17.422731867923453</v>
      </c>
      <c r="P256" s="4">
        <f t="shared" si="93"/>
        <v>-498.89368670820812</v>
      </c>
      <c r="R256" s="124">
        <f t="shared" si="84"/>
        <v>0</v>
      </c>
      <c r="S256" s="124"/>
    </row>
    <row r="257" spans="1:19">
      <c r="A257" s="117">
        <f>IF(ISBLANK(C257),"",MAX($A$155:$A256)+1)</f>
        <v>80</v>
      </c>
      <c r="B257" s="117">
        <v>930.2</v>
      </c>
      <c r="C257" s="169" t="s">
        <v>583</v>
      </c>
      <c r="E257" s="135">
        <f>Functional!$E257</f>
        <v>1449059.2693973777</v>
      </c>
      <c r="F257" s="135">
        <f>'Class Allocations'!E$144*Functional!$F257+'Class Allocations'!E$148*Functional!$G257+'Class Allocations'!E$152*Functional!$I257+'Class Allocations'!E$156*Functional!$H257+'Class Allocations'!E$160*Functional!$J257+'Class Allocations'!E$166*Functional!$K257+'Class Allocations'!E$172*Functional!$L257+'Class Allocations'!E$178*Functional!$M257+'Class Allocations'!E$184*Functional!$N257+Functional!$O257</f>
        <v>936328.04916363361</v>
      </c>
      <c r="G257" s="135">
        <f>'Class Allocations'!F$144*Functional!$F257+'Class Allocations'!F$148*Functional!$G257+'Class Allocations'!F$152*Functional!$I257+'Class Allocations'!F$156*Functional!$H257+'Class Allocations'!F$160*Functional!$J257+'Class Allocations'!F$166*Functional!$K257+'Class Allocations'!F$172*Functional!$L257+'Class Allocations'!F$178*Functional!$M257+'Class Allocations'!F$184*Functional!$N257</f>
        <v>327169.72715968388</v>
      </c>
      <c r="H257" s="135">
        <f t="shared" si="92"/>
        <v>1263497.7763233176</v>
      </c>
      <c r="I257" s="4">
        <f>'Class Allocations'!H$144*Functional!$F257+'Class Allocations'!H$148*Functional!$G257+'Class Allocations'!H$152*Functional!$I257+'Class Allocations'!H$156*Functional!$H257+'Class Allocations'!H$160*Functional!$J257+'Class Allocations'!H$166*Functional!$K257+'Class Allocations'!H$172*Functional!$L257+'Class Allocations'!H$178*Functional!$M257+'Class Allocations'!H$184*Functional!$N257</f>
        <v>68364.139414183286</v>
      </c>
      <c r="J257" s="4">
        <f>'Class Allocations'!I$144*Functional!$F257+'Class Allocations'!I$148*Functional!$G257+'Class Allocations'!I$152*Functional!$I257+'Class Allocations'!I$156*Functional!$H257+'Class Allocations'!I$160*Functional!$J257+'Class Allocations'!I$166*Functional!$K257+'Class Allocations'!I$172*Functional!$L257+'Class Allocations'!I$178*Functional!$M257+'Class Allocations'!I$184*Functional!$N257</f>
        <v>7545.5856459301058</v>
      </c>
      <c r="K257" s="4">
        <f>'Class Allocations'!J$144*Functional!$F257+'Class Allocations'!J$148*Functional!$G257+'Class Allocations'!J$152*Functional!$I257+'Class Allocations'!J$156*Functional!$H257+'Class Allocations'!J$160*Functional!$J257+'Class Allocations'!J$166*Functional!$K257+'Class Allocations'!J$172*Functional!$L257+'Class Allocations'!J$178*Functional!$M257+'Class Allocations'!J$184*Functional!$N257</f>
        <v>7487.8030864486545</v>
      </c>
      <c r="L257" s="4">
        <f>'Class Allocations'!K$144*Functional!$F257+'Class Allocations'!K$148*Functional!$G257+'Class Allocations'!K$152*Functional!$I257+'Class Allocations'!K$156*Functional!$H257+'Class Allocations'!K$160*Functional!$J257+'Class Allocations'!K$166*Functional!$K257+'Class Allocations'!K$172*Functional!$L257+'Class Allocations'!K$178*Functional!$M257+'Class Allocations'!K$184*Functional!$N257</f>
        <v>78273.800086929215</v>
      </c>
      <c r="M257" s="4">
        <f>'Class Allocations'!L$144*Functional!$F257+'Class Allocations'!L$148*Functional!$G257+'Class Allocations'!L$152*Functional!$I257+'Class Allocations'!L$156*Functional!$H257+'Class Allocations'!L$160*Functional!$J257+'Class Allocations'!L$166*Functional!$K257+'Class Allocations'!L$172*Functional!$L257+'Class Allocations'!L$178*Functional!$M257+'Class Allocations'!L$184*Functional!$N257</f>
        <v>10868.204072474984</v>
      </c>
      <c r="N257" s="4">
        <f>'Class Allocations'!M$144*Functional!$F257+'Class Allocations'!M$148*Functional!$G257+'Class Allocations'!M$152*Functional!$I257+'Class Allocations'!M$156*Functional!$H257+'Class Allocations'!M$160*Functional!$J257+'Class Allocations'!M$166*Functional!$K257+'Class Allocations'!M$172*Functional!$L257+'Class Allocations'!M$178*Functional!$M257+'Class Allocations'!M$184*Functional!$N257+Functional!$P257</f>
        <v>6541.6459736280849</v>
      </c>
      <c r="O257" s="4">
        <f>'Class Allocations'!N$144*Functional!$F257+'Class Allocations'!N$148*Functional!$G257+'Class Allocations'!N$152*Functional!$I257+'Class Allocations'!N$156*Functional!$H257+'Class Allocations'!N$160*Functional!$J257+'Class Allocations'!N$166*Functional!$K257+'Class Allocations'!N$172*Functional!$L257+'Class Allocations'!N$178*Functional!$M257+'Class Allocations'!N$184*Functional!$N257+Functional!$Q257</f>
        <v>6480.3147944660031</v>
      </c>
      <c r="P257" s="4">
        <f t="shared" si="93"/>
        <v>185561.49307406036</v>
      </c>
      <c r="R257" s="124">
        <f t="shared" si="84"/>
        <v>0</v>
      </c>
      <c r="S257" s="124"/>
    </row>
    <row r="258" spans="1:19">
      <c r="A258" s="117">
        <f>IF(ISBLANK(C258),"",MAX($A$155:$A257)+1)</f>
        <v>81</v>
      </c>
      <c r="B258" s="117">
        <v>931</v>
      </c>
      <c r="C258" s="169" t="s">
        <v>156</v>
      </c>
      <c r="E258" s="135">
        <f>Functional!$E258</f>
        <v>3097703.9937409996</v>
      </c>
      <c r="F258" s="135">
        <f>'Class Allocations'!E$144*Functional!$F258+'Class Allocations'!E$148*Functional!$G258+'Class Allocations'!E$152*Functional!$I258+'Class Allocations'!E$156*Functional!$H258+'Class Allocations'!E$160*Functional!$J258+'Class Allocations'!E$166*Functional!$K258+'Class Allocations'!E$172*Functional!$L258+'Class Allocations'!E$178*Functional!$M258+'Class Allocations'!E$184*Functional!$N258+Functional!$O258</f>
        <v>2001620.7746644677</v>
      </c>
      <c r="G258" s="135">
        <f>'Class Allocations'!F$144*Functional!$F258+'Class Allocations'!F$148*Functional!$G258+'Class Allocations'!F$152*Functional!$I258+'Class Allocations'!F$156*Functional!$H258+'Class Allocations'!F$160*Functional!$J258+'Class Allocations'!F$166*Functional!$K258+'Class Allocations'!F$172*Functional!$L258+'Class Allocations'!F$178*Functional!$M258+'Class Allocations'!F$184*Functional!$N258</f>
        <v>699402.01333185018</v>
      </c>
      <c r="H258" s="135">
        <f t="shared" si="92"/>
        <v>2701022.7879963177</v>
      </c>
      <c r="I258" s="4">
        <f>'Class Allocations'!H$144*Functional!$F258+'Class Allocations'!H$148*Functional!$G258+'Class Allocations'!H$152*Functional!$I258+'Class Allocations'!H$156*Functional!$H258+'Class Allocations'!H$160*Functional!$J258+'Class Allocations'!H$166*Functional!$K258+'Class Allocations'!H$172*Functional!$L258+'Class Allocations'!H$178*Functional!$M258+'Class Allocations'!H$184*Functional!$N258</f>
        <v>146144.37943594391</v>
      </c>
      <c r="J258" s="4">
        <f>'Class Allocations'!I$144*Functional!$F258+'Class Allocations'!I$148*Functional!$G258+'Class Allocations'!I$152*Functional!$I258+'Class Allocations'!I$156*Functional!$H258+'Class Allocations'!I$160*Functional!$J258+'Class Allocations'!I$166*Functional!$K258+'Class Allocations'!I$172*Functional!$L258+'Class Allocations'!I$178*Functional!$M258+'Class Allocations'!I$184*Functional!$N258</f>
        <v>16130.458763245077</v>
      </c>
      <c r="K258" s="4">
        <f>'Class Allocations'!J$144*Functional!$F258+'Class Allocations'!J$148*Functional!$G258+'Class Allocations'!J$152*Functional!$I258+'Class Allocations'!J$156*Functional!$H258+'Class Allocations'!J$160*Functional!$J258+'Class Allocations'!J$166*Functional!$K258+'Class Allocations'!J$172*Functional!$L258+'Class Allocations'!J$178*Functional!$M258+'Class Allocations'!J$184*Functional!$N258</f>
        <v>16006.934992303188</v>
      </c>
      <c r="L258" s="4">
        <f>'Class Allocations'!K$144*Functional!$F258+'Class Allocations'!K$148*Functional!$G258+'Class Allocations'!K$152*Functional!$I258+'Class Allocations'!K$156*Functional!$H258+'Class Allocations'!K$160*Functional!$J258+'Class Allocations'!K$166*Functional!$K258+'Class Allocations'!K$172*Functional!$L258+'Class Allocations'!K$178*Functional!$M258+'Class Allocations'!K$184*Functional!$N258</f>
        <v>167328.60294624191</v>
      </c>
      <c r="M258" s="4">
        <f>'Class Allocations'!L$144*Functional!$F258+'Class Allocations'!L$148*Functional!$G258+'Class Allocations'!L$152*Functional!$I258+'Class Allocations'!L$156*Functional!$H258+'Class Allocations'!L$160*Functional!$J258+'Class Allocations'!L$166*Functional!$K258+'Class Allocations'!L$172*Functional!$L258+'Class Allocations'!L$178*Functional!$M258+'Class Allocations'!L$184*Functional!$N258</f>
        <v>23233.334806311188</v>
      </c>
      <c r="N258" s="4">
        <f>'Class Allocations'!M$144*Functional!$F258+'Class Allocations'!M$148*Functional!$G258+'Class Allocations'!M$152*Functional!$I258+'Class Allocations'!M$156*Functional!$H258+'Class Allocations'!M$160*Functional!$J258+'Class Allocations'!M$166*Functional!$K258+'Class Allocations'!M$172*Functional!$L258+'Class Allocations'!M$178*Functional!$M258+'Class Allocations'!M$184*Functional!$N258+Functional!$P258</f>
        <v>13984.302289149771</v>
      </c>
      <c r="O258" s="4">
        <f>'Class Allocations'!N$144*Functional!$F258+'Class Allocations'!N$148*Functional!$G258+'Class Allocations'!N$152*Functional!$I258+'Class Allocations'!N$156*Functional!$H258+'Class Allocations'!N$160*Functional!$J258+'Class Allocations'!N$166*Functional!$K258+'Class Allocations'!N$172*Functional!$L258+'Class Allocations'!N$178*Functional!$M258+'Class Allocations'!N$184*Functional!$N258+Functional!$Q258</f>
        <v>13853.192511486754</v>
      </c>
      <c r="P258" s="4">
        <f t="shared" si="93"/>
        <v>396681.20574468182</v>
      </c>
      <c r="R258" s="124">
        <f t="shared" si="84"/>
        <v>0</v>
      </c>
      <c r="S258" s="124"/>
    </row>
    <row r="259" spans="1:19">
      <c r="A259" s="117">
        <f>IF(ISBLANK(C259),"",MAX($A$155:$A258)+1)</f>
        <v>82</v>
      </c>
      <c r="B259" s="117">
        <v>932</v>
      </c>
      <c r="C259" s="169" t="s">
        <v>180</v>
      </c>
      <c r="E259" s="298">
        <f>Functional!$E259</f>
        <v>1706136.4170074337</v>
      </c>
      <c r="F259" s="298">
        <f>'Class Allocations'!E$144*Functional!$F259+'Class Allocations'!E$148*Functional!$G259+'Class Allocations'!E$152*Functional!$I259+'Class Allocations'!E$156*Functional!$H259+'Class Allocations'!E$160*Functional!$J259+'Class Allocations'!E$166*Functional!$K259+'Class Allocations'!E$172*Functional!$L259+'Class Allocations'!E$178*Functional!$M259+'Class Allocations'!E$184*Functional!$N259+Functional!$O259</f>
        <v>1127580.3132354193</v>
      </c>
      <c r="G259" s="298">
        <f>'Class Allocations'!F$144*Functional!$F259+'Class Allocations'!F$148*Functional!$G259+'Class Allocations'!F$152*Functional!$I259+'Class Allocations'!F$156*Functional!$H259+'Class Allocations'!F$160*Functional!$J259+'Class Allocations'!F$166*Functional!$K259+'Class Allocations'!F$172*Functional!$L259+'Class Allocations'!F$178*Functional!$M259+'Class Allocations'!F$184*Functional!$N259</f>
        <v>372852.71980435925</v>
      </c>
      <c r="H259" s="298">
        <f t="shared" si="92"/>
        <v>1500433.0330397785</v>
      </c>
      <c r="I259" s="5">
        <f>'Class Allocations'!H$144*Functional!$F259+'Class Allocations'!H$148*Functional!$G259+'Class Allocations'!H$152*Functional!$I259+'Class Allocations'!H$156*Functional!$H259+'Class Allocations'!H$160*Functional!$J259+'Class Allocations'!H$166*Functional!$K259+'Class Allocations'!H$172*Functional!$L259+'Class Allocations'!H$178*Functional!$M259+'Class Allocations'!H$184*Functional!$N259</f>
        <v>79520.458056347328</v>
      </c>
      <c r="J259" s="5">
        <f>'Class Allocations'!I$144*Functional!$F259+'Class Allocations'!I$148*Functional!$G259+'Class Allocations'!I$152*Functional!$I259+'Class Allocations'!I$156*Functional!$H259+'Class Allocations'!I$160*Functional!$J259+'Class Allocations'!I$166*Functional!$K259+'Class Allocations'!I$172*Functional!$L259+'Class Allocations'!I$178*Functional!$M259+'Class Allocations'!I$184*Functional!$N259</f>
        <v>8118.8881326265118</v>
      </c>
      <c r="K259" s="5">
        <f>'Class Allocations'!J$144*Functional!$F259+'Class Allocations'!J$148*Functional!$G259+'Class Allocations'!J$152*Functional!$I259+'Class Allocations'!J$156*Functional!$H259+'Class Allocations'!J$160*Functional!$J259+'Class Allocations'!J$166*Functional!$K259+'Class Allocations'!J$172*Functional!$L259+'Class Allocations'!J$178*Functional!$M259+'Class Allocations'!J$184*Functional!$N259</f>
        <v>8573.7792649884941</v>
      </c>
      <c r="L259" s="5">
        <f>'Class Allocations'!K$144*Functional!$F259+'Class Allocations'!K$148*Functional!$G259+'Class Allocations'!K$152*Functional!$I259+'Class Allocations'!K$156*Functional!$H259+'Class Allocations'!K$160*Functional!$J259+'Class Allocations'!K$166*Functional!$K259+'Class Allocations'!K$172*Functional!$L259+'Class Allocations'!K$178*Functional!$M259+'Class Allocations'!K$184*Functional!$N259</f>
        <v>83835.489086690475</v>
      </c>
      <c r="M259" s="5">
        <f>'Class Allocations'!L$144*Functional!$F259+'Class Allocations'!L$148*Functional!$G259+'Class Allocations'!L$152*Functional!$I259+'Class Allocations'!L$156*Functional!$H259+'Class Allocations'!L$160*Functional!$J259+'Class Allocations'!L$166*Functional!$K259+'Class Allocations'!L$172*Functional!$L259+'Class Allocations'!L$178*Functional!$M259+'Class Allocations'!L$184*Functional!$N259</f>
        <v>11641.616418767873</v>
      </c>
      <c r="N259" s="5">
        <f>'Class Allocations'!M$144*Functional!$F259+'Class Allocations'!M$148*Functional!$G259+'Class Allocations'!M$152*Functional!$I259+'Class Allocations'!M$156*Functional!$H259+'Class Allocations'!M$160*Functional!$J259+'Class Allocations'!M$166*Functional!$K259+'Class Allocations'!M$172*Functional!$L259+'Class Allocations'!M$178*Functional!$M259+'Class Allocations'!M$184*Functional!$N259+Functional!$P259</f>
        <v>7106.6156670962373</v>
      </c>
      <c r="O259" s="5">
        <f>'Class Allocations'!N$144*Functional!$F259+'Class Allocations'!N$148*Functional!$G259+'Class Allocations'!N$152*Functional!$I259+'Class Allocations'!N$156*Functional!$H259+'Class Allocations'!N$160*Functional!$J259+'Class Allocations'!N$166*Functional!$K259+'Class Allocations'!N$172*Functional!$L259+'Class Allocations'!N$178*Functional!$M259+'Class Allocations'!N$184*Functional!$N259+Functional!$Q259</f>
        <v>6906.5373411383343</v>
      </c>
      <c r="P259" s="5">
        <f t="shared" si="93"/>
        <v>205703.38396765525</v>
      </c>
      <c r="R259" s="124">
        <f t="shared" si="84"/>
        <v>0</v>
      </c>
      <c r="S259" s="124">
        <f t="shared" si="85"/>
        <v>0</v>
      </c>
    </row>
    <row r="260" spans="1:19">
      <c r="A260" s="117">
        <f>IF(ISBLANK(C260),"",MAX($A$155:$A259)+1)</f>
        <v>83</v>
      </c>
      <c r="C260" s="140" t="str">
        <f>Functional!$C260</f>
        <v>Total A &amp; G Expenses</v>
      </c>
      <c r="E260" s="298">
        <f t="shared" ref="E260:P260" si="94">SUM(E248:E259)</f>
        <v>35931800.450047344</v>
      </c>
      <c r="F260" s="298">
        <f t="shared" si="94"/>
        <v>23242202.397759389</v>
      </c>
      <c r="G260" s="298">
        <f t="shared" si="94"/>
        <v>8100824.2376651652</v>
      </c>
      <c r="H260" s="298">
        <f t="shared" si="94"/>
        <v>31343026.635424554</v>
      </c>
      <c r="I260" s="5">
        <f t="shared" si="94"/>
        <v>1694289.8389397454</v>
      </c>
      <c r="J260" s="5">
        <f t="shared" si="94"/>
        <v>186358.30582150683</v>
      </c>
      <c r="K260" s="5">
        <f t="shared" si="94"/>
        <v>185429.55450122958</v>
      </c>
      <c r="L260" s="5">
        <f t="shared" si="94"/>
        <v>1932810.0237059407</v>
      </c>
      <c r="M260" s="5">
        <f t="shared" si="94"/>
        <v>268373.59788942739</v>
      </c>
      <c r="N260" s="5">
        <f t="shared" si="94"/>
        <v>161567.06027385383</v>
      </c>
      <c r="O260" s="5">
        <f t="shared" si="94"/>
        <v>159945.43349109215</v>
      </c>
      <c r="P260" s="5">
        <f t="shared" si="94"/>
        <v>4588773.8146227952</v>
      </c>
      <c r="R260" s="124">
        <f t="shared" si="84"/>
        <v>0</v>
      </c>
      <c r="S260" s="124">
        <f t="shared" si="85"/>
        <v>0</v>
      </c>
    </row>
    <row r="261" spans="1:19">
      <c r="A261" s="117"/>
      <c r="C261" s="140"/>
      <c r="E261" s="135"/>
      <c r="F261" s="135"/>
      <c r="G261" s="135"/>
      <c r="H261" s="135"/>
      <c r="I261" s="4"/>
      <c r="J261" s="4"/>
      <c r="K261" s="4"/>
      <c r="L261" s="4"/>
      <c r="M261" s="4"/>
      <c r="N261" s="4"/>
      <c r="O261" s="4"/>
      <c r="P261" s="4"/>
      <c r="R261" s="124"/>
      <c r="S261" s="124">
        <f t="shared" si="85"/>
        <v>0</v>
      </c>
    </row>
    <row r="262" spans="1:19">
      <c r="A262" s="117">
        <f>IF(ISBLANK(C262),"",MAX($A$155:$A260)+1)</f>
        <v>84</v>
      </c>
      <c r="C262" s="140" t="str">
        <f>Functional!$C262</f>
        <v xml:space="preserve">Total Operation &amp; Maintenance </v>
      </c>
      <c r="E262" s="298">
        <f t="shared" ref="E262:P262" si="95">SUM(E179,E209,E230,E237,E244,E260)</f>
        <v>73261868.646502465</v>
      </c>
      <c r="F262" s="298">
        <f t="shared" si="95"/>
        <v>47462817.512859724</v>
      </c>
      <c r="G262" s="298">
        <f t="shared" si="95"/>
        <v>16480588.993398957</v>
      </c>
      <c r="H262" s="298">
        <f t="shared" si="95"/>
        <v>63943406.506258681</v>
      </c>
      <c r="I262" s="298">
        <f t="shared" si="95"/>
        <v>3451666.5073099826</v>
      </c>
      <c r="J262" s="298">
        <f t="shared" si="95"/>
        <v>377715.92069602216</v>
      </c>
      <c r="K262" s="298">
        <f t="shared" si="95"/>
        <v>377358.97261508123</v>
      </c>
      <c r="L262" s="298">
        <f t="shared" si="95"/>
        <v>3916333.6016758019</v>
      </c>
      <c r="M262" s="298">
        <f t="shared" si="95"/>
        <v>543784.80935927038</v>
      </c>
      <c r="N262" s="298">
        <f t="shared" si="95"/>
        <v>327629.15889442753</v>
      </c>
      <c r="O262" s="298">
        <f t="shared" si="95"/>
        <v>323973.16969320027</v>
      </c>
      <c r="P262" s="298">
        <f t="shared" si="95"/>
        <v>9318462.1402437873</v>
      </c>
      <c r="R262" s="124">
        <f t="shared" si="84"/>
        <v>0</v>
      </c>
      <c r="S262" s="124">
        <f t="shared" si="85"/>
        <v>0</v>
      </c>
    </row>
    <row r="263" spans="1:19">
      <c r="A263" s="117" t="str">
        <f>IF(ISBLANK(C263),"",MAX($A$155:$A262)+1)</f>
        <v/>
      </c>
      <c r="C263" s="140"/>
      <c r="E263" s="491"/>
      <c r="F263" s="491"/>
      <c r="G263" s="135"/>
      <c r="H263" s="135"/>
      <c r="I263" s="4"/>
      <c r="J263" s="4"/>
      <c r="K263" s="4"/>
      <c r="L263" s="4"/>
      <c r="M263" s="4"/>
      <c r="N263" s="4"/>
      <c r="O263" s="4"/>
      <c r="P263" s="4"/>
      <c r="R263" s="124"/>
      <c r="S263" s="124"/>
    </row>
    <row r="264" spans="1:19">
      <c r="A264" s="117">
        <f>IF(ISBLANK(C264),"",MAX($A$155:$A263)+1)</f>
        <v>85</v>
      </c>
      <c r="C264" s="140" t="str">
        <f>Functional!$C264</f>
        <v>Supervised O &amp; M before General</v>
      </c>
      <c r="E264" s="211">
        <f t="shared" ref="E264:P264" si="96">SUM(E179,E209,E230,E237,E244)-E193-E228</f>
        <v>36628766.03368254</v>
      </c>
      <c r="F264" s="135">
        <f t="shared" si="96"/>
        <v>23668142.337512594</v>
      </c>
      <c r="G264" s="135">
        <f t="shared" si="96"/>
        <v>8270071.2403706852</v>
      </c>
      <c r="H264" s="135">
        <f t="shared" si="96"/>
        <v>31938213.577883273</v>
      </c>
      <c r="I264" s="135">
        <f t="shared" si="96"/>
        <v>1728082.5709341452</v>
      </c>
      <c r="J264" s="135">
        <f t="shared" si="96"/>
        <v>190734.42822447699</v>
      </c>
      <c r="K264" s="135">
        <f t="shared" si="96"/>
        <v>189273.82278426361</v>
      </c>
      <c r="L264" s="135">
        <f t="shared" si="96"/>
        <v>1978575.1835697542</v>
      </c>
      <c r="M264" s="135">
        <f t="shared" si="96"/>
        <v>274722.30610867677</v>
      </c>
      <c r="N264" s="135">
        <f t="shared" si="96"/>
        <v>165357.22513465755</v>
      </c>
      <c r="O264" s="135">
        <f t="shared" si="96"/>
        <v>163806.91904329104</v>
      </c>
      <c r="P264" s="135">
        <f t="shared" si="96"/>
        <v>4690552.4557992667</v>
      </c>
      <c r="R264" s="124">
        <f t="shared" si="84"/>
        <v>0</v>
      </c>
      <c r="S264" s="124">
        <f t="shared" si="85"/>
        <v>0</v>
      </c>
    </row>
    <row r="265" spans="1:19">
      <c r="A265" s="117" t="str">
        <f>IF(ISBLANK(C265),"",MAX($A$156:$A264)+1)</f>
        <v/>
      </c>
      <c r="E265" s="135"/>
      <c r="F265" s="135"/>
      <c r="G265" s="135"/>
      <c r="H265" s="135"/>
      <c r="I265" s="4"/>
      <c r="J265" s="4"/>
      <c r="K265" s="4"/>
      <c r="L265" s="4"/>
      <c r="M265" s="4"/>
      <c r="N265" s="4"/>
      <c r="O265" s="4"/>
      <c r="P265" s="4"/>
      <c r="R265" s="124"/>
      <c r="S265" s="124"/>
    </row>
    <row r="266" spans="1:19">
      <c r="A266" s="113" t="str">
        <f>$A$1</f>
        <v>Black Hills Nebraska Gas, LLC</v>
      </c>
      <c r="B266" s="114"/>
      <c r="C266" s="115"/>
      <c r="D266" s="115"/>
      <c r="E266" s="143"/>
      <c r="F266" s="143"/>
      <c r="G266" s="143"/>
      <c r="H266" s="143"/>
      <c r="I266" s="302"/>
      <c r="J266" s="302"/>
      <c r="K266" s="302"/>
      <c r="L266" s="302"/>
      <c r="M266" s="302"/>
      <c r="N266" s="302"/>
      <c r="O266" s="302"/>
      <c r="P266" s="302"/>
      <c r="R266" s="124"/>
      <c r="S266" s="124"/>
    </row>
    <row r="267" spans="1:19">
      <c r="A267" s="113" t="str">
        <f>$A$2</f>
        <v>RATE BASE AND COST OF SERVICE BY CUSTOMER CLASS</v>
      </c>
      <c r="B267" s="114"/>
      <c r="C267" s="115"/>
      <c r="D267" s="115"/>
      <c r="E267" s="143"/>
      <c r="F267" s="143"/>
      <c r="G267" s="143"/>
      <c r="H267" s="143"/>
      <c r="I267" s="302"/>
      <c r="J267" s="302"/>
      <c r="K267" s="302"/>
      <c r="L267" s="302"/>
      <c r="M267" s="302"/>
      <c r="N267" s="302"/>
      <c r="O267" s="302"/>
      <c r="P267" s="302"/>
      <c r="R267" s="124"/>
      <c r="S267" s="124"/>
    </row>
    <row r="268" spans="1:19">
      <c r="A268" s="113" t="str">
        <f>$A$3</f>
        <v>FOR THE PRO FORMA PERIOD ENDED DECEMBER 31, 2020</v>
      </c>
      <c r="B268" s="114"/>
      <c r="C268" s="115"/>
      <c r="D268" s="115"/>
      <c r="E268" s="143"/>
      <c r="F268" s="143"/>
      <c r="G268" s="143"/>
      <c r="H268" s="143"/>
      <c r="I268" s="302"/>
      <c r="J268" s="302"/>
      <c r="K268" s="302"/>
      <c r="L268" s="302"/>
      <c r="M268" s="302"/>
      <c r="N268" s="302"/>
      <c r="O268" s="302"/>
      <c r="P268" s="302"/>
      <c r="R268" s="124"/>
      <c r="S268" s="124"/>
    </row>
    <row r="269" spans="1:19">
      <c r="E269" s="135"/>
      <c r="F269" s="135"/>
      <c r="G269" s="135"/>
      <c r="H269" s="135"/>
      <c r="I269" s="4"/>
      <c r="J269" s="4"/>
      <c r="K269" s="4"/>
      <c r="L269" s="4"/>
      <c r="M269" s="4"/>
      <c r="N269" s="4"/>
      <c r="O269" s="4"/>
      <c r="P269" s="4"/>
      <c r="R269" s="124"/>
      <c r="S269" s="124"/>
    </row>
    <row r="270" spans="1:19">
      <c r="E270" s="135"/>
      <c r="F270" s="135"/>
      <c r="G270" s="135"/>
      <c r="H270" s="135"/>
      <c r="I270" s="4"/>
      <c r="J270" s="4"/>
      <c r="K270" s="4"/>
      <c r="L270" s="4"/>
      <c r="M270" s="4"/>
      <c r="N270" s="4"/>
      <c r="O270" s="4"/>
      <c r="P270" s="4"/>
      <c r="R270" s="124"/>
      <c r="S270" s="124"/>
    </row>
    <row r="271" spans="1:19">
      <c r="A271" s="117"/>
      <c r="B271" s="117" t="s">
        <v>0</v>
      </c>
      <c r="C271" s="115" t="s">
        <v>1</v>
      </c>
      <c r="D271" s="115"/>
      <c r="E271" s="117" t="s">
        <v>2</v>
      </c>
      <c r="F271" s="117" t="s">
        <v>3</v>
      </c>
      <c r="G271" s="117" t="s">
        <v>4</v>
      </c>
      <c r="H271" s="117" t="s">
        <v>26</v>
      </c>
      <c r="I271" s="148" t="s">
        <v>61</v>
      </c>
      <c r="J271" s="148" t="s">
        <v>62</v>
      </c>
      <c r="K271" s="148" t="s">
        <v>63</v>
      </c>
      <c r="L271" s="148" t="s">
        <v>64</v>
      </c>
      <c r="M271" s="148" t="s">
        <v>79</v>
      </c>
      <c r="N271" s="148" t="s">
        <v>80</v>
      </c>
      <c r="O271" s="148" t="s">
        <v>195</v>
      </c>
      <c r="P271" s="148" t="s">
        <v>196</v>
      </c>
      <c r="Q271" s="117"/>
      <c r="R271" s="124"/>
      <c r="S271" s="124"/>
    </row>
    <row r="272" spans="1:19">
      <c r="R272" s="124"/>
      <c r="S272" s="124"/>
    </row>
    <row r="273" spans="1:19">
      <c r="A273" s="118"/>
      <c r="B273" s="119"/>
      <c r="C273" s="119"/>
      <c r="D273" s="120"/>
      <c r="E273" s="118"/>
      <c r="F273" s="118"/>
      <c r="G273" s="118"/>
      <c r="H273" s="118"/>
      <c r="I273" s="218" t="s">
        <v>197</v>
      </c>
      <c r="J273" s="219"/>
      <c r="K273" s="219"/>
      <c r="L273" s="219"/>
      <c r="M273" s="219"/>
      <c r="N273" s="219"/>
      <c r="O273" s="219"/>
      <c r="P273" s="296"/>
      <c r="Q273" s="117"/>
      <c r="R273" s="124"/>
      <c r="S273" s="124"/>
    </row>
    <row r="274" spans="1:19">
      <c r="A274" s="125" t="s">
        <v>6</v>
      </c>
      <c r="B274" s="126" t="s">
        <v>87</v>
      </c>
      <c r="C274" s="126"/>
      <c r="D274" s="117"/>
      <c r="E274" s="125" t="s">
        <v>20</v>
      </c>
      <c r="F274" s="125" t="s">
        <v>22</v>
      </c>
      <c r="G274" s="125" t="s">
        <v>24</v>
      </c>
      <c r="H274" s="125" t="s">
        <v>20</v>
      </c>
      <c r="I274" s="205"/>
      <c r="J274" s="205"/>
      <c r="K274" s="205" t="s">
        <v>76</v>
      </c>
      <c r="L274" s="205" t="s">
        <v>418</v>
      </c>
      <c r="M274" s="205" t="s">
        <v>418</v>
      </c>
      <c r="N274" s="205" t="s">
        <v>418</v>
      </c>
      <c r="O274" s="220" t="s">
        <v>418</v>
      </c>
      <c r="P274" s="205" t="s">
        <v>20</v>
      </c>
      <c r="Q274" s="117"/>
      <c r="R274" s="124"/>
      <c r="S274" s="124"/>
    </row>
    <row r="275" spans="1:19">
      <c r="A275" s="130" t="s">
        <v>88</v>
      </c>
      <c r="B275" s="131" t="s">
        <v>88</v>
      </c>
      <c r="C275" s="127" t="s">
        <v>8</v>
      </c>
      <c r="D275" s="129"/>
      <c r="E275" s="130" t="s">
        <v>219</v>
      </c>
      <c r="F275" s="130" t="s">
        <v>23</v>
      </c>
      <c r="G275" s="130" t="s">
        <v>23</v>
      </c>
      <c r="H275" s="130" t="s">
        <v>21</v>
      </c>
      <c r="I275" s="208" t="s">
        <v>416</v>
      </c>
      <c r="J275" s="208" t="s">
        <v>436</v>
      </c>
      <c r="K275" s="208" t="s">
        <v>417</v>
      </c>
      <c r="L275" s="208" t="s">
        <v>45</v>
      </c>
      <c r="M275" s="208" t="s">
        <v>42</v>
      </c>
      <c r="N275" s="208" t="s">
        <v>47</v>
      </c>
      <c r="O275" s="221" t="s">
        <v>41</v>
      </c>
      <c r="P275" s="208" t="s">
        <v>77</v>
      </c>
      <c r="Q275" s="117"/>
      <c r="R275" s="124"/>
      <c r="S275" s="124"/>
    </row>
    <row r="276" spans="1:19">
      <c r="A276" s="117"/>
      <c r="B276" s="117"/>
      <c r="C276" s="117"/>
      <c r="D276" s="117"/>
      <c r="E276" s="117" t="s">
        <v>27</v>
      </c>
      <c r="F276" s="117" t="s">
        <v>27</v>
      </c>
      <c r="G276" s="117" t="s">
        <v>27</v>
      </c>
      <c r="H276" s="117" t="s">
        <v>27</v>
      </c>
      <c r="I276" s="148" t="s">
        <v>27</v>
      </c>
      <c r="J276" s="148" t="s">
        <v>27</v>
      </c>
      <c r="K276" s="148" t="s">
        <v>27</v>
      </c>
      <c r="L276" s="148" t="s">
        <v>27</v>
      </c>
      <c r="M276" s="148" t="s">
        <v>27</v>
      </c>
      <c r="N276" s="148" t="s">
        <v>27</v>
      </c>
      <c r="O276" s="148" t="s">
        <v>27</v>
      </c>
      <c r="P276" s="148" t="s">
        <v>27</v>
      </c>
      <c r="Q276" s="117"/>
      <c r="R276" s="124"/>
      <c r="S276" s="124"/>
    </row>
    <row r="277" spans="1:19">
      <c r="A277" s="117" t="str">
        <f>IF(ISBLANK(C277),"",MAX($A$276:$A276)+1)</f>
        <v/>
      </c>
      <c r="E277" s="135"/>
      <c r="F277" s="135"/>
      <c r="G277" s="135"/>
      <c r="H277" s="135"/>
      <c r="I277" s="4"/>
      <c r="J277" s="4"/>
      <c r="K277" s="4"/>
      <c r="L277" s="4"/>
      <c r="M277" s="4"/>
      <c r="N277" s="4"/>
      <c r="O277" s="4"/>
      <c r="P277" s="4"/>
      <c r="R277" s="124"/>
      <c r="S277" s="124"/>
    </row>
    <row r="278" spans="1:19">
      <c r="A278" s="117">
        <f>IF(ISBLANK(#REF!),"",MAX($A$276:$A277)+1)</f>
        <v>1</v>
      </c>
      <c r="C278" s="134" t="str">
        <f>Functional!$C278</f>
        <v>Depreciation Expense</v>
      </c>
      <c r="E278" s="135"/>
      <c r="F278" s="135"/>
      <c r="G278" s="135"/>
      <c r="H278" s="135"/>
      <c r="I278" s="4"/>
      <c r="J278" s="4"/>
      <c r="K278" s="4"/>
      <c r="L278" s="4"/>
      <c r="M278" s="4"/>
      <c r="N278" s="4"/>
      <c r="O278" s="4"/>
      <c r="P278" s="4"/>
      <c r="R278" s="124"/>
      <c r="S278" s="124"/>
    </row>
    <row r="279" spans="1:19">
      <c r="A279" s="117">
        <f>IF(ISBLANK(C279),"",MAX($A$276:$A278)+1)</f>
        <v>2</v>
      </c>
      <c r="C279" s="140" t="s">
        <v>104</v>
      </c>
      <c r="E279" s="135">
        <f>Functional!$E279</f>
        <v>75057</v>
      </c>
      <c r="F279" s="135">
        <f>'Class Allocations'!E$144*Functional!$F279+'Class Allocations'!E$148*Functional!$G279+'Class Allocations'!E$152*Functional!$I279+'Class Allocations'!E$156*Functional!$H279+'Class Allocations'!E$160*Functional!$J279+'Class Allocations'!E$166*Functional!$K279+'Class Allocations'!E$172*Functional!$L279+'Class Allocations'!E$178*Functional!$M279+'Class Allocations'!E$184*Functional!$N279+Functional!$O279</f>
        <v>48499.033731933858</v>
      </c>
      <c r="G279" s="135">
        <f>'Class Allocations'!F$144*Functional!$F279+'Class Allocations'!F$148*Functional!$G279+'Class Allocations'!F$152*Functional!$I279+'Class Allocations'!F$156*Functional!$H279+'Class Allocations'!F$160*Functional!$J279+'Class Allocations'!F$166*Functional!$K279+'Class Allocations'!F$172*Functional!$L279+'Class Allocations'!F$178*Functional!$M279+'Class Allocations'!F$184*Functional!$N279</f>
        <v>16946.427748008326</v>
      </c>
      <c r="H279" s="135">
        <f t="shared" ref="H279:H284" si="97">SUM(F279:G279)</f>
        <v>65445.461479942183</v>
      </c>
      <c r="I279" s="4">
        <f>'Class Allocations'!H$144*Functional!$F279+'Class Allocations'!H$148*Functional!$G279+'Class Allocations'!H$152*Functional!$I279+'Class Allocations'!H$156*Functional!$H279+'Class Allocations'!H$160*Functional!$J279+'Class Allocations'!H$166*Functional!$K279+'Class Allocations'!H$172*Functional!$L279+'Class Allocations'!H$178*Functional!$M279+'Class Allocations'!H$184*Functional!$N279</f>
        <v>3541.060963051068</v>
      </c>
      <c r="J279" s="4">
        <f>'Class Allocations'!I$144*Functional!$F279+'Class Allocations'!I$148*Functional!$G279+'Class Allocations'!I$152*Functional!$I279+'Class Allocations'!I$156*Functional!$H279+'Class Allocations'!I$160*Functional!$J279+'Class Allocations'!I$166*Functional!$K279+'Class Allocations'!I$172*Functional!$L279+'Class Allocations'!I$178*Functional!$M279+'Class Allocations'!I$184*Functional!$N279</f>
        <v>390.83910077888271</v>
      </c>
      <c r="K279" s="4">
        <f>'Class Allocations'!J$144*Functional!$F279+'Class Allocations'!J$148*Functional!$G279+'Class Allocations'!J$152*Functional!$I279+'Class Allocations'!J$156*Functional!$H279+'Class Allocations'!J$160*Functional!$J279+'Class Allocations'!J$166*Functional!$K279+'Class Allocations'!J$172*Functional!$L279+'Class Allocations'!J$178*Functional!$M279+'Class Allocations'!J$184*Functional!$N279</f>
        <v>387.84613447405872</v>
      </c>
      <c r="L279" s="4">
        <f>'Class Allocations'!K$144*Functional!$F279+'Class Allocations'!K$148*Functional!$G279+'Class Allocations'!K$152*Functional!$I279+'Class Allocations'!K$156*Functional!$H279+'Class Allocations'!K$160*Functional!$J279+'Class Allocations'!K$166*Functional!$K279+'Class Allocations'!K$172*Functional!$L279+'Class Allocations'!K$178*Functional!$M279+'Class Allocations'!K$184*Functional!$N279</f>
        <v>4054.3521836535297</v>
      </c>
      <c r="M279" s="4">
        <f>'Class Allocations'!L$144*Functional!$F279+'Class Allocations'!L$148*Functional!$G279+'Class Allocations'!L$152*Functional!$I279+'Class Allocations'!L$156*Functional!$H279+'Class Allocations'!L$160*Functional!$J279+'Class Allocations'!L$166*Functional!$K279+'Class Allocations'!L$172*Functional!$L279+'Class Allocations'!L$178*Functional!$M279+'Class Allocations'!L$184*Functional!$N279</f>
        <v>562.94094402846315</v>
      </c>
      <c r="N279" s="4">
        <f>'Class Allocations'!M$144*Functional!$F279+'Class Allocations'!M$148*Functional!$G279+'Class Allocations'!M$152*Functional!$I279+'Class Allocations'!M$156*Functional!$H279+'Class Allocations'!M$160*Functional!$J279+'Class Allocations'!M$166*Functional!$K279+'Class Allocations'!M$172*Functional!$L279+'Class Allocations'!M$178*Functional!$M279+'Class Allocations'!M$184*Functional!$N279+Functional!$P279</f>
        <v>338.83798420943435</v>
      </c>
      <c r="O279" s="4">
        <f>'Class Allocations'!N$144*Functional!$F279+'Class Allocations'!N$148*Functional!$G279+'Class Allocations'!N$152*Functional!$I279+'Class Allocations'!N$156*Functional!$H279+'Class Allocations'!N$160*Functional!$J279+'Class Allocations'!N$166*Functional!$K279+'Class Allocations'!N$172*Functional!$L279+'Class Allocations'!N$178*Functional!$M279+'Class Allocations'!N$184*Functional!$N279+Functional!$Q279</f>
        <v>335.66120986239002</v>
      </c>
      <c r="P279" s="4">
        <f t="shared" ref="P279:P284" si="98">SUM(I279:O279)</f>
        <v>9611.5385200578276</v>
      </c>
      <c r="R279" s="124">
        <f t="shared" ref="R279:R293" si="99">SUM(F279:G279,I279:O279)-E279</f>
        <v>0</v>
      </c>
      <c r="S279" s="124">
        <f t="shared" ref="S279:S293" si="100">E279-H279-P279</f>
        <v>0</v>
      </c>
    </row>
    <row r="280" spans="1:19">
      <c r="A280" s="117">
        <f>IF(ISBLANK(C280),"",MAX($A$276:$A279)+1)</f>
        <v>3</v>
      </c>
      <c r="C280" s="140" t="s">
        <v>42</v>
      </c>
      <c r="E280" s="135">
        <f>Functional!$E280</f>
        <v>40586</v>
      </c>
      <c r="F280" s="135">
        <f>'Class Allocations'!E$144*Functional!$F280+'Class Allocations'!E$148*Functional!$G280+'Class Allocations'!E$152*Functional!$I280+'Class Allocations'!E$156*Functional!$H280+'Class Allocations'!E$160*Functional!$J280+'Class Allocations'!E$166*Functional!$K280+'Class Allocations'!E$172*Functional!$L280+'Class Allocations'!E$178*Functional!$M280+'Class Allocations'!E$184*Functional!$N280+Functional!$O280</f>
        <v>13368.866682486645</v>
      </c>
      <c r="G280" s="135">
        <f>'Class Allocations'!F$144*Functional!$F280+'Class Allocations'!F$148*Functional!$G280+'Class Allocations'!F$152*Functional!$I280+'Class Allocations'!F$156*Functional!$H280+'Class Allocations'!F$160*Functional!$J280+'Class Allocations'!F$166*Functional!$K280+'Class Allocations'!F$172*Functional!$L280+'Class Allocations'!F$178*Functional!$M280+'Class Allocations'!F$184*Functional!$N280</f>
        <v>9233.190667371704</v>
      </c>
      <c r="H280" s="135">
        <f t="shared" si="97"/>
        <v>22602.057349858347</v>
      </c>
      <c r="I280" s="4">
        <f>'Class Allocations'!H$144*Functional!$F280+'Class Allocations'!H$148*Functional!$G280+'Class Allocations'!H$152*Functional!$I280+'Class Allocations'!H$156*Functional!$H280+'Class Allocations'!H$160*Functional!$J280+'Class Allocations'!H$166*Functional!$K280+'Class Allocations'!H$172*Functional!$L280+'Class Allocations'!H$178*Functional!$M280+'Class Allocations'!H$184*Functional!$N280</f>
        <v>1694.7335140095249</v>
      </c>
      <c r="J280" s="4">
        <f>'Class Allocations'!I$144*Functional!$F280+'Class Allocations'!I$148*Functional!$G280+'Class Allocations'!I$152*Functional!$I280+'Class Allocations'!I$156*Functional!$H280+'Class Allocations'!I$160*Functional!$J280+'Class Allocations'!I$166*Functional!$K280+'Class Allocations'!I$172*Functional!$L280+'Class Allocations'!I$178*Functional!$M280+'Class Allocations'!I$184*Functional!$N280</f>
        <v>553.51270179456765</v>
      </c>
      <c r="K280" s="4">
        <f>'Class Allocations'!J$144*Functional!$F280+'Class Allocations'!J$148*Functional!$G280+'Class Allocations'!J$152*Functional!$I280+'Class Allocations'!J$156*Functional!$H280+'Class Allocations'!J$160*Functional!$J280+'Class Allocations'!J$166*Functional!$K280+'Class Allocations'!J$172*Functional!$L280+'Class Allocations'!J$178*Functional!$M280+'Class Allocations'!J$184*Functional!$N280</f>
        <v>378.92480242520821</v>
      </c>
      <c r="L280" s="4">
        <f>'Class Allocations'!K$144*Functional!$F280+'Class Allocations'!K$148*Functional!$G280+'Class Allocations'!K$152*Functional!$I280+'Class Allocations'!K$156*Functional!$H280+'Class Allocations'!K$160*Functional!$J280+'Class Allocations'!K$166*Functional!$K280+'Class Allocations'!K$172*Functional!$L280+'Class Allocations'!K$178*Functional!$M280+'Class Allocations'!K$184*Functional!$N280</f>
        <v>5929.6973129865346</v>
      </c>
      <c r="M280" s="4">
        <f>'Class Allocations'!L$144*Functional!$F280+'Class Allocations'!L$148*Functional!$G280+'Class Allocations'!L$152*Functional!$I280+'Class Allocations'!L$156*Functional!$H280+'Class Allocations'!L$160*Functional!$J280+'Class Allocations'!L$166*Functional!$K280+'Class Allocations'!L$172*Functional!$L280+'Class Allocations'!L$178*Functional!$M280+'Class Allocations'!L$184*Functional!$N280</f>
        <v>3765.1401482951669</v>
      </c>
      <c r="N280" s="4">
        <f>'Class Allocations'!M$144*Functional!$F280+'Class Allocations'!M$148*Functional!$G280+'Class Allocations'!M$152*Functional!$I280+'Class Allocations'!M$156*Functional!$H280+'Class Allocations'!M$160*Functional!$J280+'Class Allocations'!M$166*Functional!$K280+'Class Allocations'!M$172*Functional!$L280+'Class Allocations'!M$178*Functional!$M280+'Class Allocations'!M$184*Functional!$N280+Functional!$P280</f>
        <v>5661.934170630645</v>
      </c>
      <c r="O280" s="4">
        <f>'Class Allocations'!N$144*Functional!$F280+'Class Allocations'!N$148*Functional!$G280+'Class Allocations'!N$152*Functional!$I280+'Class Allocations'!N$156*Functional!$H280+'Class Allocations'!N$160*Functional!$J280+'Class Allocations'!N$166*Functional!$K280+'Class Allocations'!N$172*Functional!$L280+'Class Allocations'!N$178*Functional!$M280+'Class Allocations'!N$184*Functional!$N280+Functional!$Q280</f>
        <v>0</v>
      </c>
      <c r="P280" s="4">
        <f t="shared" si="98"/>
        <v>17983.942650141646</v>
      </c>
      <c r="R280" s="124">
        <f t="shared" si="99"/>
        <v>0</v>
      </c>
      <c r="S280" s="124">
        <f t="shared" si="100"/>
        <v>0</v>
      </c>
    </row>
    <row r="281" spans="1:19">
      <c r="A281" s="117">
        <f>IF(ISBLANK(C281),"",MAX($A$276:$A280)+1)</f>
        <v>4</v>
      </c>
      <c r="C281" s="140" t="s">
        <v>45</v>
      </c>
      <c r="E281" s="135">
        <f>Functional!$E281</f>
        <v>16164555</v>
      </c>
      <c r="F281" s="135">
        <f>'Class Allocations'!E$144*Functional!$F281+'Class Allocations'!E$148*Functional!$G281+'Class Allocations'!E$152*Functional!$I281+'Class Allocations'!E$156*Functional!$H281+'Class Allocations'!E$160*Functional!$J281+'Class Allocations'!E$166*Functional!$K281+'Class Allocations'!E$172*Functional!$L281+'Class Allocations'!E$178*Functional!$M281+'Class Allocations'!E$184*Functional!$N281+Functional!$O281</f>
        <v>9957715.1507669576</v>
      </c>
      <c r="G281" s="135">
        <f>'Class Allocations'!F$144*Functional!$F281+'Class Allocations'!F$148*Functional!$G281+'Class Allocations'!F$152*Functional!$I281+'Class Allocations'!F$156*Functional!$H281+'Class Allocations'!F$160*Functional!$J281+'Class Allocations'!F$166*Functional!$K281+'Class Allocations'!F$172*Functional!$L281+'Class Allocations'!F$178*Functional!$M281+'Class Allocations'!F$184*Functional!$N281</f>
        <v>3971072.9913197937</v>
      </c>
      <c r="H281" s="135">
        <f t="shared" si="97"/>
        <v>13928788.142086752</v>
      </c>
      <c r="I281" s="4">
        <f>'Class Allocations'!H$144*Functional!$F281+'Class Allocations'!H$148*Functional!$G281+'Class Allocations'!H$152*Functional!$I281+'Class Allocations'!H$156*Functional!$H281+'Class Allocations'!H$160*Functional!$J281+'Class Allocations'!H$166*Functional!$K281+'Class Allocations'!H$172*Functional!$L281+'Class Allocations'!H$178*Functional!$M281+'Class Allocations'!H$184*Functional!$N281</f>
        <v>802946.40420504077</v>
      </c>
      <c r="J281" s="4">
        <f>'Class Allocations'!I$144*Functional!$F281+'Class Allocations'!I$148*Functional!$G281+'Class Allocations'!I$152*Functional!$I281+'Class Allocations'!I$156*Functional!$H281+'Class Allocations'!I$160*Functional!$J281+'Class Allocations'!I$166*Functional!$K281+'Class Allocations'!I$172*Functional!$L281+'Class Allocations'!I$178*Functional!$M281+'Class Allocations'!I$184*Functional!$N281</f>
        <v>96846.271595379585</v>
      </c>
      <c r="K281" s="4">
        <f>'Class Allocations'!J$144*Functional!$F281+'Class Allocations'!J$148*Functional!$G281+'Class Allocations'!J$152*Functional!$I281+'Class Allocations'!J$156*Functional!$H281+'Class Allocations'!J$160*Functional!$J281+'Class Allocations'!J$166*Functional!$K281+'Class Allocations'!J$172*Functional!$L281+'Class Allocations'!J$178*Functional!$M281+'Class Allocations'!J$184*Functional!$N281</f>
        <v>83592.240933240362</v>
      </c>
      <c r="L281" s="4">
        <f>'Class Allocations'!K$144*Functional!$F281+'Class Allocations'!K$148*Functional!$G281+'Class Allocations'!K$152*Functional!$I281+'Class Allocations'!K$156*Functional!$H281+'Class Allocations'!K$160*Functional!$J281+'Class Allocations'!K$166*Functional!$K281+'Class Allocations'!K$172*Functional!$L281+'Class Allocations'!K$178*Functional!$M281+'Class Allocations'!K$184*Functional!$N281</f>
        <v>1015013.3785125798</v>
      </c>
      <c r="M281" s="4">
        <f>'Class Allocations'!L$144*Functional!$F281+'Class Allocations'!L$148*Functional!$G281+'Class Allocations'!L$152*Functional!$I281+'Class Allocations'!L$156*Functional!$H281+'Class Allocations'!L$160*Functional!$J281+'Class Allocations'!L$166*Functional!$K281+'Class Allocations'!L$172*Functional!$L281+'Class Allocations'!L$178*Functional!$M281+'Class Allocations'!L$184*Functional!$N281</f>
        <v>139657.27350955247</v>
      </c>
      <c r="N281" s="4">
        <f>'Class Allocations'!M$144*Functional!$F281+'Class Allocations'!M$148*Functional!$G281+'Class Allocations'!M$152*Functional!$I281+'Class Allocations'!M$156*Functional!$H281+'Class Allocations'!M$160*Functional!$J281+'Class Allocations'!M$166*Functional!$K281+'Class Allocations'!M$172*Functional!$L281+'Class Allocations'!M$178*Functional!$M281+'Class Allocations'!M$184*Functional!$N281+Functional!$P281</f>
        <v>36726.252948797759</v>
      </c>
      <c r="O281" s="4">
        <f>'Class Allocations'!N$144*Functional!$F281+'Class Allocations'!N$148*Functional!$G281+'Class Allocations'!N$152*Functional!$I281+'Class Allocations'!N$156*Functional!$H281+'Class Allocations'!N$160*Functional!$J281+'Class Allocations'!N$166*Functional!$K281+'Class Allocations'!N$172*Functional!$L281+'Class Allocations'!N$178*Functional!$M281+'Class Allocations'!N$184*Functional!$N281+Functional!$Q281</f>
        <v>60985.036208659272</v>
      </c>
      <c r="P281" s="4">
        <f t="shared" si="98"/>
        <v>2235766.8579132506</v>
      </c>
      <c r="R281" s="124">
        <f t="shared" si="99"/>
        <v>0</v>
      </c>
      <c r="S281" s="124">
        <f t="shared" si="100"/>
        <v>0</v>
      </c>
    </row>
    <row r="282" spans="1:19">
      <c r="A282" s="117">
        <f>IF(ISBLANK(C282),"",MAX($A$276:$A281)+1)</f>
        <v>5</v>
      </c>
      <c r="C282" s="140" t="s">
        <v>105</v>
      </c>
      <c r="E282" s="311">
        <f>Functional!$E282</f>
        <v>2449921.4246473559</v>
      </c>
      <c r="F282" s="311">
        <f>'Class Allocations'!E$144*Functional!$F282+'Class Allocations'!E$148*Functional!$G282+'Class Allocations'!E$152*Functional!$I282+'Class Allocations'!E$156*Functional!$H282+'Class Allocations'!E$160*Functional!$J282+'Class Allocations'!E$166*Functional!$K282+'Class Allocations'!E$172*Functional!$L282+'Class Allocations'!E$178*Functional!$M282+'Class Allocations'!E$184*Functional!$N282+Functional!$O282</f>
        <v>1619145.5383453048</v>
      </c>
      <c r="G282" s="311">
        <f>'Class Allocations'!F$144*Functional!$F282+'Class Allocations'!F$148*Functional!$G282+'Class Allocations'!F$152*Functional!$I282+'Class Allocations'!F$156*Functional!$H282+'Class Allocations'!F$160*Functional!$J282+'Class Allocations'!F$166*Functional!$K282+'Class Allocations'!F$172*Functional!$L282+'Class Allocations'!F$178*Functional!$M282+'Class Allocations'!F$184*Functional!$N282</f>
        <v>535396.73462274915</v>
      </c>
      <c r="H282" s="311">
        <f t="shared" si="97"/>
        <v>2154542.2729680538</v>
      </c>
      <c r="I282" s="312">
        <f>'Class Allocations'!H$144*Functional!$F282+'Class Allocations'!H$148*Functional!$G282+'Class Allocations'!H$152*Functional!$I282+'Class Allocations'!H$156*Functional!$H282+'Class Allocations'!H$160*Functional!$J282+'Class Allocations'!H$166*Functional!$K282+'Class Allocations'!H$172*Functional!$L282+'Class Allocations'!H$178*Functional!$M282+'Class Allocations'!H$184*Functional!$N282</f>
        <v>114187.16108980865</v>
      </c>
      <c r="J282" s="312">
        <f>'Class Allocations'!I$144*Functional!$F282+'Class Allocations'!I$148*Functional!$G282+'Class Allocations'!I$152*Functional!$I282+'Class Allocations'!I$156*Functional!$H282+'Class Allocations'!I$160*Functional!$J282+'Class Allocations'!I$166*Functional!$K282+'Class Allocations'!I$172*Functional!$L282+'Class Allocations'!I$178*Functional!$M282+'Class Allocations'!I$184*Functional!$N282</f>
        <v>11658.292843502553</v>
      </c>
      <c r="K282" s="312">
        <f>'Class Allocations'!J$144*Functional!$F282+'Class Allocations'!J$148*Functional!$G282+'Class Allocations'!J$152*Functional!$I282+'Class Allocations'!J$156*Functional!$H282+'Class Allocations'!J$160*Functional!$J282+'Class Allocations'!J$166*Functional!$K282+'Class Allocations'!J$172*Functional!$L282+'Class Allocations'!J$178*Functional!$M282+'Class Allocations'!J$184*Functional!$N282</f>
        <v>12311.492388361024</v>
      </c>
      <c r="L282" s="312">
        <f>'Class Allocations'!K$144*Functional!$F282+'Class Allocations'!K$148*Functional!$G282+'Class Allocations'!K$152*Functional!$I282+'Class Allocations'!K$156*Functional!$H282+'Class Allocations'!K$160*Functional!$J282+'Class Allocations'!K$166*Functional!$K282+'Class Allocations'!K$172*Functional!$L282+'Class Allocations'!K$178*Functional!$M282+'Class Allocations'!K$184*Functional!$N282</f>
        <v>120383.31683906473</v>
      </c>
      <c r="M282" s="312">
        <f>'Class Allocations'!L$144*Functional!$F282+'Class Allocations'!L$148*Functional!$G282+'Class Allocations'!L$152*Functional!$I282+'Class Allocations'!L$156*Functional!$H282+'Class Allocations'!L$160*Functional!$J282+'Class Allocations'!L$166*Functional!$K282+'Class Allocations'!L$172*Functional!$L282+'Class Allocations'!L$178*Functional!$M282+'Class Allocations'!L$184*Functional!$N282</f>
        <v>16716.743865002187</v>
      </c>
      <c r="N282" s="312">
        <f>'Class Allocations'!M$144*Functional!$F282+'Class Allocations'!M$148*Functional!$G282+'Class Allocations'!M$152*Functional!$I282+'Class Allocations'!M$156*Functional!$H282+'Class Allocations'!M$160*Functional!$J282+'Class Allocations'!M$166*Functional!$K282+'Class Allocations'!M$172*Functional!$L282+'Class Allocations'!M$178*Functional!$M282+'Class Allocations'!M$184*Functional!$N282+Functional!$P282</f>
        <v>10204.723260108323</v>
      </c>
      <c r="O282" s="312">
        <f>'Class Allocations'!N$144*Functional!$F282+'Class Allocations'!N$148*Functional!$G282+'Class Allocations'!N$152*Functional!$I282+'Class Allocations'!N$156*Functional!$H282+'Class Allocations'!N$160*Functional!$J282+'Class Allocations'!N$166*Functional!$K282+'Class Allocations'!N$172*Functional!$L282+'Class Allocations'!N$178*Functional!$M282+'Class Allocations'!N$184*Functional!$N282+Functional!$Q282</f>
        <v>9917.4213934547697</v>
      </c>
      <c r="P282" s="312">
        <f t="shared" si="98"/>
        <v>295379.15167930227</v>
      </c>
      <c r="R282" s="124">
        <f t="shared" si="99"/>
        <v>0</v>
      </c>
      <c r="S282" s="124">
        <f t="shared" si="100"/>
        <v>0</v>
      </c>
    </row>
    <row r="283" spans="1:19">
      <c r="A283" s="117">
        <f>IF(ISBLANK(C283),"",MAX($A$276:$A282)+1)</f>
        <v>6</v>
      </c>
      <c r="C283" s="140" t="s">
        <v>617</v>
      </c>
      <c r="E283" s="311">
        <f>Functional!$E283</f>
        <v>1053497.7467970264</v>
      </c>
      <c r="F283" s="311">
        <f>'Class Allocations'!E$144*Functional!$F283+'Class Allocations'!E$148*Functional!$G283+'Class Allocations'!E$152*Functional!$I283+'Class Allocations'!E$156*Functional!$H283+'Class Allocations'!E$160*Functional!$J283+'Class Allocations'!E$166*Functional!$K283+'Class Allocations'!E$172*Functional!$L283+'Class Allocations'!E$178*Functional!$M283+'Class Allocations'!E$184*Functional!$N283+Functional!$O283</f>
        <v>839875.95286566229</v>
      </c>
      <c r="G283" s="311">
        <f>'Class Allocations'!F$144*Functional!$F283+'Class Allocations'!F$148*Functional!$G283+'Class Allocations'!F$152*Functional!$I283+'Class Allocations'!F$156*Functional!$H283+'Class Allocations'!F$160*Functional!$J283+'Class Allocations'!F$166*Functional!$K283+'Class Allocations'!F$172*Functional!$L283+'Class Allocations'!F$178*Functional!$M283+'Class Allocations'!F$184*Functional!$N283</f>
        <v>159611.513746846</v>
      </c>
      <c r="H283" s="311">
        <f t="shared" si="97"/>
        <v>999487.46661250829</v>
      </c>
      <c r="I283" s="312">
        <f>'Class Allocations'!H$144*Functional!$F283+'Class Allocations'!H$148*Functional!$G283+'Class Allocations'!H$152*Functional!$I283+'Class Allocations'!H$156*Functional!$H283+'Class Allocations'!H$160*Functional!$J283+'Class Allocations'!H$166*Functional!$K283+'Class Allocations'!H$172*Functional!$L283+'Class Allocations'!H$178*Functional!$M283+'Class Allocations'!H$184*Functional!$N283</f>
        <v>43547.882520749088</v>
      </c>
      <c r="J283" s="312">
        <f>'Class Allocations'!I$144*Functional!$F283+'Class Allocations'!I$148*Functional!$G283+'Class Allocations'!I$152*Functional!$I283+'Class Allocations'!I$156*Functional!$H283+'Class Allocations'!I$160*Functional!$J283+'Class Allocations'!I$166*Functional!$K283+'Class Allocations'!I$172*Functional!$L283+'Class Allocations'!I$178*Functional!$M283+'Class Allocations'!I$184*Functional!$N283</f>
        <v>640.55495900626624</v>
      </c>
      <c r="K283" s="312">
        <f>'Class Allocations'!J$144*Functional!$F283+'Class Allocations'!J$148*Functional!$G283+'Class Allocations'!J$152*Functional!$I283+'Class Allocations'!J$156*Functional!$H283+'Class Allocations'!J$160*Functional!$J283+'Class Allocations'!J$166*Functional!$K283+'Class Allocations'!J$172*Functional!$L283+'Class Allocations'!J$178*Functional!$M283+'Class Allocations'!J$184*Functional!$N283</f>
        <v>3909.0276985510604</v>
      </c>
      <c r="L283" s="312">
        <f>'Class Allocations'!K$144*Functional!$F283+'Class Allocations'!K$148*Functional!$G283+'Class Allocations'!K$152*Functional!$I283+'Class Allocations'!K$156*Functional!$H283+'Class Allocations'!K$160*Functional!$J283+'Class Allocations'!K$166*Functional!$K283+'Class Allocations'!K$172*Functional!$L283+'Class Allocations'!K$178*Functional!$M283+'Class Allocations'!K$184*Functional!$N283</f>
        <v>4204.6684488616447</v>
      </c>
      <c r="M283" s="312">
        <f>'Class Allocations'!L$144*Functional!$F283+'Class Allocations'!L$148*Functional!$G283+'Class Allocations'!L$152*Functional!$I283+'Class Allocations'!L$156*Functional!$H283+'Class Allocations'!L$160*Functional!$J283+'Class Allocations'!L$166*Functional!$K283+'Class Allocations'!L$172*Functional!$L283+'Class Allocations'!L$178*Functional!$M283+'Class Allocations'!L$184*Functional!$N283</f>
        <v>591.28150062116879</v>
      </c>
      <c r="N283" s="312">
        <f>'Class Allocations'!M$144*Functional!$F283+'Class Allocations'!M$148*Functional!$G283+'Class Allocations'!M$152*Functional!$I283+'Class Allocations'!M$156*Functional!$H283+'Class Allocations'!M$160*Functional!$J283+'Class Allocations'!M$166*Functional!$K283+'Class Allocations'!M$172*Functional!$L283+'Class Allocations'!M$178*Functional!$M283+'Class Allocations'!M$184*Functional!$N283+Functional!$P283</f>
        <v>985.46916770194809</v>
      </c>
      <c r="O283" s="312">
        <f>'Class Allocations'!N$144*Functional!$F283+'Class Allocations'!N$148*Functional!$G283+'Class Allocations'!N$152*Functional!$I283+'Class Allocations'!N$156*Functional!$H283+'Class Allocations'!N$160*Functional!$J283+'Class Allocations'!N$166*Functional!$K283+'Class Allocations'!N$172*Functional!$L283+'Class Allocations'!N$178*Functional!$M283+'Class Allocations'!N$184*Functional!$N283+Functional!$Q283</f>
        <v>131.3958890269264</v>
      </c>
      <c r="P283" s="312">
        <f t="shared" si="98"/>
        <v>54010.280184518102</v>
      </c>
      <c r="R283" s="124">
        <f t="shared" si="99"/>
        <v>0</v>
      </c>
      <c r="S283" s="124"/>
    </row>
    <row r="284" spans="1:19">
      <c r="A284" s="117">
        <f>IF(ISBLANK(C284),"",MAX($A$276:$A283)+1)</f>
        <v>7</v>
      </c>
      <c r="C284" s="140" t="s">
        <v>618</v>
      </c>
      <c r="E284" s="298">
        <f>Functional!E284</f>
        <v>1901496.2532029736</v>
      </c>
      <c r="F284" s="298">
        <f>'Class Allocations'!E$144*Functional!$F284+'Class Allocations'!E$148*Functional!$G284+'Class Allocations'!E$152*Functional!$I284+'Class Allocations'!E$156*Functional!$H284+'Class Allocations'!E$160*Functional!$J284+'Class Allocations'!E$166*Functional!$K284+'Class Allocations'!E$172*Functional!$L284+'Class Allocations'!E$178*Functional!$M284+'Class Allocations'!E$184*Functional!$N284+Functional!$O284</f>
        <v>1228675.9519463456</v>
      </c>
      <c r="G284" s="298">
        <f>'Class Allocations'!F$144*Functional!$F284+'Class Allocations'!F$148*Functional!$G284+'Class Allocations'!F$152*Functional!$I284+'Class Allocations'!F$156*Functional!$H284+'Class Allocations'!F$160*Functional!$J284+'Class Allocations'!F$166*Functional!$K284+'Class Allocations'!F$172*Functional!$L284+'Class Allocations'!F$178*Functional!$M284+'Class Allocations'!F$184*Functional!$N284</f>
        <v>429321.3007182905</v>
      </c>
      <c r="H284" s="298">
        <f t="shared" si="97"/>
        <v>1657997.2526646361</v>
      </c>
      <c r="I284" s="5">
        <f>'Class Allocations'!H$144*Functional!$F284+'Class Allocations'!H$148*Functional!$G284+'Class Allocations'!H$152*Functional!$I284+'Class Allocations'!H$156*Functional!$H284+'Class Allocations'!H$160*Functional!$J284+'Class Allocations'!H$166*Functional!$K284+'Class Allocations'!H$172*Functional!$L284+'Class Allocations'!H$178*Functional!$M284+'Class Allocations'!H$184*Functional!$N284</f>
        <v>89709.342947425539</v>
      </c>
      <c r="J284" s="5">
        <f>'Class Allocations'!I$144*Functional!$F284+'Class Allocations'!I$148*Functional!$G284+'Class Allocations'!I$152*Functional!$I284+'Class Allocations'!I$156*Functional!$H284+'Class Allocations'!I$160*Functional!$J284+'Class Allocations'!I$166*Functional!$K284+'Class Allocations'!I$172*Functional!$L284+'Class Allocations'!I$178*Functional!$M284+'Class Allocations'!I$184*Functional!$N284</f>
        <v>9901.5293142047376</v>
      </c>
      <c r="K284" s="5">
        <f>'Class Allocations'!J$144*Functional!$F284+'Class Allocations'!J$148*Functional!$G284+'Class Allocations'!J$152*Functional!$I284+'Class Allocations'!J$156*Functional!$H284+'Class Allocations'!J$160*Functional!$J284+'Class Allocations'!J$166*Functional!$K284+'Class Allocations'!J$172*Functional!$L284+'Class Allocations'!J$178*Functional!$M284+'Class Allocations'!J$184*Functional!$N284</f>
        <v>9825.7054175050889</v>
      </c>
      <c r="L284" s="5">
        <f>'Class Allocations'!K$144*Functional!$F284+'Class Allocations'!K$148*Functional!$G284+'Class Allocations'!K$152*Functional!$I284+'Class Allocations'!K$156*Functional!$H284+'Class Allocations'!K$160*Functional!$J284+'Class Allocations'!K$166*Functional!$K284+'Class Allocations'!K$172*Functional!$L284+'Class Allocations'!K$178*Functional!$M284+'Class Allocations'!K$184*Functional!$N284</f>
        <v>102713.07787924485</v>
      </c>
      <c r="M284" s="5">
        <f>'Class Allocations'!L$144*Functional!$F284+'Class Allocations'!L$148*Functional!$G284+'Class Allocations'!L$152*Functional!$I284+'Class Allocations'!L$156*Functional!$H284+'Class Allocations'!L$160*Functional!$J284+'Class Allocations'!L$166*Functional!$K284+'Class Allocations'!L$172*Functional!$L284+'Class Allocations'!L$178*Functional!$M284+'Class Allocations'!L$184*Functional!$N284</f>
        <v>14261.562490436168</v>
      </c>
      <c r="N284" s="5">
        <f>'Class Allocations'!M$144*Functional!$F284+'Class Allocations'!M$148*Functional!$G284+'Class Allocations'!M$152*Functional!$I284+'Class Allocations'!M$156*Functional!$H284+'Class Allocations'!M$160*Functional!$J284+'Class Allocations'!M$166*Functional!$K284+'Class Allocations'!M$172*Functional!$L284+'Class Allocations'!M$178*Functional!$M284+'Class Allocations'!M$184*Functional!$N284+Functional!$P284</f>
        <v>8584.1314922936926</v>
      </c>
      <c r="O284" s="5">
        <f>'Class Allocations'!N$144*Functional!$F284+'Class Allocations'!N$148*Functional!$G284+'Class Allocations'!N$152*Functional!$I284+'Class Allocations'!N$156*Functional!$H284+'Class Allocations'!N$160*Functional!$J284+'Class Allocations'!N$166*Functional!$K284+'Class Allocations'!N$172*Functional!$L284+'Class Allocations'!N$178*Functional!$M284+'Class Allocations'!N$184*Functional!$N284+Functional!$Q284</f>
        <v>8503.6509972275962</v>
      </c>
      <c r="P284" s="5">
        <f t="shared" si="98"/>
        <v>243499.00053833768</v>
      </c>
      <c r="R284" s="124">
        <f t="shared" ref="R284" si="101">SUM(F284:G284,I284:O284)-E284</f>
        <v>0</v>
      </c>
      <c r="S284" s="124">
        <f t="shared" ref="S284" si="102">E284-H284-P284</f>
        <v>0</v>
      </c>
    </row>
    <row r="285" spans="1:19">
      <c r="A285" s="117">
        <f>IF(ISBLANK(C285),"",MAX($A$276:$A284)+1)</f>
        <v>8</v>
      </c>
      <c r="C285" s="169" t="s">
        <v>123</v>
      </c>
      <c r="E285" s="135">
        <f t="shared" ref="E285:P285" si="103">SUM(E279:E284)</f>
        <v>21685113.424647357</v>
      </c>
      <c r="F285" s="135">
        <f t="shared" si="103"/>
        <v>13707280.494338691</v>
      </c>
      <c r="G285" s="135">
        <f t="shared" si="103"/>
        <v>5121582.1588230599</v>
      </c>
      <c r="H285" s="135">
        <f t="shared" si="103"/>
        <v>18828862.653161749</v>
      </c>
      <c r="I285" s="135">
        <f t="shared" si="103"/>
        <v>1055626.5852400847</v>
      </c>
      <c r="J285" s="135">
        <f t="shared" si="103"/>
        <v>119991.00051466661</v>
      </c>
      <c r="K285" s="135">
        <f t="shared" si="103"/>
        <v>110405.23737455679</v>
      </c>
      <c r="L285" s="135">
        <f t="shared" si="103"/>
        <v>1252298.4911763913</v>
      </c>
      <c r="M285" s="135">
        <f t="shared" si="103"/>
        <v>175554.94245793563</v>
      </c>
      <c r="N285" s="135">
        <f t="shared" si="103"/>
        <v>62501.349023741808</v>
      </c>
      <c r="O285" s="135">
        <f t="shared" si="103"/>
        <v>79873.165698230951</v>
      </c>
      <c r="P285" s="135">
        <f t="shared" si="103"/>
        <v>2856250.7714856076</v>
      </c>
      <c r="R285" s="124">
        <f t="shared" si="99"/>
        <v>0</v>
      </c>
      <c r="S285" s="124">
        <f t="shared" si="100"/>
        <v>0</v>
      </c>
    </row>
    <row r="286" spans="1:19">
      <c r="A286" s="117" t="str">
        <f>IF(ISBLANK(C286),"",MAX($A$276:$A285)+1)</f>
        <v/>
      </c>
      <c r="E286" s="491"/>
      <c r="F286" s="491"/>
      <c r="G286" s="135"/>
      <c r="H286" s="135"/>
      <c r="I286" s="4"/>
      <c r="J286" s="4"/>
      <c r="K286" s="4"/>
      <c r="L286" s="4"/>
      <c r="M286" s="4"/>
      <c r="N286" s="4"/>
      <c r="O286" s="4"/>
      <c r="P286" s="4"/>
      <c r="R286" s="124"/>
      <c r="S286" s="124"/>
    </row>
    <row r="287" spans="1:19">
      <c r="A287" s="117">
        <f>IF(ISBLANK(#REF!),"",MAX($A$276:$A286)+1)</f>
        <v>9</v>
      </c>
      <c r="C287" s="134" t="str">
        <f>Functional!$C287</f>
        <v>Taxes Other Than Income Taxes</v>
      </c>
      <c r="E287" s="135"/>
      <c r="F287" s="135"/>
      <c r="G287" s="135"/>
      <c r="H287" s="135"/>
      <c r="I287" s="4"/>
      <c r="J287" s="4"/>
      <c r="K287" s="4"/>
      <c r="L287" s="4"/>
      <c r="M287" s="4"/>
      <c r="N287" s="4"/>
      <c r="O287" s="4"/>
      <c r="P287" s="4"/>
      <c r="R287" s="124"/>
      <c r="S287" s="124"/>
    </row>
    <row r="288" spans="1:19">
      <c r="A288" s="117">
        <f>IF(ISBLANK(C288),"",MAX($A$276:$A287)+1)</f>
        <v>10</v>
      </c>
      <c r="C288" s="140" t="str">
        <f>Functional!$C288</f>
        <v>Ad Valorem Taxes</v>
      </c>
      <c r="E288" s="135">
        <f>Functional!$E288</f>
        <v>4699301.969868673</v>
      </c>
      <c r="F288" s="211">
        <f>'Class Allocations'!E$144*Functional!$F288+'Class Allocations'!E$148*Functional!$G288+'Class Allocations'!E$152*Functional!$I288+'Class Allocations'!E$156*Functional!$H288+'Class Allocations'!E$160*Functional!$J288+'Class Allocations'!E$166*Functional!$K288+'Class Allocations'!E$172*Functional!$L288+'Class Allocations'!E$178*Functional!$M288+'Class Allocations'!E$184*Functional!$N288+Functional!$O288</f>
        <v>2929372.7613953929</v>
      </c>
      <c r="G288" s="135">
        <f>'Class Allocations'!F$144*Functional!$F288+'Class Allocations'!F$148*Functional!$G288+'Class Allocations'!F$152*Functional!$I288+'Class Allocations'!F$156*Functional!$H288+'Class Allocations'!F$160*Functional!$J288+'Class Allocations'!F$166*Functional!$K288+'Class Allocations'!F$172*Functional!$L288+'Class Allocations'!F$178*Functional!$M288+'Class Allocations'!F$184*Functional!$N288</f>
        <v>1131099.424078458</v>
      </c>
      <c r="H288" s="135">
        <f t="shared" ref="H288:H292" si="104">SUM(F288:G288)</f>
        <v>4060472.1854738509</v>
      </c>
      <c r="I288" s="4">
        <f>'Class Allocations'!H$144*Functional!$F288+'Class Allocations'!H$148*Functional!$G288+'Class Allocations'!H$152*Functional!$I288+'Class Allocations'!H$156*Functional!$H288+'Class Allocations'!H$160*Functional!$J288+'Class Allocations'!H$166*Functional!$K288+'Class Allocations'!H$172*Functional!$L288+'Class Allocations'!H$178*Functional!$M288+'Class Allocations'!H$184*Functional!$N288</f>
        <v>230723.03117141259</v>
      </c>
      <c r="J288" s="4">
        <f>'Class Allocations'!I$144*Functional!$F288+'Class Allocations'!I$148*Functional!$G288+'Class Allocations'!I$152*Functional!$I288+'Class Allocations'!I$156*Functional!$H288+'Class Allocations'!I$160*Functional!$J288+'Class Allocations'!I$166*Functional!$K288+'Class Allocations'!I$172*Functional!$L288+'Class Allocations'!I$178*Functional!$M288+'Class Allocations'!I$184*Functional!$N288</f>
        <v>27202.206943517805</v>
      </c>
      <c r="K288" s="4">
        <f>'Class Allocations'!J$144*Functional!$F288+'Class Allocations'!J$148*Functional!$G288+'Class Allocations'!J$152*Functional!$I288+'Class Allocations'!J$156*Functional!$H288+'Class Allocations'!J$160*Functional!$J288+'Class Allocations'!J$166*Functional!$K288+'Class Allocations'!J$172*Functional!$L288+'Class Allocations'!J$178*Functional!$M288+'Class Allocations'!J$184*Functional!$N288</f>
        <v>24228.698896422931</v>
      </c>
      <c r="L288" s="4">
        <f>'Class Allocations'!K$144*Functional!$F288+'Class Allocations'!K$148*Functional!$G288+'Class Allocations'!K$152*Functional!$I288+'Class Allocations'!K$156*Functional!$H288+'Class Allocations'!K$160*Functional!$J288+'Class Allocations'!K$166*Functional!$K288+'Class Allocations'!K$172*Functional!$L288+'Class Allocations'!K$178*Functional!$M288+'Class Allocations'!K$184*Functional!$N288</f>
        <v>284513.43967115204</v>
      </c>
      <c r="M288" s="4">
        <f>'Class Allocations'!L$144*Functional!$F288+'Class Allocations'!L$148*Functional!$G288+'Class Allocations'!L$152*Functional!$I288+'Class Allocations'!L$156*Functional!$H288+'Class Allocations'!L$160*Functional!$J288+'Class Allocations'!L$166*Functional!$K288+'Class Allocations'!L$172*Functional!$L288+'Class Allocations'!L$178*Functional!$M288+'Class Allocations'!L$184*Functional!$N288</f>
        <v>40174.597145830194</v>
      </c>
      <c r="N288" s="4">
        <f>'Class Allocations'!M$144*Functional!$F288+'Class Allocations'!M$148*Functional!$G288+'Class Allocations'!M$152*Functional!$I288+'Class Allocations'!M$156*Functional!$H288+'Class Allocations'!M$160*Functional!$J288+'Class Allocations'!M$166*Functional!$K288+'Class Allocations'!M$172*Functional!$L288+'Class Allocations'!M$178*Functional!$M288+'Class Allocations'!M$184*Functional!$N288+Functional!$P288</f>
        <v>14095.900540163499</v>
      </c>
      <c r="O288" s="4">
        <f>'Class Allocations'!N$144*Functional!$F288+'Class Allocations'!N$148*Functional!$G288+'Class Allocations'!N$152*Functional!$I288+'Class Allocations'!N$156*Functional!$H288+'Class Allocations'!N$160*Functional!$J288+'Class Allocations'!N$166*Functional!$K288+'Class Allocations'!N$172*Functional!$L288+'Class Allocations'!N$178*Functional!$M288+'Class Allocations'!N$184*Functional!$N288+Functional!$Q288</f>
        <v>17891.910026323712</v>
      </c>
      <c r="P288" s="4">
        <f>SUM(I288:O288)</f>
        <v>638829.78439482278</v>
      </c>
      <c r="R288" s="124">
        <f t="shared" si="99"/>
        <v>0</v>
      </c>
      <c r="S288" s="124">
        <f t="shared" si="100"/>
        <v>0</v>
      </c>
    </row>
    <row r="289" spans="1:19">
      <c r="A289" s="117">
        <f>IF(ISBLANK(C289),"",MAX($A$276:$A288)+1)</f>
        <v>11</v>
      </c>
      <c r="C289" s="140" t="str">
        <f>Functional!$C289</f>
        <v>Payroll Taxes</v>
      </c>
      <c r="E289" s="135">
        <f>Functional!$E289</f>
        <v>2412941.167860203</v>
      </c>
      <c r="F289" s="135">
        <f>'Class Allocations'!E$144*Functional!$F289+'Class Allocations'!E$148*Functional!$G289+'Class Allocations'!E$152*Functional!$I289+'Class Allocations'!E$156*Functional!$H289+'Class Allocations'!E$160*Functional!$J289+'Class Allocations'!E$166*Functional!$K289+'Class Allocations'!E$172*Functional!$L289+'Class Allocations'!E$178*Functional!$M289+'Class Allocations'!E$184*Functional!$N289+Functional!$O289</f>
        <v>1559152.5786165693</v>
      </c>
      <c r="G289" s="135">
        <f>'Class Allocations'!F$144*Functional!$F289+'Class Allocations'!F$148*Functional!$G289+'Class Allocations'!F$152*Functional!$I289+'Class Allocations'!F$156*Functional!$H289+'Class Allocations'!F$160*Functional!$J289+'Class Allocations'!F$166*Functional!$K289+'Class Allocations'!F$172*Functional!$L289+'Class Allocations'!F$178*Functional!$M289+'Class Allocations'!F$184*Functional!$N289</f>
        <v>544795.73072914919</v>
      </c>
      <c r="H289" s="135">
        <f t="shared" si="104"/>
        <v>2103948.3093457185</v>
      </c>
      <c r="I289" s="4">
        <f>'Class Allocations'!H$144*Functional!$F289+'Class Allocations'!H$148*Functional!$G289+'Class Allocations'!H$152*Functional!$I289+'Class Allocations'!H$156*Functional!$H289+'Class Allocations'!H$160*Functional!$J289+'Class Allocations'!H$166*Functional!$K289+'Class Allocations'!H$172*Functional!$L289+'Class Allocations'!H$178*Functional!$M289+'Class Allocations'!H$184*Functional!$N289</f>
        <v>113838.43979440449</v>
      </c>
      <c r="J289" s="4">
        <f>'Class Allocations'!I$144*Functional!$F289+'Class Allocations'!I$148*Functional!$G289+'Class Allocations'!I$152*Functional!$I289+'Class Allocations'!I$156*Functional!$H289+'Class Allocations'!I$160*Functional!$J289+'Class Allocations'!I$166*Functional!$K289+'Class Allocations'!I$172*Functional!$L289+'Class Allocations'!I$178*Functional!$M289+'Class Allocations'!I$184*Functional!$N289</f>
        <v>12564.740880648422</v>
      </c>
      <c r="K289" s="4">
        <f>'Class Allocations'!J$144*Functional!$F289+'Class Allocations'!J$148*Functional!$G289+'Class Allocations'!J$152*Functional!$I289+'Class Allocations'!J$156*Functional!$H289+'Class Allocations'!J$160*Functional!$J289+'Class Allocations'!J$166*Functional!$K289+'Class Allocations'!J$172*Functional!$L289+'Class Allocations'!J$178*Functional!$M289+'Class Allocations'!J$184*Functional!$N289</f>
        <v>12468.522651690057</v>
      </c>
      <c r="L289" s="4">
        <f>'Class Allocations'!K$144*Functional!$F289+'Class Allocations'!K$148*Functional!$G289+'Class Allocations'!K$152*Functional!$I289+'Class Allocations'!K$156*Functional!$H289+'Class Allocations'!K$160*Functional!$J289+'Class Allocations'!K$166*Functional!$K289+'Class Allocations'!K$172*Functional!$L289+'Class Allocations'!K$178*Functional!$M289+'Class Allocations'!K$184*Functional!$N289</f>
        <v>130339.78566877855</v>
      </c>
      <c r="M289" s="4">
        <f>'Class Allocations'!L$144*Functional!$F289+'Class Allocations'!L$148*Functional!$G289+'Class Allocations'!L$152*Functional!$I289+'Class Allocations'!L$156*Functional!$H289+'Class Allocations'!L$160*Functional!$J289+'Class Allocations'!L$166*Functional!$K289+'Class Allocations'!L$172*Functional!$L289+'Class Allocations'!L$178*Functional!$M289+'Class Allocations'!L$184*Functional!$N289</f>
        <v>18097.490959142582</v>
      </c>
      <c r="N289" s="4">
        <f>'Class Allocations'!M$144*Functional!$F289+'Class Allocations'!M$148*Functional!$G289+'Class Allocations'!M$152*Functional!$I289+'Class Allocations'!M$156*Functional!$H289+'Class Allocations'!M$160*Functional!$J289+'Class Allocations'!M$166*Functional!$K289+'Class Allocations'!M$172*Functional!$L289+'Class Allocations'!M$178*Functional!$M289+'Class Allocations'!M$184*Functional!$N289+Functional!$P289</f>
        <v>10893.002935551773</v>
      </c>
      <c r="O289" s="4">
        <f>'Class Allocations'!N$144*Functional!$F289+'Class Allocations'!N$148*Functional!$G289+'Class Allocations'!N$152*Functional!$I289+'Class Allocations'!N$156*Functional!$H289+'Class Allocations'!N$160*Functional!$J289+'Class Allocations'!N$166*Functional!$K289+'Class Allocations'!N$172*Functional!$L289+'Class Allocations'!N$178*Functional!$M289+'Class Allocations'!N$184*Functional!$N289+Functional!$Q289</f>
        <v>10790.875624268541</v>
      </c>
      <c r="P289" s="4">
        <f t="shared" ref="P289:P291" si="105">SUM(I289:O289)</f>
        <v>308992.85851448437</v>
      </c>
      <c r="R289" s="124">
        <f t="shared" si="99"/>
        <v>0</v>
      </c>
      <c r="S289" s="124"/>
    </row>
    <row r="290" spans="1:19">
      <c r="A290" s="117">
        <f>IF(ISBLANK(C290),"",MAX($A$276:$A289)+1)</f>
        <v>12</v>
      </c>
      <c r="C290" s="140" t="str">
        <f>Functional!$C290</f>
        <v>Unemployment - Federal</v>
      </c>
      <c r="E290" s="135">
        <f>Functional!$E290</f>
        <v>23120.46</v>
      </c>
      <c r="F290" s="135">
        <f>'Class Allocations'!E$144*Functional!$F290+'Class Allocations'!E$148*Functional!$G290+'Class Allocations'!E$152*Functional!$I290+'Class Allocations'!E$156*Functional!$H290+'Class Allocations'!E$160*Functional!$J290+'Class Allocations'!E$166*Functional!$K290+'Class Allocations'!E$172*Functional!$L290+'Class Allocations'!E$178*Functional!$M290+'Class Allocations'!E$184*Functional!$N290+Functional!$O290</f>
        <v>14939.578845914803</v>
      </c>
      <c r="G290" s="135">
        <f>'Class Allocations'!F$144*Functional!$F290+'Class Allocations'!F$148*Functional!$G290+'Class Allocations'!F$152*Functional!$I290+'Class Allocations'!F$156*Functional!$H290+'Class Allocations'!F$160*Functional!$J290+'Class Allocations'!F$166*Functional!$K290+'Class Allocations'!F$172*Functional!$L290+'Class Allocations'!F$178*Functional!$M290+'Class Allocations'!F$184*Functional!$N290</f>
        <v>5220.1554137617622</v>
      </c>
      <c r="H290" s="135">
        <f t="shared" si="104"/>
        <v>20159.734259676567</v>
      </c>
      <c r="I290" s="4">
        <f>'Class Allocations'!H$144*Functional!$F290+'Class Allocations'!H$148*Functional!$G290+'Class Allocations'!H$152*Functional!$I290+'Class Allocations'!H$156*Functional!$H290+'Class Allocations'!H$160*Functional!$J290+'Class Allocations'!H$166*Functional!$K290+'Class Allocations'!H$172*Functional!$L290+'Class Allocations'!H$178*Functional!$M290+'Class Allocations'!H$184*Functional!$N290</f>
        <v>1090.7837823758434</v>
      </c>
      <c r="J290" s="4">
        <f>'Class Allocations'!I$144*Functional!$F290+'Class Allocations'!I$148*Functional!$G290+'Class Allocations'!I$152*Functional!$I290+'Class Allocations'!I$156*Functional!$H290+'Class Allocations'!I$160*Functional!$J290+'Class Allocations'!I$166*Functional!$K290+'Class Allocations'!I$172*Functional!$L290+'Class Allocations'!I$178*Functional!$M290+'Class Allocations'!I$184*Functional!$N290</f>
        <v>120.39356483731198</v>
      </c>
      <c r="K290" s="4">
        <f>'Class Allocations'!J$144*Functional!$F290+'Class Allocations'!J$148*Functional!$G290+'Class Allocations'!J$152*Functional!$I290+'Class Allocations'!J$156*Functional!$H290+'Class Allocations'!J$160*Functional!$J290+'Class Allocations'!J$166*Functional!$K290+'Class Allocations'!J$172*Functional!$L290+'Class Allocations'!J$178*Functional!$M290+'Class Allocations'!J$184*Functional!$N290</f>
        <v>119.47161541577861</v>
      </c>
      <c r="L290" s="4">
        <f>'Class Allocations'!K$144*Functional!$F290+'Class Allocations'!K$148*Functional!$G290+'Class Allocations'!K$152*Functional!$I290+'Class Allocations'!K$156*Functional!$H290+'Class Allocations'!K$160*Functional!$J290+'Class Allocations'!K$166*Functional!$K290+'Class Allocations'!K$172*Functional!$L290+'Class Allocations'!K$178*Functional!$M290+'Class Allocations'!K$184*Functional!$N290</f>
        <v>1248.8973378642108</v>
      </c>
      <c r="M290" s="4">
        <f>'Class Allocations'!L$144*Functional!$F290+'Class Allocations'!L$148*Functional!$G290+'Class Allocations'!L$152*Functional!$I290+'Class Allocations'!L$156*Functional!$H290+'Class Allocations'!L$160*Functional!$J290+'Class Allocations'!L$166*Functional!$K290+'Class Allocations'!L$172*Functional!$L290+'Class Allocations'!L$178*Functional!$M290+'Class Allocations'!L$184*Functional!$N290</f>
        <v>173.40759128092407</v>
      </c>
      <c r="N290" s="4">
        <f>'Class Allocations'!M$144*Functional!$F290+'Class Allocations'!M$148*Functional!$G290+'Class Allocations'!M$152*Functional!$I290+'Class Allocations'!M$156*Functional!$H290+'Class Allocations'!M$160*Functional!$J290+'Class Allocations'!M$166*Functional!$K290+'Class Allocations'!M$172*Functional!$L290+'Class Allocations'!M$178*Functional!$M290+'Class Allocations'!M$184*Functional!$N290+Functional!$P290</f>
        <v>104.37520897977348</v>
      </c>
      <c r="O290" s="4">
        <f>'Class Allocations'!N$144*Functional!$F290+'Class Allocations'!N$148*Functional!$G290+'Class Allocations'!N$152*Functional!$I290+'Class Allocations'!N$156*Functional!$H290+'Class Allocations'!N$160*Functional!$J290+'Class Allocations'!N$166*Functional!$K290+'Class Allocations'!N$172*Functional!$L290+'Class Allocations'!N$178*Functional!$M290+'Class Allocations'!N$184*Functional!$N290+Functional!$Q290</f>
        <v>103.39663956959367</v>
      </c>
      <c r="P290" s="4">
        <f t="shared" si="105"/>
        <v>2960.7257403234362</v>
      </c>
      <c r="R290" s="124">
        <f t="shared" si="99"/>
        <v>0</v>
      </c>
      <c r="S290" s="124"/>
    </row>
    <row r="291" spans="1:19">
      <c r="A291" s="117">
        <f>IF(ISBLANK(C291),"",MAX($A$276:$A290)+1)</f>
        <v>13</v>
      </c>
      <c r="C291" s="140" t="str">
        <f>Functional!$C291</f>
        <v>Unemployment - State</v>
      </c>
      <c r="E291" s="135">
        <f>Functional!$E291</f>
        <v>28765.899999999998</v>
      </c>
      <c r="F291" s="135">
        <f>'Class Allocations'!E$144*Functional!$F291+'Class Allocations'!E$148*Functional!$G291+'Class Allocations'!E$152*Functional!$I291+'Class Allocations'!E$156*Functional!$H291+'Class Allocations'!E$160*Functional!$J291+'Class Allocations'!E$166*Functional!$K291+'Class Allocations'!E$172*Functional!$L291+'Class Allocations'!E$178*Functional!$M291+'Class Allocations'!E$184*Functional!$N291+Functional!$O291</f>
        <v>18587.451595846302</v>
      </c>
      <c r="G291" s="135">
        <f>'Class Allocations'!F$144*Functional!$F291+'Class Allocations'!F$148*Functional!$G291+'Class Allocations'!F$152*Functional!$I291+'Class Allocations'!F$156*Functional!$H291+'Class Allocations'!F$160*Functional!$J291+'Class Allocations'!F$166*Functional!$K291+'Class Allocations'!F$172*Functional!$L291+'Class Allocations'!F$178*Functional!$M291+'Class Allocations'!F$184*Functional!$N291</f>
        <v>6494.7872411158532</v>
      </c>
      <c r="H291" s="135">
        <f t="shared" si="104"/>
        <v>25082.238836962155</v>
      </c>
      <c r="I291" s="4">
        <f>'Class Allocations'!H$144*Functional!$F291+'Class Allocations'!H$148*Functional!$G291+'Class Allocations'!H$152*Functional!$I291+'Class Allocations'!H$156*Functional!$H291+'Class Allocations'!H$160*Functional!$J291+'Class Allocations'!H$166*Functional!$K291+'Class Allocations'!H$172*Functional!$L291+'Class Allocations'!H$178*Functional!$M291+'Class Allocations'!H$184*Functional!$N291</f>
        <v>1357.1259916734043</v>
      </c>
      <c r="J291" s="4">
        <f>'Class Allocations'!I$144*Functional!$F291+'Class Allocations'!I$148*Functional!$G291+'Class Allocations'!I$152*Functional!$I291+'Class Allocations'!I$156*Functional!$H291+'Class Allocations'!I$160*Functional!$J291+'Class Allocations'!I$166*Functional!$K291+'Class Allocations'!I$172*Functional!$L291+'Class Allocations'!I$178*Functional!$M291+'Class Allocations'!I$184*Functional!$N291</f>
        <v>149.79067227700628</v>
      </c>
      <c r="K291" s="4">
        <f>'Class Allocations'!J$144*Functional!$F291+'Class Allocations'!J$148*Functional!$G291+'Class Allocations'!J$152*Functional!$I291+'Class Allocations'!J$156*Functional!$H291+'Class Allocations'!J$160*Functional!$J291+'Class Allocations'!J$166*Functional!$K291+'Class Allocations'!J$172*Functional!$L291+'Class Allocations'!J$178*Functional!$M291+'Class Allocations'!J$184*Functional!$N291</f>
        <v>148.64360578849841</v>
      </c>
      <c r="L291" s="4">
        <f>'Class Allocations'!K$144*Functional!$F291+'Class Allocations'!K$148*Functional!$G291+'Class Allocations'!K$152*Functional!$I291+'Class Allocations'!K$156*Functional!$H291+'Class Allocations'!K$160*Functional!$J291+'Class Allocations'!K$166*Functional!$K291+'Class Allocations'!K$172*Functional!$L291+'Class Allocations'!K$178*Functional!$M291+'Class Allocations'!K$184*Functional!$N291</f>
        <v>1553.8469360587162</v>
      </c>
      <c r="M291" s="4">
        <f>'Class Allocations'!L$144*Functional!$F291+'Class Allocations'!L$148*Functional!$G291+'Class Allocations'!L$152*Functional!$I291+'Class Allocations'!L$156*Functional!$H291+'Class Allocations'!L$160*Functional!$J291+'Class Allocations'!L$166*Functional!$K291+'Class Allocations'!L$172*Functional!$L291+'Class Allocations'!L$178*Functional!$M291+'Class Allocations'!L$184*Functional!$N291</f>
        <v>215.74940247849455</v>
      </c>
      <c r="N291" s="4">
        <f>'Class Allocations'!M$144*Functional!$F291+'Class Allocations'!M$148*Functional!$G291+'Class Allocations'!M$152*Functional!$I291+'Class Allocations'!M$156*Functional!$H291+'Class Allocations'!M$160*Functional!$J291+'Class Allocations'!M$166*Functional!$K291+'Class Allocations'!M$172*Functional!$L291+'Class Allocations'!M$178*Functional!$M291+'Class Allocations'!M$184*Functional!$N291+Functional!$P291</f>
        <v>129.86103321435928</v>
      </c>
      <c r="O291" s="4">
        <f>'Class Allocations'!N$144*Functional!$F291+'Class Allocations'!N$148*Functional!$G291+'Class Allocations'!N$152*Functional!$I291+'Class Allocations'!N$156*Functional!$H291+'Class Allocations'!N$160*Functional!$J291+'Class Allocations'!N$166*Functional!$K291+'Class Allocations'!N$172*Functional!$L291+'Class Allocations'!N$178*Functional!$M291+'Class Allocations'!N$184*Functional!$N291+Functional!$Q291</f>
        <v>128.64352154736432</v>
      </c>
      <c r="P291" s="4">
        <f t="shared" si="105"/>
        <v>3683.6611630378438</v>
      </c>
      <c r="R291" s="124">
        <f t="shared" si="99"/>
        <v>0</v>
      </c>
      <c r="S291" s="124"/>
    </row>
    <row r="292" spans="1:19">
      <c r="A292" s="117">
        <f>IF(ISBLANK(C292),"",MAX($A$276:$A291)+1)</f>
        <v>14</v>
      </c>
      <c r="C292" s="140" t="str">
        <f>Functional!$C292</f>
        <v>Miscellaneous</v>
      </c>
      <c r="E292" s="298">
        <f>Functional!$E292</f>
        <v>-118693.07999999999</v>
      </c>
      <c r="F292" s="298">
        <f>'Class Allocations'!E$144*Functional!$F292+'Class Allocations'!E$148*Functional!$G292+'Class Allocations'!E$152*Functional!$I292+'Class Allocations'!E$156*Functional!$H292+'Class Allocations'!E$160*Functional!$J292+'Class Allocations'!E$166*Functional!$K292+'Class Allocations'!E$172*Functional!$L292+'Class Allocations'!E$178*Functional!$M292+'Class Allocations'!E$184*Functional!$N292+Functional!$O292</f>
        <v>-76695.04097775188</v>
      </c>
      <c r="G292" s="298">
        <f>'Class Allocations'!F$144*Functional!$F292+'Class Allocations'!F$148*Functional!$G292+'Class Allocations'!F$152*Functional!$I292+'Class Allocations'!F$156*Functional!$H292+'Class Allocations'!F$160*Functional!$J292+'Class Allocations'!F$166*Functional!$K292+'Class Allocations'!F$172*Functional!$L292+'Class Allocations'!F$178*Functional!$M292+'Class Allocations'!F$184*Functional!$N292</f>
        <v>-26798.615777456758</v>
      </c>
      <c r="H292" s="298">
        <f t="shared" si="104"/>
        <v>-103493.65675520863</v>
      </c>
      <c r="I292" s="5">
        <f>'Class Allocations'!H$144*Functional!$F292+'Class Allocations'!H$148*Functional!$G292+'Class Allocations'!H$152*Functional!$I292+'Class Allocations'!H$156*Functional!$H292+'Class Allocations'!H$160*Functional!$J292+'Class Allocations'!H$166*Functional!$K292+'Class Allocations'!H$172*Functional!$L292+'Class Allocations'!H$178*Functional!$M292+'Class Allocations'!H$184*Functional!$N292</f>
        <v>-5599.7366291258295</v>
      </c>
      <c r="J292" s="5">
        <f>'Class Allocations'!I$144*Functional!$F292+'Class Allocations'!I$148*Functional!$G292+'Class Allocations'!I$152*Functional!$I292+'Class Allocations'!I$156*Functional!$H292+'Class Allocations'!I$160*Functional!$J292+'Class Allocations'!I$166*Functional!$K292+'Class Allocations'!I$172*Functional!$L292+'Class Allocations'!I$178*Functional!$M292+'Class Allocations'!I$184*Functional!$N292</f>
        <v>-618.0622281183098</v>
      </c>
      <c r="K292" s="5">
        <f>'Class Allocations'!J$144*Functional!$F292+'Class Allocations'!J$148*Functional!$G292+'Class Allocations'!J$152*Functional!$I292+'Class Allocations'!J$156*Functional!$H292+'Class Allocations'!J$160*Functional!$J292+'Class Allocations'!J$166*Functional!$K292+'Class Allocations'!J$172*Functional!$L292+'Class Allocations'!J$178*Functional!$M292+'Class Allocations'!J$184*Functional!$N292</f>
        <v>-613.32923334026407</v>
      </c>
      <c r="L292" s="5">
        <f>'Class Allocations'!K$144*Functional!$F292+'Class Allocations'!K$148*Functional!$G292+'Class Allocations'!K$152*Functional!$I292+'Class Allocations'!K$156*Functional!$H292+'Class Allocations'!K$160*Functional!$J292+'Class Allocations'!K$166*Functional!$K292+'Class Allocations'!K$172*Functional!$L292+'Class Allocations'!K$178*Functional!$M292+'Class Allocations'!K$184*Functional!$N292</f>
        <v>-6411.4412790620863</v>
      </c>
      <c r="M292" s="5">
        <f>'Class Allocations'!L$144*Functional!$F292+'Class Allocations'!L$148*Functional!$G292+'Class Allocations'!L$152*Functional!$I292+'Class Allocations'!L$156*Functional!$H292+'Class Allocations'!L$160*Functional!$J292+'Class Allocations'!L$166*Functional!$K292+'Class Allocations'!L$172*Functional!$L292+'Class Allocations'!L$178*Functional!$M292+'Class Allocations'!L$184*Functional!$N292</f>
        <v>-890.21936001766505</v>
      </c>
      <c r="N292" s="5">
        <f>'Class Allocations'!M$144*Functional!$F292+'Class Allocations'!M$148*Functional!$G292+'Class Allocations'!M$152*Functional!$I292+'Class Allocations'!M$156*Functional!$H292+'Class Allocations'!M$160*Functional!$J292+'Class Allocations'!M$166*Functional!$K292+'Class Allocations'!M$172*Functional!$L292+'Class Allocations'!M$178*Functional!$M292+'Class Allocations'!M$184*Functional!$N292+Functional!$P292</f>
        <v>-535.82908944947326</v>
      </c>
      <c r="O292" s="5">
        <f>'Class Allocations'!N$144*Functional!$F292+'Class Allocations'!N$148*Functional!$G292+'Class Allocations'!N$152*Functional!$I292+'Class Allocations'!N$156*Functional!$H292+'Class Allocations'!N$160*Functional!$J292+'Class Allocations'!N$166*Functional!$K292+'Class Allocations'!N$172*Functional!$L292+'Class Allocations'!N$178*Functional!$M292+'Class Allocations'!N$184*Functional!$N292+Functional!$Q292</f>
        <v>-530.8054256777308</v>
      </c>
      <c r="P292" s="5">
        <f>SUM(I292:O292)</f>
        <v>-15199.423244791358</v>
      </c>
      <c r="R292" s="124">
        <f t="shared" si="99"/>
        <v>0</v>
      </c>
      <c r="S292" s="124">
        <f t="shared" si="100"/>
        <v>0</v>
      </c>
    </row>
    <row r="293" spans="1:19">
      <c r="A293" s="117">
        <f>IF(ISBLANK(C293),"",MAX($A$276:$A292)+1)</f>
        <v>15</v>
      </c>
      <c r="C293" s="169" t="str">
        <f>Functional!$C293</f>
        <v>Total Taxes Other than Income Taxes</v>
      </c>
      <c r="E293" s="135">
        <f t="shared" ref="E293:P293" si="106">SUM(E288:E292)</f>
        <v>7045436.4177288758</v>
      </c>
      <c r="F293" s="135">
        <f t="shared" si="106"/>
        <v>4445357.3294759709</v>
      </c>
      <c r="G293" s="135">
        <f t="shared" si="106"/>
        <v>1660811.4816850282</v>
      </c>
      <c r="H293" s="135">
        <f t="shared" si="106"/>
        <v>6106168.8111609984</v>
      </c>
      <c r="I293" s="4">
        <f t="shared" si="106"/>
        <v>341409.64411074051</v>
      </c>
      <c r="J293" s="4">
        <f t="shared" si="106"/>
        <v>39419.069833162241</v>
      </c>
      <c r="K293" s="4">
        <f t="shared" si="106"/>
        <v>36352.007535977005</v>
      </c>
      <c r="L293" s="4">
        <f t="shared" si="106"/>
        <v>411244.52833479148</v>
      </c>
      <c r="M293" s="4">
        <f t="shared" si="106"/>
        <v>57771.025738714539</v>
      </c>
      <c r="N293" s="4">
        <f t="shared" si="106"/>
        <v>24687.310628459927</v>
      </c>
      <c r="O293" s="4">
        <f t="shared" si="106"/>
        <v>28384.02038603148</v>
      </c>
      <c r="P293" s="4">
        <f t="shared" si="106"/>
        <v>939267.60656787711</v>
      </c>
      <c r="R293" s="124">
        <f t="shared" si="99"/>
        <v>0</v>
      </c>
      <c r="S293" s="124">
        <f t="shared" si="100"/>
        <v>0</v>
      </c>
    </row>
    <row r="294" spans="1:19">
      <c r="A294" s="117" t="str">
        <f>IF(ISBLANK(C294),"",MAX($A$276:$A293)+1)</f>
        <v/>
      </c>
      <c r="E294" s="491"/>
      <c r="F294" s="491"/>
      <c r="G294" s="135"/>
      <c r="H294" s="135"/>
      <c r="I294" s="4"/>
      <c r="J294" s="4"/>
      <c r="K294" s="4"/>
      <c r="L294" s="4"/>
      <c r="M294" s="4"/>
      <c r="N294" s="4"/>
      <c r="O294" s="4"/>
      <c r="P294" s="4"/>
      <c r="R294" s="124"/>
      <c r="S294" s="124"/>
    </row>
    <row r="295" spans="1:19">
      <c r="A295" s="117">
        <f>IF(ISBLANK(C295),"",MAX($A$276:$A294)+1)</f>
        <v>16</v>
      </c>
      <c r="C295" s="134" t="str">
        <f>Functional!$C295</f>
        <v>Other Operating Revenues</v>
      </c>
      <c r="E295" s="135"/>
      <c r="F295" s="135"/>
      <c r="G295" s="135"/>
      <c r="H295" s="135"/>
      <c r="I295" s="4"/>
      <c r="J295" s="4"/>
      <c r="K295" s="4"/>
      <c r="L295" s="4"/>
      <c r="M295" s="4"/>
      <c r="N295" s="4"/>
      <c r="O295" s="4"/>
      <c r="P295" s="4"/>
      <c r="R295" s="124"/>
      <c r="S295" s="124"/>
    </row>
    <row r="296" spans="1:19">
      <c r="A296" s="117">
        <f>IF(ISBLANK(C296),"",MAX($A$276:$A295)+1)</f>
        <v>17</v>
      </c>
      <c r="B296" s="117">
        <f>Functional!$B296</f>
        <v>487</v>
      </c>
      <c r="C296" s="140" t="str">
        <f>Functional!$C296</f>
        <v>Forfeited Discounts</v>
      </c>
      <c r="E296" s="135">
        <f>Functional!$E296</f>
        <v>508107.31999999972</v>
      </c>
      <c r="F296" s="135">
        <f>'Class Allocations'!E$144*Functional!$F296+'Class Allocations'!E$148*Functional!$G296+'Class Allocations'!E$152*Functional!$I296+'Class Allocations'!E$156*Functional!$H296+'Class Allocations'!E$160*Functional!$J296+'Class Allocations'!E$166*Functional!$K296+'Class Allocations'!E$172*Functional!$L296+'Class Allocations'!E$178*Functional!$M296+'Class Allocations'!E$184*Functional!$N296+Functional!$O296</f>
        <v>508107.31999999972</v>
      </c>
      <c r="G296" s="135">
        <f>'Class Allocations'!F$144*Functional!$F296+'Class Allocations'!F$148*Functional!$G296+'Class Allocations'!F$152*Functional!$I296+'Class Allocations'!F$156*Functional!$H296+'Class Allocations'!F$160*Functional!$J296+'Class Allocations'!F$166*Functional!$K296+'Class Allocations'!F$172*Functional!$L296+'Class Allocations'!F$178*Functional!$M296+'Class Allocations'!F$184*Functional!$N296</f>
        <v>0</v>
      </c>
      <c r="H296" s="135">
        <f t="shared" ref="H296:H299" si="107">SUM(F296:G296)</f>
        <v>508107.31999999972</v>
      </c>
      <c r="I296" s="4">
        <f>'Class Allocations'!H$144*Functional!$F296+'Class Allocations'!H$148*Functional!$G296+'Class Allocations'!H$152*Functional!$I296+'Class Allocations'!H$156*Functional!$H296+'Class Allocations'!H$160*Functional!$J296+'Class Allocations'!H$166*Functional!$K296+'Class Allocations'!H$172*Functional!$L296+'Class Allocations'!H$178*Functional!$M296+'Class Allocations'!H$184*Functional!$N296</f>
        <v>0</v>
      </c>
      <c r="J296" s="4">
        <f>'Class Allocations'!I$144*Functional!$F296+'Class Allocations'!I$148*Functional!$G296+'Class Allocations'!I$152*Functional!$I296+'Class Allocations'!I$156*Functional!$H296+'Class Allocations'!I$160*Functional!$J296+'Class Allocations'!I$166*Functional!$K296+'Class Allocations'!I$172*Functional!$L296+'Class Allocations'!I$178*Functional!$M296+'Class Allocations'!I$184*Functional!$N296</f>
        <v>0</v>
      </c>
      <c r="K296" s="4">
        <f>'Class Allocations'!J$144*Functional!$F296+'Class Allocations'!J$148*Functional!$G296+'Class Allocations'!J$152*Functional!$I296+'Class Allocations'!J$156*Functional!$H296+'Class Allocations'!J$160*Functional!$J296+'Class Allocations'!J$166*Functional!$K296+'Class Allocations'!J$172*Functional!$L296+'Class Allocations'!J$178*Functional!$M296+'Class Allocations'!J$184*Functional!$N296</f>
        <v>0</v>
      </c>
      <c r="L296" s="4">
        <f>'Class Allocations'!K$144*Functional!$F296+'Class Allocations'!K$148*Functional!$G296+'Class Allocations'!K$152*Functional!$I296+'Class Allocations'!K$156*Functional!$H296+'Class Allocations'!K$160*Functional!$J296+'Class Allocations'!K$166*Functional!$K296+'Class Allocations'!K$172*Functional!$L296+'Class Allocations'!K$178*Functional!$M296+'Class Allocations'!K$184*Functional!$N296</f>
        <v>0</v>
      </c>
      <c r="M296" s="4">
        <f>'Class Allocations'!L$144*Functional!$F296+'Class Allocations'!L$148*Functional!$G296+'Class Allocations'!L$152*Functional!$I296+'Class Allocations'!L$156*Functional!$H296+'Class Allocations'!L$160*Functional!$J296+'Class Allocations'!L$166*Functional!$K296+'Class Allocations'!L$172*Functional!$L296+'Class Allocations'!L$178*Functional!$M296+'Class Allocations'!L$184*Functional!$N296</f>
        <v>0</v>
      </c>
      <c r="N296" s="4">
        <f>'Class Allocations'!M$144*Functional!$F296+'Class Allocations'!M$148*Functional!$G296+'Class Allocations'!M$152*Functional!$I296+'Class Allocations'!M$156*Functional!$H296+'Class Allocations'!M$160*Functional!$J296+'Class Allocations'!M$166*Functional!$K296+'Class Allocations'!M$172*Functional!$L296+'Class Allocations'!M$178*Functional!$M296+'Class Allocations'!M$184*Functional!$N296+Functional!$P296</f>
        <v>0</v>
      </c>
      <c r="O296" s="4">
        <f>'Class Allocations'!N$144*Functional!$F296+'Class Allocations'!N$148*Functional!$G296+'Class Allocations'!N$152*Functional!$I296+'Class Allocations'!N$156*Functional!$H296+'Class Allocations'!N$160*Functional!$J296+'Class Allocations'!N$166*Functional!$K296+'Class Allocations'!N$172*Functional!$L296+'Class Allocations'!N$178*Functional!$M296+'Class Allocations'!N$184*Functional!$N296+Functional!$Q296</f>
        <v>0</v>
      </c>
      <c r="P296" s="4">
        <f>SUM(I296:O296)</f>
        <v>0</v>
      </c>
      <c r="R296" s="124">
        <f>SUM(F296:G296,I296:O296)-E296</f>
        <v>0</v>
      </c>
      <c r="S296" s="124">
        <f>E296-H296-P296</f>
        <v>0</v>
      </c>
    </row>
    <row r="297" spans="1:19">
      <c r="A297" s="117">
        <f>IF(ISBLANK(C297),"",MAX($A$276:$A296)+1)</f>
        <v>18</v>
      </c>
      <c r="B297" s="117">
        <f>Functional!$B297</f>
        <v>488</v>
      </c>
      <c r="C297" s="140" t="str">
        <f>Functional!$C297</f>
        <v>Misc. Service Revenues</v>
      </c>
      <c r="E297" s="135">
        <f>Functional!$E297</f>
        <v>3507226.26</v>
      </c>
      <c r="F297" s="135">
        <f>'Class Allocations'!E$144*Functional!$F297+'Class Allocations'!E$148*Functional!$G297+'Class Allocations'!E$152*Functional!$I297+'Class Allocations'!E$156*Functional!$H297+'Class Allocations'!E$160*Functional!$J297+'Class Allocations'!E$166*Functional!$K297+'Class Allocations'!E$172*Functional!$L297+'Class Allocations'!E$178*Functional!$M297+'Class Allocations'!E$184*Functional!$N297+Functional!$O297</f>
        <v>2266238.7877115286</v>
      </c>
      <c r="G297" s="135">
        <f>'Class Allocations'!F$144*Functional!$F297+'Class Allocations'!F$148*Functional!$G297+'Class Allocations'!F$152*Functional!$I297+'Class Allocations'!F$156*Functional!$H297+'Class Allocations'!F$160*Functional!$J297+'Class Allocations'!F$166*Functional!$K297+'Class Allocations'!F$172*Functional!$L297+'Class Allocations'!F$178*Functional!$M297+'Class Allocations'!F$184*Functional!$N297</f>
        <v>791864.26863593608</v>
      </c>
      <c r="H297" s="135">
        <f t="shared" si="107"/>
        <v>3058103.0563474647</v>
      </c>
      <c r="I297" s="4">
        <f>'Class Allocations'!H$144*Functional!$F297+'Class Allocations'!H$148*Functional!$G297+'Class Allocations'!H$152*Functional!$I297+'Class Allocations'!H$156*Functional!$H297+'Class Allocations'!H$160*Functional!$J297+'Class Allocations'!H$166*Functional!$K297+'Class Allocations'!H$172*Functional!$L297+'Class Allocations'!H$178*Functional!$M297+'Class Allocations'!H$184*Functional!$N297</f>
        <v>165464.93995061878</v>
      </c>
      <c r="J297" s="4">
        <f>'Class Allocations'!I$144*Functional!$F297+'Class Allocations'!I$148*Functional!$G297+'Class Allocations'!I$152*Functional!$I297+'Class Allocations'!I$156*Functional!$H297+'Class Allocations'!I$160*Functional!$J297+'Class Allocations'!I$166*Functional!$K297+'Class Allocations'!I$172*Functional!$L297+'Class Allocations'!I$178*Functional!$M297+'Class Allocations'!I$184*Functional!$N297</f>
        <v>18262.935604760165</v>
      </c>
      <c r="K297" s="4">
        <f>'Class Allocations'!J$144*Functional!$F297+'Class Allocations'!J$148*Functional!$G297+'Class Allocations'!J$152*Functional!$I297+'Class Allocations'!J$156*Functional!$H297+'Class Allocations'!J$160*Functional!$J297+'Class Allocations'!J$166*Functional!$K297+'Class Allocations'!J$172*Functional!$L297+'Class Allocations'!J$178*Functional!$M297+'Class Allocations'!J$184*Functional!$N297</f>
        <v>18123.0817600878</v>
      </c>
      <c r="L297" s="4">
        <f>'Class Allocations'!K$144*Functional!$F297+'Class Allocations'!K$148*Functional!$G297+'Class Allocations'!K$152*Functional!$I297+'Class Allocations'!K$156*Functional!$H297+'Class Allocations'!K$160*Functional!$J297+'Class Allocations'!K$166*Functional!$K297+'Class Allocations'!K$172*Functional!$L297+'Class Allocations'!K$178*Functional!$M297+'Class Allocations'!K$184*Functional!$N297</f>
        <v>189449.75746163586</v>
      </c>
      <c r="M297" s="4">
        <f>'Class Allocations'!L$144*Functional!$F297+'Class Allocations'!L$148*Functional!$G297+'Class Allocations'!L$152*Functional!$I297+'Class Allocations'!L$156*Functional!$H297+'Class Allocations'!L$160*Functional!$J297+'Class Allocations'!L$166*Functional!$K297+'Class Allocations'!L$172*Functional!$L297+'Class Allocations'!L$178*Functional!$M297+'Class Allocations'!L$184*Functional!$N297</f>
        <v>26304.825155892398</v>
      </c>
      <c r="N297" s="4">
        <f>'Class Allocations'!M$144*Functional!$F297+'Class Allocations'!M$148*Functional!$G297+'Class Allocations'!M$152*Functional!$I297+'Class Allocations'!M$156*Functional!$H297+'Class Allocations'!M$160*Functional!$J297+'Class Allocations'!M$166*Functional!$K297+'Class Allocations'!M$172*Functional!$L297+'Class Allocations'!M$178*Functional!$M297+'Class Allocations'!M$184*Functional!$N297+Functional!$P297</f>
        <v>15833.053227610926</v>
      </c>
      <c r="O297" s="4">
        <f>'Class Allocations'!N$144*Functional!$F297+'Class Allocations'!N$148*Functional!$G297+'Class Allocations'!N$152*Functional!$I297+'Class Allocations'!N$156*Functional!$H297+'Class Allocations'!N$160*Functional!$J297+'Class Allocations'!N$166*Functional!$K297+'Class Allocations'!N$172*Functional!$L297+'Class Allocations'!N$178*Functional!$M297+'Class Allocations'!N$184*Functional!$N297+Functional!$Q297</f>
        <v>15684.610491929403</v>
      </c>
      <c r="P297" s="4">
        <f>SUM(I297:O297)</f>
        <v>449123.20365253533</v>
      </c>
      <c r="R297" s="124">
        <f>SUM(F297:G297,I297:O297)-E297</f>
        <v>0</v>
      </c>
      <c r="S297" s="124">
        <f>E297-H297-P297</f>
        <v>0</v>
      </c>
    </row>
    <row r="298" spans="1:19">
      <c r="A298" s="117">
        <f>IF(ISBLANK(C298),"",MAX($A$276:$A297)+1)</f>
        <v>19</v>
      </c>
      <c r="B298" s="117">
        <f>Functional!$B298</f>
        <v>493</v>
      </c>
      <c r="C298" s="140" t="str">
        <f>Functional!$C298</f>
        <v>Rents from Gas Property</v>
      </c>
      <c r="E298" s="135">
        <f>Functional!$E298</f>
        <v>998809.62342833867</v>
      </c>
      <c r="F298" s="135">
        <f>'Class Allocations'!E$144*Functional!$F298+'Class Allocations'!E$148*Functional!$G298+'Class Allocations'!E$152*Functional!$I298+'Class Allocations'!E$156*Functional!$H298+'Class Allocations'!E$160*Functional!$J298+'Class Allocations'!E$166*Functional!$K298+'Class Allocations'!E$172*Functional!$L298+'Class Allocations'!E$178*Functional!$M298+'Class Allocations'!E$184*Functional!$N298+Functional!$O298</f>
        <v>619808.03001556592</v>
      </c>
      <c r="G298" s="135">
        <f>'Class Allocations'!F$144*Functional!$F298+'Class Allocations'!F$148*Functional!$G298+'Class Allocations'!F$152*Functional!$I298+'Class Allocations'!F$156*Functional!$H298+'Class Allocations'!F$160*Functional!$J298+'Class Allocations'!F$166*Functional!$K298+'Class Allocations'!F$172*Functional!$L298+'Class Allocations'!F$178*Functional!$M298+'Class Allocations'!F$184*Functional!$N298</f>
        <v>241380.2928091519</v>
      </c>
      <c r="H298" s="135">
        <f t="shared" si="107"/>
        <v>861188.32282471785</v>
      </c>
      <c r="I298" s="4">
        <f>'Class Allocations'!H$144*Functional!$F298+'Class Allocations'!H$148*Functional!$G298+'Class Allocations'!H$152*Functional!$I298+'Class Allocations'!H$156*Functional!$H298+'Class Allocations'!H$160*Functional!$J298+'Class Allocations'!H$166*Functional!$K298+'Class Allocations'!H$172*Functional!$L298+'Class Allocations'!H$178*Functional!$M298+'Class Allocations'!H$184*Functional!$N298</f>
        <v>49124.19364255276</v>
      </c>
      <c r="J298" s="4">
        <f>'Class Allocations'!I$144*Functional!$F298+'Class Allocations'!I$148*Functional!$G298+'Class Allocations'!I$152*Functional!$I298+'Class Allocations'!I$156*Functional!$H298+'Class Allocations'!I$160*Functional!$J298+'Class Allocations'!I$166*Functional!$K298+'Class Allocations'!I$172*Functional!$L298+'Class Allocations'!I$178*Functional!$M298+'Class Allocations'!I$184*Functional!$N298</f>
        <v>5858.5711518984863</v>
      </c>
      <c r="K298" s="4">
        <f>'Class Allocations'!J$144*Functional!$F298+'Class Allocations'!J$148*Functional!$G298+'Class Allocations'!J$152*Functional!$I298+'Class Allocations'!J$156*Functional!$H298+'Class Allocations'!J$160*Functional!$J298+'Class Allocations'!J$166*Functional!$K298+'Class Allocations'!J$172*Functional!$L298+'Class Allocations'!J$178*Functional!$M298+'Class Allocations'!J$184*Functional!$N298</f>
        <v>5171.8358074500829</v>
      </c>
      <c r="L298" s="4">
        <f>'Class Allocations'!K$144*Functional!$F298+'Class Allocations'!K$148*Functional!$G298+'Class Allocations'!K$152*Functional!$I298+'Class Allocations'!K$156*Functional!$H298+'Class Allocations'!K$160*Functional!$J298+'Class Allocations'!K$166*Functional!$K298+'Class Allocations'!K$172*Functional!$L298+'Class Allocations'!K$178*Functional!$M298+'Class Allocations'!K$184*Functional!$N298</f>
        <v>61317.409262269059</v>
      </c>
      <c r="M298" s="4">
        <f>'Class Allocations'!L$144*Functional!$F298+'Class Allocations'!L$148*Functional!$G298+'Class Allocations'!L$152*Functional!$I298+'Class Allocations'!L$156*Functional!$H298+'Class Allocations'!L$160*Functional!$J298+'Class Allocations'!L$166*Functional!$K298+'Class Allocations'!L$172*Functional!$L298+'Class Allocations'!L$178*Functional!$M298+'Class Allocations'!L$184*Functional!$N298</f>
        <v>8923.1831467739485</v>
      </c>
      <c r="N298" s="4">
        <f>'Class Allocations'!M$144*Functional!$F298+'Class Allocations'!M$148*Functional!$G298+'Class Allocations'!M$152*Functional!$I298+'Class Allocations'!M$156*Functional!$H298+'Class Allocations'!M$160*Functional!$J298+'Class Allocations'!M$166*Functional!$K298+'Class Allocations'!M$172*Functional!$L298+'Class Allocations'!M$178*Functional!$M298+'Class Allocations'!M$184*Functional!$N298+Functional!$P298</f>
        <v>3442.5967802726632</v>
      </c>
      <c r="O298" s="4">
        <f>'Class Allocations'!N$144*Functional!$F298+'Class Allocations'!N$148*Functional!$G298+'Class Allocations'!N$152*Functional!$I298+'Class Allocations'!N$156*Functional!$H298+'Class Allocations'!N$160*Functional!$J298+'Class Allocations'!N$166*Functional!$K298+'Class Allocations'!N$172*Functional!$L298+'Class Allocations'!N$178*Functional!$M298+'Class Allocations'!N$184*Functional!$N298+Functional!$Q298</f>
        <v>3783.5108124039102</v>
      </c>
      <c r="P298" s="4">
        <f t="shared" ref="P298:P299" si="108">SUM(I298:O298)</f>
        <v>137621.30060362091</v>
      </c>
      <c r="R298" s="124">
        <f>SUM(F298:G298,I298:O298)-E298</f>
        <v>0</v>
      </c>
      <c r="S298" s="124">
        <f>E298-H298-P298</f>
        <v>0</v>
      </c>
    </row>
    <row r="299" spans="1:19">
      <c r="A299" s="117">
        <f>IF(ISBLANK(C299),"",MAX($A$276:$A298)+1)</f>
        <v>20</v>
      </c>
      <c r="B299" s="117">
        <f>Functional!$B299</f>
        <v>495</v>
      </c>
      <c r="C299" s="140" t="str">
        <f>Functional!$C299</f>
        <v>Other Gas Revenue</v>
      </c>
      <c r="E299" s="298">
        <f>Functional!$E299</f>
        <v>653819.56999999995</v>
      </c>
      <c r="F299" s="298">
        <f>'Class Allocations'!E$144*Functional!$F299+'Class Allocations'!E$148*Functional!$G299+'Class Allocations'!E$152*Functional!$I299+'Class Allocations'!E$156*Functional!$H299+'Class Allocations'!E$160*Functional!$J299+'Class Allocations'!E$166*Functional!$K299+'Class Allocations'!E$172*Functional!$L299+'Class Allocations'!E$178*Functional!$M299+'Class Allocations'!E$184*Functional!$N299+Functional!$O299</f>
        <v>422473.81829847302</v>
      </c>
      <c r="G299" s="298">
        <f>'Class Allocations'!F$144*Functional!$F299+'Class Allocations'!F$148*Functional!$G299+'Class Allocations'!F$152*Functional!$I299+'Class Allocations'!F$156*Functional!$H299+'Class Allocations'!F$160*Functional!$J299+'Class Allocations'!F$166*Functional!$K299+'Class Allocations'!F$172*Functional!$L299+'Class Allocations'!F$178*Functional!$M299+'Class Allocations'!F$184*Functional!$N299</f>
        <v>147619.89025992074</v>
      </c>
      <c r="H299" s="298">
        <f t="shared" si="107"/>
        <v>570093.70855839376</v>
      </c>
      <c r="I299" s="5">
        <f>'Class Allocations'!H$144*Functional!$F299+'Class Allocations'!H$148*Functional!$G299+'Class Allocations'!H$152*Functional!$I299+'Class Allocations'!H$156*Functional!$H299+'Class Allocations'!H$160*Functional!$J299+'Class Allocations'!H$166*Functional!$K299+'Class Allocations'!H$172*Functional!$L299+'Class Allocations'!H$178*Functional!$M299+'Class Allocations'!H$184*Functional!$N299</f>
        <v>30846.089721223001</v>
      </c>
      <c r="J299" s="5">
        <f>'Class Allocations'!I$144*Functional!$F299+'Class Allocations'!I$148*Functional!$G299+'Class Allocations'!I$152*Functional!$I299+'Class Allocations'!I$156*Functional!$H299+'Class Allocations'!I$160*Functional!$J299+'Class Allocations'!I$166*Functional!$K299+'Class Allocations'!I$172*Functional!$L299+'Class Allocations'!I$178*Functional!$M299+'Class Allocations'!I$184*Functional!$N299</f>
        <v>3404.5892163347285</v>
      </c>
      <c r="K299" s="5">
        <f>'Class Allocations'!J$144*Functional!$F299+'Class Allocations'!J$148*Functional!$G299+'Class Allocations'!J$152*Functional!$I299+'Class Allocations'!J$156*Functional!$H299+'Class Allocations'!J$160*Functional!$J299+'Class Allocations'!J$166*Functional!$K299+'Class Allocations'!J$172*Functional!$L299+'Class Allocations'!J$178*Functional!$M299+'Class Allocations'!J$184*Functional!$N299</f>
        <v>3378.517564890567</v>
      </c>
      <c r="L299" s="5">
        <f>'Class Allocations'!K$144*Functional!$F299+'Class Allocations'!K$148*Functional!$G299+'Class Allocations'!K$152*Functional!$I299+'Class Allocations'!K$156*Functional!$H299+'Class Allocations'!K$160*Functional!$J299+'Class Allocations'!K$166*Functional!$K299+'Class Allocations'!K$172*Functional!$L299+'Class Allocations'!K$178*Functional!$M299+'Class Allocations'!K$184*Functional!$N299</f>
        <v>35317.356160583447</v>
      </c>
      <c r="M299" s="5">
        <f>'Class Allocations'!L$144*Functional!$F299+'Class Allocations'!L$148*Functional!$G299+'Class Allocations'!L$152*Functional!$I299+'Class Allocations'!L$156*Functional!$H299+'Class Allocations'!L$160*Functional!$J299+'Class Allocations'!L$166*Functional!$K299+'Class Allocations'!L$172*Functional!$L299+'Class Allocations'!L$178*Functional!$M299+'Class Allocations'!L$184*Functional!$N299</f>
        <v>4903.7638855814093</v>
      </c>
      <c r="N299" s="5">
        <f>'Class Allocations'!M$144*Functional!$F299+'Class Allocations'!M$148*Functional!$G299+'Class Allocations'!M$152*Functional!$I299+'Class Allocations'!M$156*Functional!$H299+'Class Allocations'!M$160*Functional!$J299+'Class Allocations'!M$166*Functional!$K299+'Class Allocations'!M$172*Functional!$L299+'Class Allocations'!M$178*Functional!$M299+'Class Allocations'!M$184*Functional!$N299+Functional!$P299</f>
        <v>2951.6088457502851</v>
      </c>
      <c r="O299" s="5">
        <f>'Class Allocations'!N$144*Functional!$F299+'Class Allocations'!N$148*Functional!$G299+'Class Allocations'!N$152*Functional!$I299+'Class Allocations'!N$156*Functional!$H299+'Class Allocations'!N$160*Functional!$J299+'Class Allocations'!N$166*Functional!$K299+'Class Allocations'!N$172*Functional!$L299+'Class Allocations'!N$178*Functional!$M299+'Class Allocations'!N$184*Functional!$N299+Functional!$Q299</f>
        <v>2923.9360472428634</v>
      </c>
      <c r="P299" s="5">
        <f t="shared" si="108"/>
        <v>83725.861441606306</v>
      </c>
      <c r="R299" s="124">
        <f>SUM(F299:G299,I299:O299)-E299</f>
        <v>0</v>
      </c>
      <c r="S299" s="124">
        <f>E299-H299-P299</f>
        <v>-1.1641532182693481E-10</v>
      </c>
    </row>
    <row r="300" spans="1:19">
      <c r="A300" s="117">
        <f>IF(ISBLANK(C300),"",MAX($A$276:$A299)+1)</f>
        <v>21</v>
      </c>
      <c r="C300" s="169" t="str">
        <f>Functional!$C300</f>
        <v>Total Other Operating Revenues</v>
      </c>
      <c r="E300" s="135">
        <f t="shared" ref="E300:P300" si="109">SUM(E296:E299)</f>
        <v>5667962.7734283386</v>
      </c>
      <c r="F300" s="135">
        <f t="shared" si="109"/>
        <v>3816627.9560255674</v>
      </c>
      <c r="G300" s="135">
        <f t="shared" si="109"/>
        <v>1180864.4517050087</v>
      </c>
      <c r="H300" s="135">
        <f t="shared" si="109"/>
        <v>4997492.4077305757</v>
      </c>
      <c r="I300" s="4">
        <f t="shared" si="109"/>
        <v>245435.22331439453</v>
      </c>
      <c r="J300" s="4">
        <f t="shared" si="109"/>
        <v>27526.095972993378</v>
      </c>
      <c r="K300" s="4">
        <f t="shared" si="109"/>
        <v>26673.435132428451</v>
      </c>
      <c r="L300" s="4">
        <f t="shared" si="109"/>
        <v>286084.5228844884</v>
      </c>
      <c r="M300" s="4">
        <f t="shared" si="109"/>
        <v>40131.772188247756</v>
      </c>
      <c r="N300" s="4">
        <f t="shared" si="109"/>
        <v>22227.258853633874</v>
      </c>
      <c r="O300" s="4">
        <f t="shared" si="109"/>
        <v>22392.057351576175</v>
      </c>
      <c r="P300" s="4">
        <f t="shared" si="109"/>
        <v>670470.36569776258</v>
      </c>
      <c r="R300" s="124">
        <f>SUM(F300:G300,I300:O300)-E300</f>
        <v>0</v>
      </c>
      <c r="S300" s="124">
        <f>E300-H300-P300</f>
        <v>0</v>
      </c>
    </row>
    <row r="301" spans="1:19">
      <c r="A301" s="117" t="str">
        <f>IF(ISBLANK(C301),"",MAX($A$276:$A300)+1)</f>
        <v/>
      </c>
      <c r="E301" s="491"/>
      <c r="F301" s="491"/>
      <c r="G301" s="135"/>
      <c r="H301" s="135"/>
      <c r="I301" s="4"/>
      <c r="J301" s="4"/>
      <c r="K301" s="4"/>
      <c r="L301" s="4"/>
      <c r="M301" s="4"/>
      <c r="N301" s="4"/>
      <c r="O301" s="4"/>
      <c r="P301" s="4"/>
      <c r="R301" s="124"/>
      <c r="S301" s="124"/>
    </row>
    <row r="302" spans="1:19">
      <c r="A302" s="117" t="str">
        <f>IF(ISBLANK(C302),"",MAX($A$276:$A301)+1)</f>
        <v/>
      </c>
      <c r="F302" s="135"/>
      <c r="G302" s="135"/>
      <c r="H302" s="135"/>
      <c r="I302" s="4"/>
      <c r="J302" s="4"/>
      <c r="K302" s="4"/>
      <c r="L302" s="4"/>
      <c r="M302" s="4"/>
      <c r="N302" s="4"/>
      <c r="O302" s="4"/>
      <c r="P302" s="4"/>
    </row>
    <row r="303" spans="1:19">
      <c r="A303" s="117" t="str">
        <f>IF(ISBLANK(C303),"",MAX($A$276:$A302)+1)</f>
        <v/>
      </c>
      <c r="F303" s="135"/>
      <c r="G303" s="135"/>
      <c r="H303" s="135"/>
      <c r="I303" s="4"/>
      <c r="J303" s="4"/>
      <c r="K303" s="4"/>
      <c r="L303" s="4"/>
      <c r="M303" s="4"/>
      <c r="N303" s="4"/>
      <c r="O303" s="4"/>
      <c r="P303" s="4"/>
    </row>
    <row r="304" spans="1:19">
      <c r="A304" s="117" t="str">
        <f>IF(ISBLANK(C304),"",MAX($A$276:$A303)+1)</f>
        <v/>
      </c>
      <c r="F304" s="135"/>
      <c r="G304" s="135"/>
      <c r="H304" s="135"/>
      <c r="I304" s="4"/>
      <c r="J304" s="4"/>
      <c r="K304" s="4"/>
      <c r="L304" s="4"/>
      <c r="M304" s="4"/>
      <c r="N304" s="4"/>
      <c r="O304" s="4"/>
      <c r="P304" s="4"/>
    </row>
    <row r="305" spans="1:16">
      <c r="A305" s="117" t="str">
        <f>IF(ISBLANK(C305),"",MAX($A$276:$A304)+1)</f>
        <v/>
      </c>
      <c r="F305" s="135"/>
      <c r="G305" s="135"/>
      <c r="H305" s="135"/>
      <c r="I305" s="4"/>
      <c r="J305" s="4"/>
      <c r="K305" s="4"/>
      <c r="L305" s="4"/>
      <c r="M305" s="4"/>
      <c r="N305" s="4"/>
      <c r="O305" s="4"/>
      <c r="P305" s="4"/>
    </row>
    <row r="306" spans="1:16">
      <c r="A306" s="117" t="str">
        <f>IF(ISBLANK(C306),"",MAX($A$276:$A305)+1)</f>
        <v/>
      </c>
      <c r="F306" s="135"/>
      <c r="G306" s="135"/>
      <c r="H306" s="135"/>
      <c r="I306" s="4"/>
      <c r="J306" s="4"/>
      <c r="K306" s="4"/>
      <c r="L306" s="4"/>
      <c r="M306" s="4"/>
      <c r="N306" s="4"/>
      <c r="O306" s="4"/>
      <c r="P306" s="4"/>
    </row>
    <row r="307" spans="1:16">
      <c r="A307" s="117" t="str">
        <f>IF(ISBLANK(C307),"",MAX($A$276:$A306)+1)</f>
        <v/>
      </c>
      <c r="F307" s="135"/>
      <c r="G307" s="135"/>
      <c r="H307" s="135"/>
      <c r="I307" s="4"/>
      <c r="J307" s="4"/>
      <c r="K307" s="4"/>
      <c r="L307" s="4"/>
      <c r="M307" s="4"/>
      <c r="N307" s="4"/>
      <c r="O307" s="4"/>
      <c r="P307" s="4"/>
    </row>
  </sheetData>
  <printOptions horizontalCentered="1"/>
  <pageMargins left="1" right="1" top="1" bottom="1" header="0.5" footer="0.5"/>
  <pageSetup scale="50" orientation="landscape" r:id="rId1"/>
  <headerFooter scaleWithDoc="0"/>
  <rowBreaks count="5" manualBreakCount="5">
    <brk id="27" max="16383" man="1"/>
    <brk id="107" max="16383" man="1"/>
    <brk id="143" max="16383" man="1"/>
    <brk id="209" max="16383" man="1"/>
    <brk id="264" max="16383" man="1"/>
  </rowBreaks>
  <ignoredErrors>
    <ignoredError sqref="M293:S293" evalError="1"/>
    <ignoredError sqref="H19:H21 H14 A287 H22:H24 A18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69B3-D392-489E-A470-0BA93827B45C}">
  <dimension ref="A1:M39"/>
  <sheetViews>
    <sheetView tabSelected="1" topLeftCell="A7" zoomScale="110" zoomScaleNormal="110" workbookViewId="0">
      <selection activeCell="R11" sqref="R11"/>
    </sheetView>
  </sheetViews>
  <sheetFormatPr defaultColWidth="9.140625" defaultRowHeight="12.75"/>
  <cols>
    <col min="1" max="1" width="6.42578125" style="155" customWidth="1"/>
    <col min="2" max="2" width="28.5703125" style="155" customWidth="1"/>
    <col min="3" max="3" width="11" style="155" customWidth="1"/>
    <col min="4" max="5" width="14" style="155" customWidth="1"/>
    <col min="6" max="7" width="9.140625" style="155"/>
    <col min="8" max="10" width="10.7109375" style="155" customWidth="1"/>
    <col min="11" max="11" width="9.140625" style="155"/>
    <col min="12" max="13" width="10.5703125" style="155" customWidth="1"/>
    <col min="14" max="16384" width="9.140625" style="155"/>
  </cols>
  <sheetData>
    <row r="1" spans="1:13">
      <c r="A1" s="235" t="str">
        <f>'Section 3 Exhibit C'!A1</f>
        <v>Black Hills Nebraska Gas, LLC</v>
      </c>
      <c r="B1" s="420"/>
      <c r="C1" s="420"/>
      <c r="D1" s="420"/>
      <c r="E1" s="421" t="s">
        <v>677</v>
      </c>
    </row>
    <row r="2" spans="1:13">
      <c r="A2" s="420" t="s">
        <v>493</v>
      </c>
      <c r="B2" s="420"/>
      <c r="C2" s="420"/>
      <c r="D2" s="420"/>
      <c r="E2" s="420"/>
    </row>
    <row r="3" spans="1:13">
      <c r="A3" s="422" t="str">
        <f>'COS Statement N'!A3</f>
        <v>FOR THE PRO FORMA PERIOD ENDED DECEMBER 31, 2020</v>
      </c>
      <c r="B3" s="420"/>
      <c r="C3" s="420"/>
      <c r="D3" s="420"/>
      <c r="E3" s="420"/>
    </row>
    <row r="4" spans="1:13">
      <c r="A4" s="422"/>
      <c r="B4" s="420"/>
      <c r="C4" s="420"/>
      <c r="D4" s="420"/>
      <c r="E4" s="420"/>
    </row>
    <row r="5" spans="1:13">
      <c r="A5" s="237"/>
      <c r="B5" s="423" t="s">
        <v>229</v>
      </c>
      <c r="C5" s="423" t="s">
        <v>230</v>
      </c>
      <c r="D5" s="423" t="s">
        <v>424</v>
      </c>
      <c r="E5" s="424" t="s">
        <v>425</v>
      </c>
    </row>
    <row r="6" spans="1:13">
      <c r="A6" s="237"/>
    </row>
    <row r="7" spans="1:13" ht="25.5">
      <c r="A7" s="425" t="s">
        <v>434</v>
      </c>
      <c r="B7" s="426" t="s">
        <v>8</v>
      </c>
      <c r="C7" s="427"/>
      <c r="D7" s="428" t="s">
        <v>22</v>
      </c>
      <c r="E7" s="429" t="s">
        <v>24</v>
      </c>
    </row>
    <row r="8" spans="1:13">
      <c r="A8" s="430"/>
      <c r="B8" s="423"/>
      <c r="C8" s="423"/>
      <c r="D8" s="430"/>
      <c r="E8" s="430"/>
    </row>
    <row r="9" spans="1:13">
      <c r="A9" s="431">
        <v>1</v>
      </c>
      <c r="B9" s="616" t="s">
        <v>674</v>
      </c>
      <c r="C9" s="616"/>
      <c r="D9" s="430"/>
      <c r="E9" s="430"/>
    </row>
    <row r="10" spans="1:13">
      <c r="A10" s="431">
        <f>1+A9</f>
        <v>2</v>
      </c>
      <c r="B10" s="617" t="s">
        <v>673</v>
      </c>
      <c r="C10" s="616"/>
      <c r="D10" s="618">
        <f>'Class Allocations'!E217</f>
        <v>6.9927808417913546</v>
      </c>
      <c r="E10" s="618">
        <f>'Class Allocations'!F217</f>
        <v>13.985669621019971</v>
      </c>
      <c r="L10" s="618">
        <v>7.4866378143240953</v>
      </c>
      <c r="M10" s="618">
        <v>14.973391189040782</v>
      </c>
    </row>
    <row r="11" spans="1:13">
      <c r="A11" s="431">
        <f>1+A10</f>
        <v>3</v>
      </c>
      <c r="B11" s="619" t="s">
        <v>34</v>
      </c>
      <c r="C11" s="237"/>
      <c r="D11" s="618">
        <f>'Class Allocations'!E221</f>
        <v>6.9907638222012354</v>
      </c>
      <c r="E11" s="618">
        <f>'Class Allocations'!F221</f>
        <v>13.981527644402471</v>
      </c>
      <c r="L11" s="618">
        <v>7.2411483754474872</v>
      </c>
      <c r="M11" s="618">
        <v>14.482296750894976</v>
      </c>
    </row>
    <row r="12" spans="1:13">
      <c r="A12" s="431">
        <f t="shared" ref="A12:A37" si="0">1+A11</f>
        <v>4</v>
      </c>
      <c r="B12" s="619" t="s">
        <v>35</v>
      </c>
      <c r="C12" s="237"/>
      <c r="D12" s="618">
        <f>'Class Allocations'!E223</f>
        <v>4.6462999413375252</v>
      </c>
      <c r="E12" s="618">
        <f>'Class Allocations'!F223</f>
        <v>16.262049794681342</v>
      </c>
      <c r="L12" s="618">
        <v>4.9170319592579022</v>
      </c>
      <c r="M12" s="618">
        <v>17.20961185740266</v>
      </c>
    </row>
    <row r="13" spans="1:13">
      <c r="A13" s="431">
        <f>1+A12</f>
        <v>5</v>
      </c>
      <c r="B13" s="432" t="s">
        <v>415</v>
      </c>
      <c r="C13" s="577"/>
      <c r="D13" s="618">
        <f>'Class Allocations'!E225</f>
        <v>5.2259003293487574</v>
      </c>
      <c r="E13" s="618">
        <f>'Class Allocations'!F225</f>
        <v>7.8388504940231352</v>
      </c>
      <c r="L13" s="618">
        <v>5.3304207391109459</v>
      </c>
      <c r="M13" s="618">
        <v>7.9956311086664194</v>
      </c>
    </row>
    <row r="14" spans="1:13">
      <c r="A14" s="431">
        <f t="shared" si="0"/>
        <v>6</v>
      </c>
      <c r="B14" s="432" t="s">
        <v>494</v>
      </c>
      <c r="C14" s="577"/>
      <c r="D14" s="620">
        <f>'Class Allocations'!E228</f>
        <v>-0.46930781874733946</v>
      </c>
      <c r="E14" s="620">
        <f>'Class Allocations'!F228</f>
        <v>-0.93064762175364601</v>
      </c>
      <c r="L14" s="620">
        <v>-0.55428390763622037</v>
      </c>
      <c r="M14" s="620">
        <v>-0.98770971323182932</v>
      </c>
    </row>
    <row r="15" spans="1:13">
      <c r="A15" s="431">
        <f t="shared" si="0"/>
        <v>7</v>
      </c>
      <c r="B15" s="433" t="s">
        <v>20</v>
      </c>
      <c r="C15" s="619"/>
      <c r="D15" s="621">
        <f>+SUM(D10:D14)</f>
        <v>23.386437115931532</v>
      </c>
      <c r="E15" s="621">
        <f>+SUM(E10:E14)</f>
        <v>51.137449932373279</v>
      </c>
      <c r="L15" s="621">
        <v>24.420954980504206</v>
      </c>
      <c r="M15" s="621">
        <v>53.673221192773006</v>
      </c>
    </row>
    <row r="16" spans="1:13">
      <c r="A16" s="431">
        <f t="shared" si="0"/>
        <v>8</v>
      </c>
      <c r="B16" s="237"/>
      <c r="C16" s="237"/>
      <c r="D16" s="434"/>
      <c r="E16" s="435"/>
    </row>
    <row r="17" spans="1:13">
      <c r="A17" s="431">
        <f t="shared" si="0"/>
        <v>9</v>
      </c>
      <c r="B17" s="436" t="s">
        <v>638</v>
      </c>
      <c r="C17" s="436"/>
      <c r="D17" s="434"/>
      <c r="E17" s="435"/>
    </row>
    <row r="18" spans="1:13">
      <c r="A18" s="431">
        <f t="shared" si="0"/>
        <v>10</v>
      </c>
      <c r="B18" s="437" t="s">
        <v>423</v>
      </c>
      <c r="C18" s="437" t="s">
        <v>524</v>
      </c>
      <c r="D18" s="664">
        <v>23</v>
      </c>
      <c r="E18" s="664">
        <v>51</v>
      </c>
      <c r="L18" s="412">
        <v>24.5</v>
      </c>
      <c r="M18" s="412">
        <v>54</v>
      </c>
    </row>
    <row r="19" spans="1:13">
      <c r="A19" s="431">
        <f t="shared" si="0"/>
        <v>11</v>
      </c>
      <c r="B19" s="438"/>
      <c r="C19" s="438"/>
      <c r="D19" s="439"/>
      <c r="E19" s="439"/>
      <c r="H19" s="225" t="s">
        <v>22</v>
      </c>
      <c r="I19" s="225" t="s">
        <v>24</v>
      </c>
      <c r="J19" s="225" t="s">
        <v>20</v>
      </c>
    </row>
    <row r="20" spans="1:13">
      <c r="A20" s="431">
        <f t="shared" si="0"/>
        <v>12</v>
      </c>
      <c r="B20" s="437" t="s">
        <v>535</v>
      </c>
      <c r="C20" s="437"/>
      <c r="D20" s="441" t="s">
        <v>527</v>
      </c>
      <c r="E20" s="441" t="s">
        <v>525</v>
      </c>
      <c r="H20" s="225" t="s">
        <v>23</v>
      </c>
      <c r="I20" s="225" t="s">
        <v>23</v>
      </c>
      <c r="J20" s="225" t="s">
        <v>21</v>
      </c>
      <c r="L20" s="155" t="s">
        <v>527</v>
      </c>
      <c r="M20" s="155" t="s">
        <v>525</v>
      </c>
    </row>
    <row r="21" spans="1:13">
      <c r="A21" s="431">
        <f t="shared" si="0"/>
        <v>13</v>
      </c>
      <c r="B21" s="442" t="s">
        <v>497</v>
      </c>
      <c r="C21" s="438" t="s">
        <v>511</v>
      </c>
      <c r="D21" s="443">
        <v>0.12113</v>
      </c>
      <c r="E21" s="443">
        <v>0.11131000000000001</v>
      </c>
      <c r="H21" s="407">
        <f>+'Class Allocations'!E22</f>
        <v>9103032.1119701117</v>
      </c>
      <c r="I21" s="407">
        <f>+'Class Allocations'!F22</f>
        <v>1585304.7754328288</v>
      </c>
      <c r="J21" s="407">
        <f>+'Class Allocations'!G22</f>
        <v>10688336.887402941</v>
      </c>
      <c r="L21" s="155">
        <v>0.12089999999999999</v>
      </c>
      <c r="M21" s="155">
        <v>0.1181</v>
      </c>
    </row>
    <row r="22" spans="1:13">
      <c r="A22" s="431">
        <f t="shared" si="0"/>
        <v>14</v>
      </c>
      <c r="B22" s="442"/>
      <c r="C22" s="438"/>
      <c r="D22" s="443"/>
      <c r="E22" s="443"/>
      <c r="H22" s="483">
        <f>+'Revenue Proof'!D66</f>
        <v>9102750.9374590144</v>
      </c>
      <c r="I22" s="483">
        <f>+'Revenue Proof'!E66</f>
        <v>1585528.9451239388</v>
      </c>
      <c r="J22" s="483">
        <f>+'Revenue Proof'!C66</f>
        <v>10688279.882582951</v>
      </c>
    </row>
    <row r="23" spans="1:13">
      <c r="A23" s="431">
        <f t="shared" si="0"/>
        <v>15</v>
      </c>
      <c r="B23" s="438" t="s">
        <v>535</v>
      </c>
      <c r="C23" s="438"/>
      <c r="D23" s="444" t="s">
        <v>528</v>
      </c>
      <c r="E23" s="444" t="s">
        <v>526</v>
      </c>
      <c r="H23" s="407">
        <f>+H22-H21</f>
        <v>-281.17451109737158</v>
      </c>
      <c r="I23" s="407">
        <f>+I22-I21</f>
        <v>224.16969111002982</v>
      </c>
      <c r="J23" s="407">
        <f>+J22-J21</f>
        <v>-57.004819989204407</v>
      </c>
      <c r="L23" s="155" t="s">
        <v>528</v>
      </c>
      <c r="M23" s="155" t="s">
        <v>526</v>
      </c>
    </row>
    <row r="24" spans="1:13">
      <c r="A24" s="431">
        <f t="shared" si="0"/>
        <v>16</v>
      </c>
      <c r="B24" s="442" t="s">
        <v>498</v>
      </c>
      <c r="C24" s="438" t="s">
        <v>511</v>
      </c>
      <c r="D24" s="443">
        <f>+D21</f>
        <v>0.12113</v>
      </c>
      <c r="E24" s="443">
        <f>+E21</f>
        <v>0.11131000000000001</v>
      </c>
      <c r="H24" s="407"/>
      <c r="I24" s="407"/>
      <c r="J24" s="407"/>
      <c r="L24" s="155">
        <v>0.12089999999999999</v>
      </c>
      <c r="M24" s="155">
        <v>0.1181</v>
      </c>
    </row>
    <row r="25" spans="1:13">
      <c r="A25" s="431">
        <f t="shared" si="0"/>
        <v>17</v>
      </c>
      <c r="B25" s="438"/>
      <c r="C25" s="438"/>
      <c r="D25" s="439"/>
      <c r="E25" s="439"/>
      <c r="G25" s="407"/>
      <c r="H25" s="407"/>
      <c r="I25" s="407"/>
      <c r="J25" s="407"/>
    </row>
    <row r="26" spans="1:13">
      <c r="A26" s="431">
        <f t="shared" si="0"/>
        <v>18</v>
      </c>
      <c r="B26" s="440" t="s">
        <v>639</v>
      </c>
      <c r="C26" s="440"/>
      <c r="D26" s="434"/>
      <c r="E26" s="435"/>
      <c r="G26" s="407"/>
      <c r="H26" s="407"/>
      <c r="I26" s="407"/>
      <c r="J26" s="407"/>
    </row>
    <row r="27" spans="1:13">
      <c r="A27" s="431">
        <f t="shared" si="0"/>
        <v>19</v>
      </c>
      <c r="B27" s="437" t="s">
        <v>423</v>
      </c>
      <c r="C27" s="437" t="s">
        <v>524</v>
      </c>
      <c r="D27" s="434">
        <v>15.45</v>
      </c>
      <c r="E27" s="434">
        <v>28.43</v>
      </c>
      <c r="F27" s="412">
        <f>+D27/'Bill Impacts'!C37</f>
        <v>1.1444444444444444</v>
      </c>
      <c r="G27" s="412">
        <f>+D27/SUM('Bill Impacts'!D30:D37)</f>
        <v>1.0918727915194346</v>
      </c>
      <c r="H27" s="407"/>
      <c r="I27" s="407"/>
      <c r="J27" s="407"/>
    </row>
    <row r="28" spans="1:13">
      <c r="A28" s="431">
        <f t="shared" si="0"/>
        <v>20</v>
      </c>
      <c r="B28" s="437"/>
      <c r="C28" s="437"/>
      <c r="D28" s="434"/>
      <c r="E28" s="434"/>
      <c r="F28" s="412">
        <f>+D27/'Bill Impacts'!E37</f>
        <v>1.0510204081632653</v>
      </c>
      <c r="G28" s="412">
        <f>+D27/SUM('Bill Impacts'!F30:F37)</f>
        <v>0.82224587546567318</v>
      </c>
      <c r="H28" s="407"/>
      <c r="I28" s="407"/>
      <c r="J28" s="407"/>
    </row>
    <row r="29" spans="1:13">
      <c r="A29" s="431">
        <f t="shared" si="0"/>
        <v>21</v>
      </c>
      <c r="B29" s="437" t="s">
        <v>535</v>
      </c>
      <c r="C29" s="437"/>
      <c r="D29" s="441" t="s">
        <v>527</v>
      </c>
      <c r="E29" s="441" t="s">
        <v>525</v>
      </c>
      <c r="F29" s="412"/>
      <c r="G29" s="412"/>
      <c r="H29" s="483">
        <f>+'Revenue Proof'!D103</f>
        <v>9102699.2219387218</v>
      </c>
      <c r="I29" s="483">
        <f>+'Revenue Proof'!E103</f>
        <v>1586570.0340553652</v>
      </c>
      <c r="J29" s="483">
        <f>+'Revenue Proof'!C103</f>
        <v>10689269.255994087</v>
      </c>
    </row>
    <row r="30" spans="1:13">
      <c r="A30" s="431">
        <f t="shared" si="0"/>
        <v>22</v>
      </c>
      <c r="B30" s="442" t="s">
        <v>497</v>
      </c>
      <c r="C30" s="438" t="s">
        <v>511</v>
      </c>
      <c r="D30" s="443">
        <v>0.50858000000000003</v>
      </c>
      <c r="E30" s="443">
        <f>+D30</f>
        <v>0.50858000000000003</v>
      </c>
      <c r="F30" s="412">
        <f>+D30/'Bill Impacts'!E24</f>
        <v>1.0878716577540106</v>
      </c>
      <c r="G30" s="412"/>
      <c r="H30" s="407">
        <f>+H29-H21</f>
        <v>-332.8900313898921</v>
      </c>
      <c r="I30" s="407">
        <f>+I29-I21</f>
        <v>1265.2586225364357</v>
      </c>
      <c r="J30" s="407">
        <f>+J29-J21</f>
        <v>932.36859114654362</v>
      </c>
    </row>
    <row r="31" spans="1:13">
      <c r="A31" s="431">
        <f t="shared" si="0"/>
        <v>23</v>
      </c>
      <c r="B31" s="442"/>
      <c r="C31" s="438"/>
      <c r="D31" s="443"/>
      <c r="E31" s="443"/>
      <c r="F31" s="412"/>
      <c r="G31" s="412"/>
      <c r="H31" s="407"/>
      <c r="I31" s="407"/>
      <c r="J31" s="407"/>
    </row>
    <row r="32" spans="1:13">
      <c r="A32" s="431">
        <f t="shared" si="0"/>
        <v>24</v>
      </c>
      <c r="B32" s="438" t="s">
        <v>535</v>
      </c>
      <c r="C32" s="438"/>
      <c r="D32" s="444" t="s">
        <v>528</v>
      </c>
      <c r="E32" s="444" t="s">
        <v>526</v>
      </c>
      <c r="F32" s="412"/>
      <c r="G32" s="412"/>
      <c r="H32" s="407"/>
      <c r="I32" s="407"/>
      <c r="J32" s="407"/>
    </row>
    <row r="33" spans="1:10">
      <c r="A33" s="431">
        <f t="shared" si="0"/>
        <v>25</v>
      </c>
      <c r="B33" s="442" t="s">
        <v>498</v>
      </c>
      <c r="C33" s="438" t="s">
        <v>511</v>
      </c>
      <c r="D33" s="443">
        <v>0.15</v>
      </c>
      <c r="E33" s="443">
        <f>+D33</f>
        <v>0.15</v>
      </c>
      <c r="F33" s="412">
        <f>+D33/'Bill Impacts'!E27</f>
        <v>1.1210762331838564</v>
      </c>
      <c r="G33" s="412"/>
      <c r="H33" s="407"/>
      <c r="I33" s="407"/>
      <c r="J33" s="407"/>
    </row>
    <row r="34" spans="1:10">
      <c r="A34" s="431">
        <f t="shared" si="0"/>
        <v>26</v>
      </c>
      <c r="G34" s="407"/>
      <c r="H34" s="407"/>
      <c r="I34" s="407"/>
      <c r="J34" s="407"/>
    </row>
    <row r="35" spans="1:10">
      <c r="A35" s="431">
        <f t="shared" si="0"/>
        <v>27</v>
      </c>
      <c r="B35" s="408" t="s">
        <v>671</v>
      </c>
      <c r="H35" s="407"/>
      <c r="I35" s="407"/>
      <c r="J35" s="407"/>
    </row>
    <row r="36" spans="1:10">
      <c r="A36" s="431">
        <f t="shared" si="0"/>
        <v>28</v>
      </c>
      <c r="B36" s="437" t="s">
        <v>423</v>
      </c>
      <c r="C36" s="437" t="s">
        <v>524</v>
      </c>
      <c r="D36" s="434">
        <f>ROUND(('Class Allocations'!E20-'Rate Design'!D37*'Revenue Proof'!D19)/'Revenue Proof'!D12,2)</f>
        <v>21.32</v>
      </c>
      <c r="E36" s="434">
        <f>ROUND(('Class Allocations'!F20-'Rate Design'!E37*'Revenue Proof'!E19)/'Revenue Proof'!E12,2)</f>
        <v>38.43</v>
      </c>
      <c r="H36" s="483">
        <f>+'Revenue Proof'!D137</f>
        <v>9098692.2961725555</v>
      </c>
      <c r="I36" s="483">
        <f>+'Revenue Proof'!E137</f>
        <v>1583693.4071473274</v>
      </c>
      <c r="J36" s="483">
        <f>+'Revenue Proof'!C137</f>
        <v>10682385.703319885</v>
      </c>
    </row>
    <row r="37" spans="1:10">
      <c r="A37" s="431">
        <f t="shared" si="0"/>
        <v>29</v>
      </c>
      <c r="B37" s="155" t="s">
        <v>672</v>
      </c>
      <c r="C37" s="438" t="s">
        <v>511</v>
      </c>
      <c r="D37" s="622">
        <f>+D33</f>
        <v>0.15</v>
      </c>
      <c r="E37" s="622">
        <f>+E33</f>
        <v>0.15</v>
      </c>
      <c r="H37" s="407">
        <f>+H36-H21</f>
        <v>-4339.8157975561917</v>
      </c>
      <c r="I37" s="407">
        <f>+I36-I21</f>
        <v>-1611.3682855013758</v>
      </c>
      <c r="J37" s="407">
        <f>+J36-J21</f>
        <v>-5951.1840830557048</v>
      </c>
    </row>
    <row r="39" spans="1:10">
      <c r="G39" s="407"/>
      <c r="H39" s="407"/>
    </row>
  </sheetData>
  <pageMargins left="1" right="1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BCAAA-F201-42DB-B388-706A7EEEB286}">
  <dimension ref="A1:O137"/>
  <sheetViews>
    <sheetView topLeftCell="A65" zoomScale="120" zoomScaleNormal="120" workbookViewId="0">
      <selection activeCell="D107" sqref="D107"/>
    </sheetView>
  </sheetViews>
  <sheetFormatPr defaultColWidth="9.140625" defaultRowHeight="12.75"/>
  <cols>
    <col min="1" max="1" width="6" style="155" customWidth="1"/>
    <col min="2" max="2" width="46.5703125" style="155" customWidth="1"/>
    <col min="3" max="5" width="13.5703125" style="155" customWidth="1"/>
    <col min="6" max="6" width="9.140625" style="155"/>
    <col min="7" max="7" width="11.28515625" style="155" customWidth="1"/>
    <col min="8" max="8" width="10.5703125" style="155" customWidth="1"/>
    <col min="9" max="9" width="11.5703125" style="155" customWidth="1"/>
    <col min="10" max="10" width="4.140625" style="155" customWidth="1"/>
    <col min="11" max="11" width="13" style="155" customWidth="1"/>
    <col min="12" max="15" width="12.7109375" style="477" customWidth="1"/>
    <col min="16" max="16" width="10.85546875" style="155" bestFit="1" customWidth="1"/>
    <col min="17" max="16384" width="9.140625" style="155"/>
  </cols>
  <sheetData>
    <row r="1" spans="1:15">
      <c r="A1" s="235" t="str">
        <f>'COS Statement N'!A1</f>
        <v>BLACK HILLS NEBRASKA GAS, LLC</v>
      </c>
      <c r="B1" s="445"/>
      <c r="C1" s="445"/>
      <c r="D1" s="445"/>
      <c r="E1" s="421" t="s">
        <v>720</v>
      </c>
    </row>
    <row r="2" spans="1:15">
      <c r="A2" s="278" t="s">
        <v>512</v>
      </c>
      <c r="B2" s="445"/>
      <c r="C2" s="445"/>
      <c r="D2" s="445"/>
      <c r="E2" s="446" t="s">
        <v>680</v>
      </c>
    </row>
    <row r="3" spans="1:15">
      <c r="A3" s="235" t="str">
        <f>'COS Statement N'!A3</f>
        <v>FOR THE PRO FORMA PERIOD ENDED DECEMBER 31, 2020</v>
      </c>
      <c r="B3" s="445"/>
      <c r="C3" s="445"/>
      <c r="D3" s="445"/>
      <c r="E3" s="445"/>
    </row>
    <row r="4" spans="1:15">
      <c r="A4" s="447"/>
      <c r="B4" s="445"/>
      <c r="C4" s="445"/>
      <c r="D4" s="445"/>
      <c r="E4" s="445"/>
    </row>
    <row r="5" spans="1:15">
      <c r="A5" s="448"/>
      <c r="B5" s="264" t="s">
        <v>229</v>
      </c>
      <c r="C5" s="264" t="s">
        <v>230</v>
      </c>
      <c r="D5" s="264" t="s">
        <v>424</v>
      </c>
      <c r="E5" s="264" t="s">
        <v>425</v>
      </c>
    </row>
    <row r="6" spans="1:15">
      <c r="A6" s="448"/>
    </row>
    <row r="7" spans="1:15" ht="25.5">
      <c r="A7" s="449" t="s">
        <v>434</v>
      </c>
      <c r="B7" s="450" t="s">
        <v>8</v>
      </c>
      <c r="C7" s="428" t="s">
        <v>435</v>
      </c>
      <c r="D7" s="428" t="s">
        <v>22</v>
      </c>
      <c r="E7" s="428" t="s">
        <v>24</v>
      </c>
    </row>
    <row r="8" spans="1:15">
      <c r="A8" s="172"/>
      <c r="B8" s="237"/>
      <c r="C8" s="172"/>
      <c r="D8" s="172"/>
      <c r="E8" s="172"/>
      <c r="H8" s="495" t="s">
        <v>640</v>
      </c>
    </row>
    <row r="9" spans="1:15">
      <c r="A9" s="151">
        <v>1</v>
      </c>
      <c r="B9" s="451" t="s">
        <v>441</v>
      </c>
      <c r="C9" s="172"/>
      <c r="D9" s="172"/>
      <c r="E9" s="172"/>
    </row>
    <row r="10" spans="1:15">
      <c r="A10" s="151">
        <f>1+A9</f>
        <v>2</v>
      </c>
      <c r="B10" s="433" t="s">
        <v>199</v>
      </c>
      <c r="C10" s="413">
        <f>SUM(D10:E10)</f>
        <v>3409659</v>
      </c>
      <c r="D10" s="413">
        <f>'Section 3 Exhibit C'!$D$10+'Section 3 Exhibit C'!$D$12</f>
        <v>3068136</v>
      </c>
      <c r="E10" s="413">
        <f>'Section 3 Exhibit C'!$E$10+'Section 3 Exhibit C'!$E$12</f>
        <v>341523</v>
      </c>
      <c r="H10" s="155" t="s">
        <v>635</v>
      </c>
    </row>
    <row r="11" spans="1:15">
      <c r="A11" s="151">
        <f t="shared" ref="A11:A66" si="0">1+A10</f>
        <v>3</v>
      </c>
      <c r="B11" s="433" t="s">
        <v>66</v>
      </c>
      <c r="C11" s="452">
        <f>SUM(D11:E11)</f>
        <v>47190</v>
      </c>
      <c r="D11" s="452">
        <v>0</v>
      </c>
      <c r="E11" s="452">
        <f>'Section 3 Exhibit C'!$E$11</f>
        <v>47190</v>
      </c>
    </row>
    <row r="12" spans="1:15">
      <c r="A12" s="151">
        <f t="shared" si="0"/>
        <v>4</v>
      </c>
      <c r="B12" s="453" t="s">
        <v>20</v>
      </c>
      <c r="C12" s="265">
        <f t="shared" ref="C12:E12" si="1">SUM(C10:C11)</f>
        <v>3456849</v>
      </c>
      <c r="D12" s="265">
        <f t="shared" si="1"/>
        <v>3068136</v>
      </c>
      <c r="E12" s="265">
        <f t="shared" si="1"/>
        <v>388713</v>
      </c>
      <c r="H12" s="155" t="s">
        <v>22</v>
      </c>
      <c r="L12" s="479" t="s">
        <v>625</v>
      </c>
    </row>
    <row r="13" spans="1:15">
      <c r="A13" s="151">
        <f t="shared" si="0"/>
        <v>5</v>
      </c>
      <c r="B13" s="237"/>
      <c r="C13" s="413"/>
      <c r="D13" s="413"/>
      <c r="E13" s="413"/>
      <c r="K13" s="225" t="s">
        <v>199</v>
      </c>
      <c r="L13" s="225" t="s">
        <v>626</v>
      </c>
      <c r="M13" s="479" t="s">
        <v>629</v>
      </c>
      <c r="N13" s="479" t="s">
        <v>46</v>
      </c>
    </row>
    <row r="14" spans="1:15">
      <c r="A14" s="151">
        <f t="shared" si="0"/>
        <v>6</v>
      </c>
      <c r="B14" s="451" t="s">
        <v>510</v>
      </c>
      <c r="C14" s="413"/>
      <c r="D14" s="413"/>
      <c r="E14" s="413"/>
      <c r="I14" s="155" t="s">
        <v>623</v>
      </c>
      <c r="K14" s="479" t="s">
        <v>624</v>
      </c>
      <c r="L14" s="479" t="s">
        <v>627</v>
      </c>
      <c r="M14" s="479" t="s">
        <v>199</v>
      </c>
      <c r="N14" s="479" t="s">
        <v>628</v>
      </c>
      <c r="O14" s="225" t="s">
        <v>630</v>
      </c>
    </row>
    <row r="15" spans="1:15">
      <c r="A15" s="151">
        <f t="shared" si="0"/>
        <v>7</v>
      </c>
      <c r="B15" s="454" t="s">
        <v>535</v>
      </c>
      <c r="C15" s="413"/>
      <c r="D15" s="455" t="s">
        <v>527</v>
      </c>
      <c r="E15" s="455" t="s">
        <v>525</v>
      </c>
      <c r="H15" s="155" t="s">
        <v>495</v>
      </c>
      <c r="I15" s="478">
        <v>0.26</v>
      </c>
      <c r="K15" s="476">
        <f>+'Section 3 Exhibit C'!D18*'Revenue Proof'!I15</f>
        <v>49817060.280000001</v>
      </c>
      <c r="L15" s="407"/>
      <c r="M15" s="407">
        <f>+K15+L15</f>
        <v>49817060.280000001</v>
      </c>
      <c r="N15" s="407">
        <f>+'Section 3 Exhibit C'!D21*'Revenue Proof'!M15/'Revenue Proof'!M17</f>
        <v>419888.92454616807</v>
      </c>
      <c r="O15" s="407">
        <f>+M15+N15</f>
        <v>50236949.204546168</v>
      </c>
    </row>
    <row r="16" spans="1:15">
      <c r="A16" s="151">
        <f t="shared" si="0"/>
        <v>8</v>
      </c>
      <c r="B16" s="456" t="s">
        <v>495</v>
      </c>
      <c r="C16" s="413">
        <f>SUM(D16:E16)</f>
        <v>61085313.940192431</v>
      </c>
      <c r="D16" s="413">
        <f>$O$15</f>
        <v>50236949.204546168</v>
      </c>
      <c r="E16" s="413">
        <f>$O$22</f>
        <v>10848364.735646266</v>
      </c>
      <c r="H16" s="155" t="s">
        <v>496</v>
      </c>
      <c r="I16" s="478">
        <v>0.74</v>
      </c>
      <c r="K16" s="482">
        <f>+'Section 3 Exhibit C'!D18*'Revenue Proof'!I16</f>
        <v>141787017.72</v>
      </c>
      <c r="L16" s="483">
        <f>+'Section 3 Exhibit C'!D20</f>
        <v>-14695112.238850698</v>
      </c>
      <c r="M16" s="483">
        <f>+L16+K16</f>
        <v>127091905.4811493</v>
      </c>
      <c r="N16" s="483">
        <f>+'Section 3 Exhibit C'!D21-'Revenue Proof'!N15</f>
        <v>1071209.0037241154</v>
      </c>
      <c r="O16" s="483">
        <f>+N16+M16</f>
        <v>128163114.48487341</v>
      </c>
    </row>
    <row r="17" spans="1:15">
      <c r="A17" s="151">
        <f t="shared" si="0"/>
        <v>9</v>
      </c>
      <c r="B17" s="457" t="s">
        <v>535</v>
      </c>
      <c r="C17" s="413"/>
      <c r="D17" s="455" t="s">
        <v>528</v>
      </c>
      <c r="E17" s="455" t="s">
        <v>531</v>
      </c>
      <c r="I17" s="478"/>
      <c r="K17" s="407">
        <f>SUM(K15:K16)</f>
        <v>191604078</v>
      </c>
      <c r="L17" s="407">
        <f>SUM(L15:L16)</f>
        <v>-14695112.238850698</v>
      </c>
      <c r="M17" s="407">
        <f>+M15+M16</f>
        <v>176908965.76114929</v>
      </c>
      <c r="N17" s="407">
        <f>SUM(N15:N16)</f>
        <v>1491097.9282702836</v>
      </c>
      <c r="O17" s="407">
        <f>+O15+O16</f>
        <v>178400063.68941957</v>
      </c>
    </row>
    <row r="18" spans="1:15">
      <c r="A18" s="151">
        <f t="shared" si="0"/>
        <v>10</v>
      </c>
      <c r="B18" s="456" t="s">
        <v>496</v>
      </c>
      <c r="C18" s="452">
        <f>SUM(D18:E18)</f>
        <v>243556333.41486144</v>
      </c>
      <c r="D18" s="452">
        <f>$O$16</f>
        <v>128163114.48487341</v>
      </c>
      <c r="E18" s="452">
        <f>$O$23</f>
        <v>115393218.92998803</v>
      </c>
      <c r="K18" s="407"/>
      <c r="L18" s="407"/>
      <c r="M18" s="407"/>
      <c r="N18" s="407"/>
      <c r="O18" s="407"/>
    </row>
    <row r="19" spans="1:15">
      <c r="A19" s="151">
        <f t="shared" si="0"/>
        <v>11</v>
      </c>
      <c r="B19" s="458" t="s">
        <v>20</v>
      </c>
      <c r="C19" s="265">
        <f>C16+C18</f>
        <v>304641647.3550539</v>
      </c>
      <c r="D19" s="265">
        <f>D16+D18</f>
        <v>178400063.68941957</v>
      </c>
      <c r="E19" s="265">
        <f>E16+E18</f>
        <v>126241583.66563429</v>
      </c>
      <c r="H19" s="155" t="s">
        <v>24</v>
      </c>
      <c r="I19" s="478"/>
      <c r="K19" s="407"/>
      <c r="L19" s="481" t="s">
        <v>625</v>
      </c>
      <c r="M19" s="407"/>
      <c r="N19" s="407"/>
      <c r="O19" s="407"/>
    </row>
    <row r="20" spans="1:15">
      <c r="A20" s="151">
        <f t="shared" si="0"/>
        <v>12</v>
      </c>
      <c r="B20" s="237"/>
      <c r="C20" s="413"/>
      <c r="D20" s="413"/>
      <c r="E20" s="413"/>
      <c r="I20" s="478"/>
      <c r="K20" s="481" t="s">
        <v>199</v>
      </c>
      <c r="L20" s="481" t="s">
        <v>626</v>
      </c>
      <c r="M20" s="479" t="s">
        <v>629</v>
      </c>
      <c r="N20" s="479" t="s">
        <v>46</v>
      </c>
      <c r="O20" s="407"/>
    </row>
    <row r="21" spans="1:15">
      <c r="A21" s="151">
        <f t="shared" si="0"/>
        <v>13</v>
      </c>
      <c r="B21" s="451" t="s">
        <v>457</v>
      </c>
      <c r="C21" s="413"/>
      <c r="D21" s="413"/>
      <c r="E21" s="413"/>
      <c r="I21" s="155" t="s">
        <v>623</v>
      </c>
      <c r="K21" s="481" t="s">
        <v>624</v>
      </c>
      <c r="L21" s="481" t="s">
        <v>627</v>
      </c>
      <c r="M21" s="479" t="s">
        <v>199</v>
      </c>
      <c r="N21" s="479" t="s">
        <v>628</v>
      </c>
      <c r="O21" s="225" t="s">
        <v>630</v>
      </c>
    </row>
    <row r="22" spans="1:15">
      <c r="A22" s="151">
        <f t="shared" si="0"/>
        <v>14</v>
      </c>
      <c r="B22" s="459" t="s">
        <v>192</v>
      </c>
      <c r="C22" s="413">
        <f>SUM(D22:E22)</f>
        <v>129220028.74040459</v>
      </c>
      <c r="D22" s="413">
        <f>'Section 3 Exhibit C'!$D$64</f>
        <v>75773736.555325657</v>
      </c>
      <c r="E22" s="413">
        <f>'Section 3 Exhibit C'!$E$64</f>
        <v>53446292.185078934</v>
      </c>
      <c r="H22" s="155" t="s">
        <v>495</v>
      </c>
      <c r="I22" s="478">
        <v>0.08</v>
      </c>
      <c r="K22" s="407">
        <f>('Section 3 Exhibit C'!E18+'Section 3 Exhibit C'!E19)*'Revenue Proof'!I22</f>
        <v>10770332.800000001</v>
      </c>
      <c r="L22" s="407"/>
      <c r="M22" s="407">
        <f>+K22+L22</f>
        <v>10770332.800000001</v>
      </c>
      <c r="N22" s="407">
        <f>+'Section 3 Exhibit C'!E21*'Revenue Proof'!M22/'Revenue Proof'!M24</f>
        <v>78031.935646265905</v>
      </c>
      <c r="O22" s="407">
        <f>+M22+N22</f>
        <v>10848364.735646266</v>
      </c>
    </row>
    <row r="23" spans="1:15">
      <c r="A23" s="151">
        <f t="shared" si="0"/>
        <v>15</v>
      </c>
      <c r="B23" s="457" t="s">
        <v>459</v>
      </c>
      <c r="C23" s="413">
        <f>SUM(D23:E23)</f>
        <v>57752621.975817502</v>
      </c>
      <c r="D23" s="413">
        <f>'Section 3 Exhibit C'!$D$74</f>
        <v>36208211.503146574</v>
      </c>
      <c r="E23" s="413">
        <f>'Section 3 Exhibit C'!$E$74</f>
        <v>21544410.472670924</v>
      </c>
      <c r="H23" s="155" t="s">
        <v>496</v>
      </c>
      <c r="I23" s="478">
        <v>0.92</v>
      </c>
      <c r="K23" s="483">
        <f>('Section 3 Exhibit C'!E18+'Section 3 Exhibit C'!E19)*'Revenue Proof'!I23</f>
        <v>123858827.2</v>
      </c>
      <c r="L23" s="483">
        <f>+'Section 3 Exhibit C'!E20</f>
        <v>-9295627.950671602</v>
      </c>
      <c r="M23" s="483">
        <f>+L23+K23</f>
        <v>114563199.2493284</v>
      </c>
      <c r="N23" s="483">
        <f>+'Section 3 Exhibit C'!E21-'Revenue Proof'!N22</f>
        <v>830019.6806596294</v>
      </c>
      <c r="O23" s="483">
        <f>+N23+M23</f>
        <v>115393218.92998803</v>
      </c>
    </row>
    <row r="24" spans="1:15">
      <c r="A24" s="151">
        <f t="shared" si="0"/>
        <v>16</v>
      </c>
      <c r="B24" s="460" t="s">
        <v>513</v>
      </c>
      <c r="C24" s="452">
        <f>SUM(D24:E24)</f>
        <v>57612139.534120701</v>
      </c>
      <c r="D24" s="452">
        <f>'Section 3 Exhibit C'!$D$91</f>
        <v>46865765.274093807</v>
      </c>
      <c r="E24" s="452">
        <f>'Section 3 Exhibit C'!$E$91</f>
        <v>10746374.260026893</v>
      </c>
      <c r="K24" s="407">
        <f>SUM(K22:K23)</f>
        <v>134629160</v>
      </c>
      <c r="L24" s="407">
        <f>SUM(L22:L23)</f>
        <v>-9295627.950671602</v>
      </c>
      <c r="M24" s="407">
        <f>+M22+M23</f>
        <v>125333532.0493284</v>
      </c>
      <c r="N24" s="407">
        <f>SUM(N22:N23)</f>
        <v>908051.61630589527</v>
      </c>
      <c r="O24" s="407">
        <f>+O22+O23</f>
        <v>126241583.66563429</v>
      </c>
    </row>
    <row r="25" spans="1:15">
      <c r="A25" s="151">
        <f t="shared" si="0"/>
        <v>17</v>
      </c>
      <c r="B25" s="461" t="s">
        <v>190</v>
      </c>
      <c r="C25" s="413">
        <f>SUM(C22:C24)</f>
        <v>244584790.25034282</v>
      </c>
      <c r="D25" s="413">
        <f>SUM(D22:D24)</f>
        <v>158847713.33256602</v>
      </c>
      <c r="E25" s="413">
        <f>SUM(E22:E24)</f>
        <v>85737076.917776749</v>
      </c>
      <c r="K25" s="480"/>
      <c r="L25" s="480"/>
      <c r="M25" s="480"/>
      <c r="N25" s="480"/>
      <c r="O25" s="480"/>
    </row>
    <row r="26" spans="1:15">
      <c r="A26" s="151">
        <f t="shared" si="0"/>
        <v>18</v>
      </c>
      <c r="B26" s="237"/>
      <c r="C26" s="462"/>
      <c r="D26" s="640"/>
      <c r="E26" s="640"/>
    </row>
    <row r="27" spans="1:15">
      <c r="A27" s="151">
        <f t="shared" si="0"/>
        <v>19</v>
      </c>
      <c r="B27" s="463" t="s">
        <v>503</v>
      </c>
      <c r="C27" s="172"/>
      <c r="D27" s="172"/>
      <c r="E27" s="172"/>
      <c r="I27" s="477"/>
    </row>
    <row r="28" spans="1:15">
      <c r="A28" s="151">
        <f t="shared" si="0"/>
        <v>20</v>
      </c>
      <c r="B28" s="464" t="s">
        <v>504</v>
      </c>
      <c r="C28" s="214">
        <f>SUM(C24:C24)/SUM(C23:C24)</f>
        <v>0.49939113798763973</v>
      </c>
      <c r="D28" s="214">
        <f>SUM(D24:D24)/SUM(D23:D24)</f>
        <v>0.5641449596154825</v>
      </c>
      <c r="E28" s="214">
        <f>SUM(E24:E24)/SUM(E23:E24)</f>
        <v>0.33280003409595244</v>
      </c>
    </row>
    <row r="29" spans="1:15">
      <c r="A29" s="151">
        <f t="shared" si="0"/>
        <v>21</v>
      </c>
      <c r="B29" s="464" t="s">
        <v>505</v>
      </c>
      <c r="C29" s="214">
        <f>C23/SUM(C23:C24)</f>
        <v>0.50060886201236021</v>
      </c>
      <c r="D29" s="214">
        <f>D23/SUM(D23:D24)</f>
        <v>0.4358550403845175</v>
      </c>
      <c r="E29" s="214">
        <f>E23/SUM(E23:E24)</f>
        <v>0.66719996590404762</v>
      </c>
    </row>
    <row r="30" spans="1:15">
      <c r="A30" s="151"/>
      <c r="B30" s="433"/>
      <c r="C30" s="172"/>
      <c r="D30" s="172"/>
      <c r="E30" s="172"/>
    </row>
    <row r="31" spans="1:15">
      <c r="A31" s="465" t="str">
        <f>A1</f>
        <v>BLACK HILLS NEBRASKA GAS, LLC</v>
      </c>
      <c r="B31" s="433"/>
      <c r="C31" s="172"/>
      <c r="D31" s="172"/>
      <c r="E31" s="314" t="str">
        <f>E1</f>
        <v>EXHIBIT DNH-7</v>
      </c>
    </row>
    <row r="32" spans="1:15">
      <c r="A32" s="465" t="str">
        <f>A2</f>
        <v>REVENUE UNDER COST-BASE RATE DESIGN</v>
      </c>
      <c r="B32" s="433"/>
      <c r="C32" s="172"/>
      <c r="D32" s="172"/>
      <c r="E32" s="446" t="s">
        <v>681</v>
      </c>
    </row>
    <row r="33" spans="1:5">
      <c r="A33" s="465" t="str">
        <f>A3</f>
        <v>FOR THE PRO FORMA PERIOD ENDED DECEMBER 31, 2020</v>
      </c>
      <c r="B33" s="433"/>
      <c r="C33" s="172"/>
      <c r="D33" s="172"/>
      <c r="E33" s="172"/>
    </row>
    <row r="34" spans="1:5">
      <c r="A34" s="151"/>
      <c r="B34" s="433"/>
      <c r="C34" s="172"/>
      <c r="D34" s="172"/>
      <c r="E34" s="172"/>
    </row>
    <row r="35" spans="1:5">
      <c r="A35" s="448"/>
      <c r="B35" s="264" t="s">
        <v>229</v>
      </c>
      <c r="C35" s="264" t="s">
        <v>230</v>
      </c>
      <c r="D35" s="264" t="s">
        <v>424</v>
      </c>
      <c r="E35" s="264" t="s">
        <v>425</v>
      </c>
    </row>
    <row r="36" spans="1:5">
      <c r="A36" s="448"/>
    </row>
    <row r="37" spans="1:5" ht="25.5">
      <c r="A37" s="449" t="s">
        <v>434</v>
      </c>
      <c r="B37" s="450" t="s">
        <v>8</v>
      </c>
      <c r="C37" s="428" t="s">
        <v>435</v>
      </c>
      <c r="D37" s="428" t="s">
        <v>22</v>
      </c>
      <c r="E37" s="428" t="s">
        <v>24</v>
      </c>
    </row>
    <row r="38" spans="1:5">
      <c r="A38" s="151"/>
      <c r="B38" s="433"/>
      <c r="C38" s="172"/>
      <c r="D38" s="172"/>
      <c r="E38" s="172"/>
    </row>
    <row r="39" spans="1:5">
      <c r="A39" s="151">
        <f>A29+1</f>
        <v>22</v>
      </c>
      <c r="B39" s="463" t="s">
        <v>506</v>
      </c>
      <c r="C39" s="172"/>
      <c r="D39" s="172"/>
      <c r="E39" s="172"/>
    </row>
    <row r="40" spans="1:5">
      <c r="A40" s="151">
        <f t="shared" si="0"/>
        <v>23</v>
      </c>
      <c r="B40" s="466" t="s">
        <v>514</v>
      </c>
      <c r="C40" s="172"/>
      <c r="D40" s="467">
        <f>D22/D19</f>
        <v>0.4247405241247097</v>
      </c>
      <c r="E40" s="467">
        <f>E22/E19</f>
        <v>0.42336519103434045</v>
      </c>
    </row>
    <row r="41" spans="1:5">
      <c r="A41" s="151">
        <f t="shared" si="0"/>
        <v>24</v>
      </c>
      <c r="B41" s="468" t="s">
        <v>515</v>
      </c>
      <c r="C41" s="237"/>
      <c r="D41" s="469"/>
      <c r="E41" s="469"/>
    </row>
    <row r="42" spans="1:5">
      <c r="A42" s="151">
        <f t="shared" si="0"/>
        <v>25</v>
      </c>
      <c r="B42" s="470" t="s">
        <v>497</v>
      </c>
      <c r="C42" s="237"/>
      <c r="D42" s="467">
        <f>'Rate Design'!$D$21</f>
        <v>0.12113</v>
      </c>
      <c r="E42" s="467">
        <f>'Rate Design'!$E$21</f>
        <v>0.11131000000000001</v>
      </c>
    </row>
    <row r="43" spans="1:5">
      <c r="A43" s="151">
        <f t="shared" si="0"/>
        <v>26</v>
      </c>
      <c r="B43" s="470" t="s">
        <v>498</v>
      </c>
      <c r="C43" s="237"/>
      <c r="D43" s="467">
        <f>'Rate Design'!$D$24</f>
        <v>0.12113</v>
      </c>
      <c r="E43" s="467">
        <f>'Rate Design'!$E$24</f>
        <v>0.11131000000000001</v>
      </c>
    </row>
    <row r="44" spans="1:5">
      <c r="A44" s="151">
        <f t="shared" si="0"/>
        <v>27</v>
      </c>
      <c r="B44" s="466" t="s">
        <v>516</v>
      </c>
      <c r="C44" s="172"/>
      <c r="D44" s="471">
        <f>'Rate Design'!$D$18</f>
        <v>23</v>
      </c>
      <c r="E44" s="471">
        <f>'Rate Design'!$E$18</f>
        <v>51</v>
      </c>
    </row>
    <row r="45" spans="1:5">
      <c r="A45" s="151">
        <f t="shared" si="0"/>
        <v>28</v>
      </c>
      <c r="B45" s="466"/>
      <c r="C45" s="172"/>
      <c r="D45" s="172"/>
      <c r="E45" s="172"/>
    </row>
    <row r="46" spans="1:5">
      <c r="A46" s="151">
        <f t="shared" si="0"/>
        <v>29</v>
      </c>
      <c r="B46" s="463" t="s">
        <v>507</v>
      </c>
      <c r="C46" s="172"/>
      <c r="D46" s="172"/>
      <c r="E46" s="172"/>
    </row>
    <row r="47" spans="1:5">
      <c r="A47" s="151">
        <f t="shared" si="0"/>
        <v>30</v>
      </c>
      <c r="B47" s="464" t="s">
        <v>192</v>
      </c>
      <c r="C47" s="413">
        <f>C22</f>
        <v>129220028.74040459</v>
      </c>
      <c r="D47" s="413">
        <f>$D$22</f>
        <v>75773736.555325657</v>
      </c>
      <c r="E47" s="413">
        <f>$E$22</f>
        <v>53446292.185078934</v>
      </c>
    </row>
    <row r="48" spans="1:5">
      <c r="A48" s="151">
        <f t="shared" si="0"/>
        <v>31</v>
      </c>
      <c r="B48" s="468" t="s">
        <v>614</v>
      </c>
      <c r="C48" s="237"/>
      <c r="D48" s="472"/>
      <c r="E48" s="472"/>
    </row>
    <row r="49" spans="1:5">
      <c r="A49" s="151">
        <f t="shared" si="0"/>
        <v>32</v>
      </c>
      <c r="B49" s="468"/>
      <c r="C49" s="237"/>
      <c r="D49" s="473" t="s">
        <v>527</v>
      </c>
      <c r="E49" s="473" t="s">
        <v>525</v>
      </c>
    </row>
    <row r="50" spans="1:5">
      <c r="A50" s="151">
        <f t="shared" si="0"/>
        <v>33</v>
      </c>
      <c r="B50" s="470" t="s">
        <v>497</v>
      </c>
      <c r="C50" s="413">
        <f t="shared" ref="C50:C54" si="2">SUM(D50:E50)</f>
        <v>7292733.1358714635</v>
      </c>
      <c r="D50" s="472">
        <f>$D$42*$D$16</f>
        <v>6085201.6571466774</v>
      </c>
      <c r="E50" s="472">
        <f>$E$42*$E$16</f>
        <v>1207531.4787247861</v>
      </c>
    </row>
    <row r="51" spans="1:5">
      <c r="A51" s="151">
        <f t="shared" si="0"/>
        <v>34</v>
      </c>
      <c r="B51" s="470"/>
      <c r="C51" s="237"/>
      <c r="D51" s="474" t="s">
        <v>528</v>
      </c>
      <c r="E51" s="474" t="s">
        <v>526</v>
      </c>
    </row>
    <row r="52" spans="1:5">
      <c r="A52" s="151">
        <f t="shared" si="0"/>
        <v>35</v>
      </c>
      <c r="B52" s="470" t="s">
        <v>498</v>
      </c>
      <c r="C52" s="413">
        <f t="shared" si="2"/>
        <v>28368817.256649688</v>
      </c>
      <c r="D52" s="472">
        <f>+D43*D18</f>
        <v>15524398.057552718</v>
      </c>
      <c r="E52" s="472">
        <f>+E43*E18</f>
        <v>12844419.199096968</v>
      </c>
    </row>
    <row r="53" spans="1:5">
      <c r="A53" s="151">
        <f t="shared" si="0"/>
        <v>36</v>
      </c>
      <c r="B53" s="470"/>
      <c r="C53" s="237"/>
      <c r="D53" s="467"/>
      <c r="E53" s="467"/>
    </row>
    <row r="54" spans="1:5">
      <c r="A54" s="151">
        <f t="shared" si="0"/>
        <v>37</v>
      </c>
      <c r="B54" s="466" t="s">
        <v>191</v>
      </c>
      <c r="C54" s="413">
        <f t="shared" si="2"/>
        <v>90391491</v>
      </c>
      <c r="D54" s="413">
        <f>D44*D12</f>
        <v>70567128</v>
      </c>
      <c r="E54" s="413">
        <f>E44*E12</f>
        <v>19824363</v>
      </c>
    </row>
    <row r="55" spans="1:5">
      <c r="A55" s="151">
        <f t="shared" si="0"/>
        <v>38</v>
      </c>
      <c r="B55" s="466"/>
      <c r="C55" s="413"/>
      <c r="D55" s="413"/>
      <c r="E55" s="413"/>
    </row>
    <row r="56" spans="1:5">
      <c r="A56" s="151">
        <f t="shared" si="0"/>
        <v>39</v>
      </c>
      <c r="B56" s="464" t="s">
        <v>190</v>
      </c>
      <c r="C56" s="413">
        <f>SUM(C47:C54)</f>
        <v>255273070.13292575</v>
      </c>
      <c r="D56" s="413">
        <f>SUM(D47:D54)</f>
        <v>167950464.27002504</v>
      </c>
      <c r="E56" s="413">
        <f>SUM(E47:E54)</f>
        <v>87322605.862900689</v>
      </c>
    </row>
    <row r="57" spans="1:5">
      <c r="A57" s="151">
        <f t="shared" si="0"/>
        <v>40</v>
      </c>
      <c r="B57" s="237"/>
      <c r="C57" s="172"/>
      <c r="D57" s="640"/>
      <c r="E57" s="640"/>
    </row>
    <row r="58" spans="1:5">
      <c r="A58" s="151">
        <f t="shared" si="0"/>
        <v>41</v>
      </c>
      <c r="B58" s="463" t="s">
        <v>508</v>
      </c>
      <c r="C58" s="172"/>
      <c r="D58" s="172"/>
      <c r="E58" s="172"/>
    </row>
    <row r="59" spans="1:5">
      <c r="A59" s="151">
        <f t="shared" si="0"/>
        <v>42</v>
      </c>
      <c r="B59" s="464" t="s">
        <v>504</v>
      </c>
      <c r="C59" s="214">
        <f>+C54/(C50+C52+C54)</f>
        <v>0.717090916660445</v>
      </c>
      <c r="D59" s="214">
        <f>+D54/(D50+D52+D54)</f>
        <v>0.76556338839035054</v>
      </c>
      <c r="E59" s="214">
        <f>+E54/(E50+E52+E54)</f>
        <v>0.58519835388638142</v>
      </c>
    </row>
    <row r="60" spans="1:5">
      <c r="A60" s="151">
        <f t="shared" si="0"/>
        <v>43</v>
      </c>
      <c r="B60" s="464" t="s">
        <v>505</v>
      </c>
      <c r="C60" s="214">
        <f>(C50+C52)/(C50+C52+C54)</f>
        <v>0.28290908333955506</v>
      </c>
      <c r="D60" s="214">
        <f>(D50+D52)/(D50+D52+D54)</f>
        <v>0.23443661160964949</v>
      </c>
      <c r="E60" s="214">
        <f>(E50+E52)/(E50+E52+E54)</f>
        <v>0.41480164611361853</v>
      </c>
    </row>
    <row r="61" spans="1:5">
      <c r="A61" s="151">
        <f t="shared" si="0"/>
        <v>44</v>
      </c>
      <c r="B61" s="475"/>
      <c r="C61" s="172"/>
      <c r="D61" s="172"/>
      <c r="E61" s="172"/>
    </row>
    <row r="62" spans="1:5">
      <c r="A62" s="151">
        <f t="shared" si="0"/>
        <v>45</v>
      </c>
      <c r="B62" s="463" t="s">
        <v>509</v>
      </c>
      <c r="C62" s="172"/>
      <c r="D62" s="172"/>
      <c r="E62" s="172"/>
    </row>
    <row r="63" spans="1:5">
      <c r="A63" s="151">
        <f t="shared" si="0"/>
        <v>46</v>
      </c>
      <c r="B63" s="464" t="s">
        <v>192</v>
      </c>
      <c r="C63" s="476">
        <f>SUM(D63:E63)</f>
        <v>0</v>
      </c>
      <c r="D63" s="476">
        <f>$D$47-$D$22</f>
        <v>0</v>
      </c>
      <c r="E63" s="476">
        <f>$E$47-$E$22</f>
        <v>0</v>
      </c>
    </row>
    <row r="64" spans="1:5">
      <c r="A64" s="151">
        <f t="shared" si="0"/>
        <v>47</v>
      </c>
      <c r="B64" s="432" t="s">
        <v>459</v>
      </c>
      <c r="C64" s="476">
        <f>SUM(D64:E64)</f>
        <v>-22091071.583296347</v>
      </c>
      <c r="D64" s="476">
        <f>+D50+D52-D23</f>
        <v>-14598611.788447179</v>
      </c>
      <c r="E64" s="476">
        <f>+E50+E52-E23</f>
        <v>-7492459.7948491685</v>
      </c>
    </row>
    <row r="65" spans="1:9">
      <c r="A65" s="151">
        <f t="shared" si="0"/>
        <v>48</v>
      </c>
      <c r="B65" s="466" t="s">
        <v>191</v>
      </c>
      <c r="C65" s="482">
        <f>SUM(D65:E65)</f>
        <v>32779351.465879299</v>
      </c>
      <c r="D65" s="482">
        <f>D54-D24</f>
        <v>23701362.725906193</v>
      </c>
      <c r="E65" s="482">
        <f>E54-E24</f>
        <v>9077988.7399731074</v>
      </c>
    </row>
    <row r="66" spans="1:9">
      <c r="A66" s="151">
        <f t="shared" si="0"/>
        <v>49</v>
      </c>
      <c r="B66" s="464" t="s">
        <v>190</v>
      </c>
      <c r="C66" s="476">
        <f>SUM(C63:C65)</f>
        <v>10688279.882582951</v>
      </c>
      <c r="D66" s="476">
        <f>SUM(D63:D65)</f>
        <v>9102750.9374590144</v>
      </c>
      <c r="E66" s="476">
        <f>SUM(E63:E65)</f>
        <v>1585528.9451239388</v>
      </c>
      <c r="H66" s="564"/>
      <c r="I66" s="564"/>
    </row>
    <row r="68" spans="1:9">
      <c r="A68" s="465" t="str">
        <f>A1</f>
        <v>BLACK HILLS NEBRASKA GAS, LLC</v>
      </c>
      <c r="B68" s="433"/>
      <c r="C68" s="172"/>
      <c r="D68" s="172"/>
      <c r="E68" s="314" t="str">
        <f>E1</f>
        <v>EXHIBIT DNH-7</v>
      </c>
    </row>
    <row r="69" spans="1:9">
      <c r="A69" s="465" t="str">
        <f t="shared" ref="A69:A70" si="3">A2</f>
        <v>REVENUE UNDER COST-BASE RATE DESIGN</v>
      </c>
      <c r="B69" s="433"/>
      <c r="C69" s="172"/>
      <c r="D69" s="172"/>
      <c r="E69" s="446" t="s">
        <v>682</v>
      </c>
    </row>
    <row r="70" spans="1:9">
      <c r="A70" s="465" t="str">
        <f t="shared" si="3"/>
        <v>FOR THE PRO FORMA PERIOD ENDED DECEMBER 31, 2020</v>
      </c>
      <c r="B70" s="433"/>
      <c r="C70" s="172"/>
      <c r="D70" s="172"/>
      <c r="E70" s="172"/>
    </row>
    <row r="71" spans="1:9">
      <c r="A71" s="151"/>
      <c r="B71" s="433"/>
      <c r="C71" s="172"/>
      <c r="D71" s="172"/>
      <c r="E71" s="172"/>
    </row>
    <row r="72" spans="1:9">
      <c r="A72" s="448"/>
      <c r="B72" s="264" t="s">
        <v>229</v>
      </c>
      <c r="C72" s="264" t="s">
        <v>230</v>
      </c>
      <c r="D72" s="264" t="s">
        <v>424</v>
      </c>
      <c r="E72" s="264" t="s">
        <v>425</v>
      </c>
    </row>
    <row r="73" spans="1:9">
      <c r="A73" s="448"/>
    </row>
    <row r="74" spans="1:9" ht="25.5">
      <c r="A74" s="449" t="s">
        <v>434</v>
      </c>
      <c r="B74" s="450" t="s">
        <v>8</v>
      </c>
      <c r="C74" s="428" t="s">
        <v>435</v>
      </c>
      <c r="D74" s="428" t="s">
        <v>22</v>
      </c>
      <c r="E74" s="428" t="s">
        <v>24</v>
      </c>
    </row>
    <row r="75" spans="1:9">
      <c r="A75" s="151"/>
      <c r="B75" s="433"/>
      <c r="C75" s="172"/>
      <c r="D75" s="172"/>
      <c r="E75" s="172"/>
    </row>
    <row r="76" spans="1:9">
      <c r="A76" s="151">
        <f>A66+1</f>
        <v>50</v>
      </c>
      <c r="B76" s="463" t="s">
        <v>631</v>
      </c>
      <c r="C76" s="172"/>
      <c r="D76" s="172"/>
      <c r="E76" s="172"/>
    </row>
    <row r="77" spans="1:9">
      <c r="A77" s="151">
        <f t="shared" ref="A77:A103" si="4">1+A76</f>
        <v>51</v>
      </c>
      <c r="B77" s="466" t="s">
        <v>514</v>
      </c>
      <c r="C77" s="172"/>
      <c r="D77" s="467">
        <f>D40</f>
        <v>0.4247405241247097</v>
      </c>
      <c r="E77" s="467">
        <f>E40</f>
        <v>0.42336519103434045</v>
      </c>
    </row>
    <row r="78" spans="1:9">
      <c r="A78" s="151">
        <f t="shared" si="4"/>
        <v>52</v>
      </c>
      <c r="B78" s="468" t="s">
        <v>515</v>
      </c>
      <c r="C78" s="237"/>
      <c r="D78" s="469"/>
      <c r="E78" s="469"/>
    </row>
    <row r="79" spans="1:9">
      <c r="A79" s="151">
        <f t="shared" si="4"/>
        <v>53</v>
      </c>
      <c r="B79" s="470" t="s">
        <v>497</v>
      </c>
      <c r="C79" s="237"/>
      <c r="D79" s="467">
        <f>'Rate Design'!D30</f>
        <v>0.50858000000000003</v>
      </c>
      <c r="E79" s="467">
        <f>'Rate Design'!E30</f>
        <v>0.50858000000000003</v>
      </c>
    </row>
    <row r="80" spans="1:9">
      <c r="A80" s="151">
        <f t="shared" si="4"/>
        <v>54</v>
      </c>
      <c r="B80" s="470" t="s">
        <v>498</v>
      </c>
      <c r="C80" s="237"/>
      <c r="D80" s="467">
        <f>'Rate Design'!D33</f>
        <v>0.15</v>
      </c>
      <c r="E80" s="467">
        <f>'Rate Design'!E33</f>
        <v>0.15</v>
      </c>
    </row>
    <row r="81" spans="1:5">
      <c r="A81" s="151">
        <f t="shared" si="4"/>
        <v>55</v>
      </c>
      <c r="B81" s="466" t="s">
        <v>516</v>
      </c>
      <c r="C81" s="172"/>
      <c r="D81" s="471">
        <f>'Rate Design'!D27</f>
        <v>15.45</v>
      </c>
      <c r="E81" s="471">
        <f>'Rate Design'!E27</f>
        <v>28.43</v>
      </c>
    </row>
    <row r="82" spans="1:5">
      <c r="A82" s="151">
        <f t="shared" si="4"/>
        <v>56</v>
      </c>
      <c r="B82" s="466"/>
      <c r="C82" s="172"/>
      <c r="D82" s="172"/>
      <c r="E82" s="172"/>
    </row>
    <row r="83" spans="1:5">
      <c r="A83" s="151">
        <f t="shared" si="4"/>
        <v>57</v>
      </c>
      <c r="B83" s="463" t="s">
        <v>632</v>
      </c>
      <c r="C83" s="172"/>
      <c r="D83" s="172"/>
      <c r="E83" s="172"/>
    </row>
    <row r="84" spans="1:5">
      <c r="A84" s="151">
        <f t="shared" si="4"/>
        <v>58</v>
      </c>
      <c r="B84" s="464" t="s">
        <v>192</v>
      </c>
      <c r="C84" s="413">
        <f>C22</f>
        <v>129220028.74040459</v>
      </c>
      <c r="D84" s="413">
        <f>$D$22</f>
        <v>75773736.555325657</v>
      </c>
      <c r="E84" s="413">
        <f>$E$22</f>
        <v>53446292.185078934</v>
      </c>
    </row>
    <row r="85" spans="1:5">
      <c r="A85" s="151">
        <f t="shared" si="4"/>
        <v>59</v>
      </c>
      <c r="B85" s="468" t="s">
        <v>614</v>
      </c>
      <c r="C85" s="237"/>
      <c r="D85" s="472"/>
      <c r="E85" s="472"/>
    </row>
    <row r="86" spans="1:5">
      <c r="A86" s="151">
        <f t="shared" si="4"/>
        <v>60</v>
      </c>
      <c r="B86" s="468"/>
      <c r="C86" s="237"/>
      <c r="D86" s="473" t="s">
        <v>527</v>
      </c>
      <c r="E86" s="473" t="s">
        <v>525</v>
      </c>
    </row>
    <row r="87" spans="1:5">
      <c r="A87" s="151">
        <f t="shared" si="4"/>
        <v>61</v>
      </c>
      <c r="B87" s="470" t="s">
        <v>497</v>
      </c>
      <c r="C87" s="413">
        <f t="shared" ref="C87" si="5">SUM(D87:E87)</f>
        <v>31066768.96370307</v>
      </c>
      <c r="D87" s="472">
        <f>$D$16*$D$79</f>
        <v>25549507.626448091</v>
      </c>
      <c r="E87" s="472">
        <f>$E$16*$E$79</f>
        <v>5517261.3372549787</v>
      </c>
    </row>
    <row r="88" spans="1:5">
      <c r="A88" s="151">
        <f t="shared" si="4"/>
        <v>62</v>
      </c>
      <c r="B88" s="470"/>
      <c r="C88" s="237"/>
      <c r="D88" s="474" t="s">
        <v>528</v>
      </c>
      <c r="E88" s="474" t="s">
        <v>526</v>
      </c>
    </row>
    <row r="89" spans="1:5">
      <c r="A89" s="151">
        <f t="shared" si="4"/>
        <v>63</v>
      </c>
      <c r="B89" s="470" t="s">
        <v>498</v>
      </c>
      <c r="C89" s="413">
        <f t="shared" ref="C89" si="6">SUM(D89:E89)</f>
        <v>36533450.012229219</v>
      </c>
      <c r="D89" s="472">
        <f>$D$18*$D$80</f>
        <v>19224467.172731012</v>
      </c>
      <c r="E89" s="472">
        <f>$E$18*$E$80</f>
        <v>17308982.839498203</v>
      </c>
    </row>
    <row r="90" spans="1:5">
      <c r="A90" s="151">
        <f t="shared" si="4"/>
        <v>64</v>
      </c>
      <c r="B90" s="470"/>
      <c r="C90" s="237"/>
      <c r="D90" s="467"/>
      <c r="E90" s="467"/>
    </row>
    <row r="91" spans="1:5">
      <c r="A91" s="151">
        <f t="shared" si="4"/>
        <v>65</v>
      </c>
      <c r="B91" s="466" t="s">
        <v>191</v>
      </c>
      <c r="C91" s="413">
        <f t="shared" ref="C91" si="7">SUM(D91:E91)</f>
        <v>58453811.789999992</v>
      </c>
      <c r="D91" s="413">
        <f>$D$12*$D$81</f>
        <v>47402701.199999996</v>
      </c>
      <c r="E91" s="413">
        <f>$E$12*$E$81</f>
        <v>11051110.59</v>
      </c>
    </row>
    <row r="92" spans="1:5">
      <c r="A92" s="151">
        <f t="shared" si="4"/>
        <v>66</v>
      </c>
      <c r="B92" s="466"/>
      <c r="C92" s="413"/>
      <c r="D92" s="413"/>
      <c r="E92" s="413"/>
    </row>
    <row r="93" spans="1:5">
      <c r="A93" s="151">
        <f t="shared" si="4"/>
        <v>67</v>
      </c>
      <c r="B93" s="464" t="s">
        <v>190</v>
      </c>
      <c r="C93" s="413">
        <f>SUM(C84:C91)</f>
        <v>255274059.5063369</v>
      </c>
      <c r="D93" s="413">
        <f>SUM(D84:D91)</f>
        <v>167950412.55450475</v>
      </c>
      <c r="E93" s="413">
        <f>SUM(E84:E91)</f>
        <v>87323646.951832116</v>
      </c>
    </row>
    <row r="94" spans="1:5">
      <c r="A94" s="151">
        <f t="shared" si="4"/>
        <v>68</v>
      </c>
      <c r="B94" s="237"/>
      <c r="C94" s="172"/>
      <c r="D94" s="172"/>
      <c r="E94" s="172"/>
    </row>
    <row r="95" spans="1:5">
      <c r="A95" s="151">
        <f t="shared" si="4"/>
        <v>69</v>
      </c>
      <c r="B95" s="463" t="s">
        <v>633</v>
      </c>
      <c r="C95" s="172"/>
      <c r="D95" s="172"/>
      <c r="E95" s="172"/>
    </row>
    <row r="96" spans="1:5">
      <c r="A96" s="151">
        <f t="shared" si="4"/>
        <v>70</v>
      </c>
      <c r="B96" s="464" t="s">
        <v>504</v>
      </c>
      <c r="C96" s="214">
        <f>+C91/(C87+C89+C91)</f>
        <v>0.46372029069456688</v>
      </c>
      <c r="D96" s="214">
        <f>+D91/(D87+D89+D91)</f>
        <v>0.51425917333385029</v>
      </c>
      <c r="E96" s="214">
        <f>+E91/(E87+E89+E91)</f>
        <v>0.32620937101161818</v>
      </c>
    </row>
    <row r="97" spans="1:9">
      <c r="A97" s="151">
        <f t="shared" si="4"/>
        <v>71</v>
      </c>
      <c r="B97" s="464" t="s">
        <v>505</v>
      </c>
      <c r="C97" s="214">
        <f>(C87+C89)/(C87+C89+C91)</f>
        <v>0.53627970930543312</v>
      </c>
      <c r="D97" s="214">
        <f>(D87+D89)/(D87+D89+D91)</f>
        <v>0.48574082666614982</v>
      </c>
      <c r="E97" s="214">
        <f>(E87+E89)/(E87+E89+E91)</f>
        <v>0.67379062898838182</v>
      </c>
    </row>
    <row r="98" spans="1:9">
      <c r="A98" s="151">
        <f t="shared" si="4"/>
        <v>72</v>
      </c>
      <c r="B98" s="475"/>
      <c r="C98" s="172"/>
      <c r="D98" s="172"/>
      <c r="E98" s="172"/>
    </row>
    <row r="99" spans="1:9">
      <c r="A99" s="151">
        <f t="shared" si="4"/>
        <v>73</v>
      </c>
      <c r="B99" s="463" t="s">
        <v>634</v>
      </c>
      <c r="C99" s="172"/>
      <c r="D99" s="172"/>
      <c r="E99" s="172"/>
    </row>
    <row r="100" spans="1:9">
      <c r="A100" s="151">
        <f t="shared" si="4"/>
        <v>74</v>
      </c>
      <c r="B100" s="464" t="s">
        <v>192</v>
      </c>
      <c r="C100" s="476">
        <f>SUM(D100:E100)</f>
        <v>0</v>
      </c>
      <c r="D100" s="476">
        <f>$D$84-$D$22</f>
        <v>0</v>
      </c>
      <c r="E100" s="476">
        <f>$E$84-$E$22</f>
        <v>0</v>
      </c>
    </row>
    <row r="101" spans="1:9">
      <c r="A101" s="151">
        <f t="shared" si="4"/>
        <v>75</v>
      </c>
      <c r="B101" s="432" t="s">
        <v>459</v>
      </c>
      <c r="C101" s="476">
        <f>SUM(D101:E101)</f>
        <v>9847597.0001147911</v>
      </c>
      <c r="D101" s="476">
        <f>+D87+D89-D23</f>
        <v>8565763.296032533</v>
      </c>
      <c r="E101" s="476">
        <f>+E87+E89-E23</f>
        <v>1281833.704082258</v>
      </c>
    </row>
    <row r="102" spans="1:9">
      <c r="A102" s="151">
        <f t="shared" si="4"/>
        <v>76</v>
      </c>
      <c r="B102" s="466" t="s">
        <v>191</v>
      </c>
      <c r="C102" s="482">
        <f>SUM(D102:E102)</f>
        <v>841672.25587929599</v>
      </c>
      <c r="D102" s="482">
        <f>D91-D24</f>
        <v>536935.92590618879</v>
      </c>
      <c r="E102" s="482">
        <f>E91-E24</f>
        <v>304736.3299731072</v>
      </c>
      <c r="G102" s="225"/>
      <c r="H102" s="225"/>
      <c r="I102" s="225"/>
    </row>
    <row r="103" spans="1:9">
      <c r="A103" s="151">
        <f t="shared" si="4"/>
        <v>77</v>
      </c>
      <c r="B103" s="464" t="s">
        <v>190</v>
      </c>
      <c r="C103" s="476">
        <f>SUM(C100:C102)</f>
        <v>10689269.255994087</v>
      </c>
      <c r="D103" s="476">
        <f>SUM(D100:D102)</f>
        <v>9102699.2219387218</v>
      </c>
      <c r="E103" s="476">
        <f>SUM(E100:E102)</f>
        <v>1586570.0340553652</v>
      </c>
      <c r="G103" s="407"/>
      <c r="H103" s="407"/>
      <c r="I103" s="407"/>
    </row>
    <row r="106" spans="1:9">
      <c r="A106" s="465" t="str">
        <f>A1</f>
        <v>BLACK HILLS NEBRASKA GAS, LLC</v>
      </c>
      <c r="B106" s="433"/>
      <c r="C106" s="172"/>
      <c r="D106" s="172"/>
      <c r="E106" s="314" t="str">
        <f>E1</f>
        <v>EXHIBIT DNH-7</v>
      </c>
    </row>
    <row r="107" spans="1:9">
      <c r="A107" s="465" t="str">
        <f>A2</f>
        <v>REVENUE UNDER COST-BASE RATE DESIGN</v>
      </c>
      <c r="B107" s="433"/>
      <c r="C107" s="172"/>
      <c r="D107" s="172"/>
      <c r="E107" s="446" t="s">
        <v>683</v>
      </c>
    </row>
    <row r="108" spans="1:9">
      <c r="A108" s="465" t="str">
        <f>A3</f>
        <v>FOR THE PRO FORMA PERIOD ENDED DECEMBER 31, 2020</v>
      </c>
      <c r="B108" s="433"/>
      <c r="C108" s="172"/>
      <c r="D108" s="172"/>
      <c r="E108" s="172"/>
    </row>
    <row r="109" spans="1:9">
      <c r="A109" s="151"/>
      <c r="B109" s="433"/>
      <c r="C109" s="172"/>
      <c r="D109" s="172"/>
      <c r="E109" s="172"/>
    </row>
    <row r="110" spans="1:9">
      <c r="A110" s="448"/>
      <c r="B110" s="264" t="s">
        <v>229</v>
      </c>
      <c r="C110" s="264" t="s">
        <v>230</v>
      </c>
      <c r="D110" s="264" t="s">
        <v>424</v>
      </c>
      <c r="E110" s="264" t="s">
        <v>425</v>
      </c>
    </row>
    <row r="111" spans="1:9">
      <c r="A111" s="448"/>
    </row>
    <row r="112" spans="1:9" ht="25.5">
      <c r="A112" s="449" t="s">
        <v>434</v>
      </c>
      <c r="B112" s="450" t="s">
        <v>8</v>
      </c>
      <c r="C112" s="428" t="s">
        <v>435</v>
      </c>
      <c r="D112" s="428" t="s">
        <v>22</v>
      </c>
      <c r="E112" s="428" t="s">
        <v>24</v>
      </c>
    </row>
    <row r="113" spans="1:5">
      <c r="A113" s="151"/>
      <c r="B113" s="433"/>
      <c r="C113" s="172"/>
      <c r="D113" s="172"/>
      <c r="E113" s="172"/>
    </row>
    <row r="114" spans="1:5">
      <c r="A114" s="151">
        <f>A103+1</f>
        <v>78</v>
      </c>
      <c r="B114" s="463" t="s">
        <v>687</v>
      </c>
      <c r="C114" s="172"/>
      <c r="D114" s="172"/>
      <c r="E114" s="172"/>
    </row>
    <row r="115" spans="1:5">
      <c r="A115" s="151">
        <f t="shared" ref="A115:A137" si="8">1+A114</f>
        <v>79</v>
      </c>
      <c r="B115" s="466" t="s">
        <v>514</v>
      </c>
      <c r="C115" s="172"/>
      <c r="D115" s="469">
        <f>D40</f>
        <v>0.4247405241247097</v>
      </c>
      <c r="E115" s="469">
        <f>E40</f>
        <v>0.42336519103434045</v>
      </c>
    </row>
    <row r="116" spans="1:5">
      <c r="A116" s="151">
        <f t="shared" si="8"/>
        <v>80</v>
      </c>
      <c r="B116" s="468" t="s">
        <v>515</v>
      </c>
      <c r="C116" s="237"/>
      <c r="D116" s="469"/>
      <c r="E116" s="469"/>
    </row>
    <row r="117" spans="1:5">
      <c r="A117" s="151">
        <f t="shared" si="8"/>
        <v>81</v>
      </c>
      <c r="B117" s="470" t="s">
        <v>684</v>
      </c>
      <c r="C117" s="237"/>
      <c r="D117" s="469">
        <f>'Rate Design'!D37</f>
        <v>0.15</v>
      </c>
      <c r="E117" s="469">
        <f>'Rate Design'!E37</f>
        <v>0.15</v>
      </c>
    </row>
    <row r="118" spans="1:5">
      <c r="A118" s="151">
        <f t="shared" si="8"/>
        <v>82</v>
      </c>
      <c r="B118" s="466" t="s">
        <v>516</v>
      </c>
      <c r="C118" s="172"/>
      <c r="D118" s="471">
        <f>'Rate Design'!D36</f>
        <v>21.32</v>
      </c>
      <c r="E118" s="471">
        <f>'Rate Design'!E36</f>
        <v>38.43</v>
      </c>
    </row>
    <row r="119" spans="1:5">
      <c r="A119" s="151">
        <f t="shared" si="8"/>
        <v>83</v>
      </c>
      <c r="B119" s="466"/>
      <c r="C119" s="172"/>
      <c r="D119" s="172"/>
      <c r="E119" s="172"/>
    </row>
    <row r="120" spans="1:5">
      <c r="A120" s="151">
        <f t="shared" si="8"/>
        <v>84</v>
      </c>
      <c r="B120" s="463" t="s">
        <v>685</v>
      </c>
      <c r="C120" s="172"/>
      <c r="D120" s="172"/>
      <c r="E120" s="172"/>
    </row>
    <row r="121" spans="1:5">
      <c r="A121" s="151">
        <f t="shared" si="8"/>
        <v>85</v>
      </c>
      <c r="B121" s="464" t="s">
        <v>192</v>
      </c>
      <c r="C121" s="413">
        <f>C22</f>
        <v>129220028.74040459</v>
      </c>
      <c r="D121" s="413">
        <f>$D$22</f>
        <v>75773736.555325657</v>
      </c>
      <c r="E121" s="413">
        <f>$E$22</f>
        <v>53446292.185078934</v>
      </c>
    </row>
    <row r="122" spans="1:5">
      <c r="A122" s="151">
        <f t="shared" si="8"/>
        <v>86</v>
      </c>
      <c r="B122" s="468" t="s">
        <v>614</v>
      </c>
      <c r="C122" s="237"/>
      <c r="D122" s="472"/>
      <c r="E122" s="472"/>
    </row>
    <row r="123" spans="1:5">
      <c r="A123" s="151">
        <f t="shared" si="8"/>
        <v>87</v>
      </c>
      <c r="B123" s="468" t="s">
        <v>684</v>
      </c>
      <c r="C123" s="599">
        <f>SUM(D123:E123)</f>
        <v>45696247.103258073</v>
      </c>
      <c r="D123" s="598">
        <f>D$19*D$117</f>
        <v>26760009.553412933</v>
      </c>
      <c r="E123" s="598">
        <f>E$19*E$117</f>
        <v>18936237.549845144</v>
      </c>
    </row>
    <row r="124" spans="1:5">
      <c r="A124" s="151">
        <f t="shared" si="8"/>
        <v>88</v>
      </c>
      <c r="B124" s="470"/>
      <c r="C124" s="237"/>
      <c r="D124" s="467"/>
      <c r="E124" s="467"/>
    </row>
    <row r="125" spans="1:5">
      <c r="A125" s="151">
        <f t="shared" si="8"/>
        <v>89</v>
      </c>
      <c r="B125" s="466" t="s">
        <v>191</v>
      </c>
      <c r="C125" s="413">
        <f t="shared" ref="C125" si="9">SUM(D125:E125)</f>
        <v>80350900.109999999</v>
      </c>
      <c r="D125" s="413">
        <f>$D$12*$D$118</f>
        <v>65412659.520000003</v>
      </c>
      <c r="E125" s="413">
        <f>$E$12*$E$118</f>
        <v>14938240.59</v>
      </c>
    </row>
    <row r="126" spans="1:5">
      <c r="A126" s="151">
        <f t="shared" si="8"/>
        <v>90</v>
      </c>
      <c r="B126" s="466"/>
      <c r="C126" s="413"/>
      <c r="D126" s="413"/>
      <c r="E126" s="413"/>
    </row>
    <row r="127" spans="1:5">
      <c r="A127" s="151">
        <f t="shared" si="8"/>
        <v>91</v>
      </c>
      <c r="B127" s="464" t="s">
        <v>190</v>
      </c>
      <c r="C127" s="413">
        <f>SUM(C121:C125)</f>
        <v>255267175.95366269</v>
      </c>
      <c r="D127" s="413">
        <f>SUM(D121:D125)</f>
        <v>167946405.62873858</v>
      </c>
      <c r="E127" s="413">
        <f>SUM(E121:E125)</f>
        <v>87320770.324924082</v>
      </c>
    </row>
    <row r="128" spans="1:5">
      <c r="A128" s="151">
        <f t="shared" si="8"/>
        <v>92</v>
      </c>
      <c r="B128" s="237"/>
      <c r="C128" s="172"/>
      <c r="D128" s="172"/>
      <c r="E128" s="172"/>
    </row>
    <row r="129" spans="1:9">
      <c r="A129" s="151">
        <f t="shared" si="8"/>
        <v>93</v>
      </c>
      <c r="B129" s="463" t="s">
        <v>686</v>
      </c>
      <c r="C129" s="172"/>
      <c r="D129" s="172"/>
      <c r="E129" s="172"/>
    </row>
    <row r="130" spans="1:9">
      <c r="A130" s="151">
        <f t="shared" si="8"/>
        <v>94</v>
      </c>
      <c r="B130" s="464" t="s">
        <v>504</v>
      </c>
      <c r="C130" s="214">
        <f>+C125/(C123+C125)</f>
        <v>0.63746702631877106</v>
      </c>
      <c r="D130" s="214">
        <f t="shared" ref="D130:E130" si="10">+D125/(D123+D125)</f>
        <v>0.7096752234428696</v>
      </c>
      <c r="E130" s="214">
        <f t="shared" si="10"/>
        <v>0.44098806565609538</v>
      </c>
    </row>
    <row r="131" spans="1:9">
      <c r="A131" s="151">
        <f t="shared" si="8"/>
        <v>95</v>
      </c>
      <c r="B131" s="464" t="s">
        <v>505</v>
      </c>
      <c r="C131" s="214">
        <f>(C123)/(C123+C125)</f>
        <v>0.36253297368122889</v>
      </c>
      <c r="D131" s="214">
        <f t="shared" ref="D131:E131" si="11">(D123)/(D123+D125)</f>
        <v>0.29032477655713035</v>
      </c>
      <c r="E131" s="214">
        <f t="shared" si="11"/>
        <v>0.5590119343439045</v>
      </c>
    </row>
    <row r="132" spans="1:9">
      <c r="A132" s="151">
        <f t="shared" si="8"/>
        <v>96</v>
      </c>
      <c r="B132" s="475"/>
      <c r="C132" s="172"/>
      <c r="D132" s="172"/>
      <c r="E132" s="172"/>
    </row>
    <row r="133" spans="1:9">
      <c r="A133" s="151">
        <f t="shared" si="8"/>
        <v>97</v>
      </c>
      <c r="B133" s="463" t="s">
        <v>688</v>
      </c>
      <c r="C133" s="172"/>
      <c r="D133" s="172"/>
      <c r="E133" s="172"/>
    </row>
    <row r="134" spans="1:9">
      <c r="A134" s="151">
        <f t="shared" si="8"/>
        <v>98</v>
      </c>
      <c r="B134" s="464" t="s">
        <v>192</v>
      </c>
      <c r="C134" s="476">
        <f>SUM(D134:E134)</f>
        <v>0</v>
      </c>
      <c r="D134" s="476">
        <f>$D$121-$D$22</f>
        <v>0</v>
      </c>
      <c r="E134" s="476">
        <f>$E$121-$E$22</f>
        <v>0</v>
      </c>
    </row>
    <row r="135" spans="1:9">
      <c r="A135" s="151">
        <f t="shared" si="8"/>
        <v>99</v>
      </c>
      <c r="B135" s="432" t="s">
        <v>459</v>
      </c>
      <c r="C135" s="476">
        <f>SUM(D135:E135)</f>
        <v>-12056374.872559421</v>
      </c>
      <c r="D135" s="476">
        <f>D123-D23</f>
        <v>-9448201.949733641</v>
      </c>
      <c r="E135" s="476">
        <f>E123-E23</f>
        <v>-2608172.9228257798</v>
      </c>
    </row>
    <row r="136" spans="1:9">
      <c r="A136" s="151">
        <f t="shared" si="8"/>
        <v>100</v>
      </c>
      <c r="B136" s="466" t="s">
        <v>191</v>
      </c>
      <c r="C136" s="482">
        <f>SUM(D136:E136)</f>
        <v>22738760.575879306</v>
      </c>
      <c r="D136" s="482">
        <f>D125-D24</f>
        <v>18546894.245906197</v>
      </c>
      <c r="E136" s="482">
        <f>E125-E24</f>
        <v>4191866.3299731072</v>
      </c>
      <c r="G136" s="225"/>
      <c r="H136" s="225"/>
      <c r="I136" s="225"/>
    </row>
    <row r="137" spans="1:9">
      <c r="A137" s="151">
        <f t="shared" si="8"/>
        <v>101</v>
      </c>
      <c r="B137" s="464" t="s">
        <v>190</v>
      </c>
      <c r="C137" s="476">
        <f>SUM(C134:C136)</f>
        <v>10682385.703319885</v>
      </c>
      <c r="D137" s="476">
        <f>SUM(D134:D136)</f>
        <v>9098692.2961725555</v>
      </c>
      <c r="E137" s="476">
        <f>SUM(E134:E136)</f>
        <v>1583693.4071473274</v>
      </c>
      <c r="G137" s="407"/>
      <c r="H137" s="407"/>
      <c r="I137" s="407"/>
    </row>
  </sheetData>
  <pageMargins left="1" right="1" top="1" bottom="1" header="0.5" footer="0.5"/>
  <pageSetup orientation="landscape" r:id="rId1"/>
  <rowBreaks count="3" manualBreakCount="3">
    <brk id="30" max="16383" man="1"/>
    <brk id="67" max="16383" man="1"/>
    <brk id="105" max="16383" man="1"/>
  </rowBreaks>
  <ignoredErrors>
    <ignoredError sqref="N15:N16 N17:N24 M17 M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0D39-C207-4F67-975C-4A1300D37CE6}">
  <sheetPr>
    <pageSetUpPr fitToPage="1"/>
  </sheetPr>
  <dimension ref="A1:V121"/>
  <sheetViews>
    <sheetView topLeftCell="A65" zoomScaleNormal="100" workbookViewId="0">
      <selection activeCell="E30" sqref="E30:E37"/>
    </sheetView>
  </sheetViews>
  <sheetFormatPr defaultColWidth="9.140625" defaultRowHeight="12.75"/>
  <cols>
    <col min="1" max="1" width="5.28515625" style="177" customWidth="1"/>
    <col min="2" max="2" width="37.28515625" style="177" customWidth="1"/>
    <col min="3" max="14" width="12.140625" style="177" customWidth="1"/>
    <col min="15" max="15" width="9.140625" style="177"/>
    <col min="16" max="16" width="11.5703125" style="177" customWidth="1"/>
    <col min="17" max="27" width="16.140625" style="177" customWidth="1"/>
    <col min="28" max="16384" width="9.140625" style="177"/>
  </cols>
  <sheetData>
    <row r="1" spans="1:22">
      <c r="A1" s="235" t="str">
        <f>'Section 3 Exhibit C'!A1</f>
        <v>Black Hills Nebraska Gas, LLC</v>
      </c>
      <c r="B1" s="236"/>
      <c r="C1" s="236"/>
      <c r="D1" s="236"/>
      <c r="E1" s="236"/>
      <c r="F1" s="236"/>
      <c r="G1" s="236"/>
      <c r="H1" s="236"/>
      <c r="I1" s="236"/>
      <c r="J1" s="236"/>
      <c r="K1" s="242"/>
      <c r="L1" s="242"/>
      <c r="M1" s="294"/>
      <c r="N1" s="294" t="s">
        <v>678</v>
      </c>
    </row>
    <row r="2" spans="1:22">
      <c r="A2" s="278" t="s">
        <v>717</v>
      </c>
      <c r="B2" s="237"/>
      <c r="C2" s="237"/>
      <c r="D2" s="237"/>
      <c r="E2" s="236"/>
      <c r="F2" s="236"/>
      <c r="G2" s="237"/>
      <c r="H2" s="237"/>
      <c r="I2" s="237"/>
      <c r="J2" s="237"/>
      <c r="K2" s="242"/>
      <c r="L2" s="242"/>
      <c r="M2" s="294"/>
      <c r="N2" s="294" t="s">
        <v>680</v>
      </c>
    </row>
    <row r="3" spans="1:22">
      <c r="A3" s="235" t="str">
        <f>'COS Statement N'!A3</f>
        <v>FOR THE PRO FORMA PERIOD ENDED DECEMBER 31, 2020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22">
      <c r="A4" s="238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22">
      <c r="A5" s="236"/>
      <c r="B5" s="264" t="s">
        <v>229</v>
      </c>
      <c r="C5" s="264" t="s">
        <v>230</v>
      </c>
      <c r="D5" s="264" t="s">
        <v>424</v>
      </c>
      <c r="E5" s="264" t="s">
        <v>425</v>
      </c>
      <c r="F5" s="260" t="s">
        <v>426</v>
      </c>
      <c r="G5" s="260" t="s">
        <v>427</v>
      </c>
      <c r="H5" s="260" t="s">
        <v>428</v>
      </c>
      <c r="I5" s="566" t="s">
        <v>429</v>
      </c>
      <c r="J5" s="260" t="s">
        <v>430</v>
      </c>
      <c r="K5" s="566" t="s">
        <v>431</v>
      </c>
      <c r="L5" s="566" t="s">
        <v>432</v>
      </c>
      <c r="M5" s="566" t="s">
        <v>433</v>
      </c>
      <c r="N5" s="566" t="s">
        <v>700</v>
      </c>
    </row>
    <row r="6" spans="1:22">
      <c r="A6" s="245"/>
    </row>
    <row r="7" spans="1:22" ht="15.75" customHeight="1">
      <c r="A7" s="260"/>
      <c r="B7" s="261"/>
      <c r="C7" s="688" t="s">
        <v>703</v>
      </c>
      <c r="D7" s="688"/>
      <c r="E7" s="688" t="s">
        <v>704</v>
      </c>
      <c r="F7" s="689"/>
      <c r="G7" s="690" t="s">
        <v>703</v>
      </c>
      <c r="H7" s="688"/>
      <c r="I7" s="688"/>
      <c r="J7" s="688"/>
      <c r="K7" s="688" t="s">
        <v>704</v>
      </c>
      <c r="L7" s="688"/>
      <c r="M7" s="688"/>
      <c r="N7" s="688"/>
    </row>
    <row r="8" spans="1:22" ht="15.75" customHeight="1">
      <c r="A8" s="260"/>
      <c r="B8" s="261"/>
      <c r="C8" s="670" t="s">
        <v>22</v>
      </c>
      <c r="D8" s="670"/>
      <c r="E8" s="670" t="s">
        <v>22</v>
      </c>
      <c r="F8" s="671"/>
      <c r="G8" s="672" t="s">
        <v>500</v>
      </c>
      <c r="H8" s="670"/>
      <c r="I8" s="670" t="s">
        <v>701</v>
      </c>
      <c r="J8" s="670"/>
      <c r="K8" s="670" t="s">
        <v>500</v>
      </c>
      <c r="L8" s="670"/>
      <c r="M8" s="670" t="s">
        <v>501</v>
      </c>
      <c r="N8" s="670"/>
    </row>
    <row r="9" spans="1:22" ht="30.75" customHeight="1">
      <c r="A9" s="262" t="s">
        <v>434</v>
      </c>
      <c r="B9" s="567" t="s">
        <v>8</v>
      </c>
      <c r="C9" s="594" t="s">
        <v>689</v>
      </c>
      <c r="D9" s="262" t="s">
        <v>690</v>
      </c>
      <c r="E9" s="594" t="s">
        <v>689</v>
      </c>
      <c r="F9" s="604" t="s">
        <v>690</v>
      </c>
      <c r="G9" s="613" t="s">
        <v>689</v>
      </c>
      <c r="H9" s="262" t="s">
        <v>690</v>
      </c>
      <c r="I9" s="594" t="s">
        <v>689</v>
      </c>
      <c r="J9" s="262" t="s">
        <v>690</v>
      </c>
      <c r="K9" s="594" t="s">
        <v>689</v>
      </c>
      <c r="L9" s="262" t="s">
        <v>690</v>
      </c>
      <c r="M9" s="594" t="s">
        <v>689</v>
      </c>
      <c r="N9" s="262" t="s">
        <v>690</v>
      </c>
      <c r="U9" s="366"/>
      <c r="V9" s="366"/>
    </row>
    <row r="10" spans="1:22">
      <c r="A10" s="259"/>
      <c r="B10" s="568"/>
      <c r="C10" s="246"/>
      <c r="D10" s="247"/>
      <c r="E10" s="246"/>
      <c r="F10" s="257"/>
      <c r="G10" s="583"/>
      <c r="H10" s="247"/>
      <c r="I10" s="257"/>
      <c r="J10" s="257"/>
      <c r="K10" s="246"/>
      <c r="L10" s="247"/>
      <c r="M10" s="246"/>
      <c r="N10" s="247"/>
      <c r="P10" s="420"/>
      <c r="Q10" s="237"/>
      <c r="R10" s="237"/>
      <c r="U10" s="366"/>
      <c r="V10" s="366"/>
    </row>
    <row r="11" spans="1:22">
      <c r="A11" s="220">
        <v>1</v>
      </c>
      <c r="B11" s="569" t="s">
        <v>699</v>
      </c>
      <c r="C11" s="279">
        <v>104</v>
      </c>
      <c r="D11" s="280">
        <v>23</v>
      </c>
      <c r="E11" s="279">
        <v>104</v>
      </c>
      <c r="F11" s="281">
        <v>23</v>
      </c>
      <c r="G11" s="584">
        <v>582</v>
      </c>
      <c r="H11" s="280">
        <v>151</v>
      </c>
      <c r="I11" s="279">
        <v>2776</v>
      </c>
      <c r="J11" s="280">
        <v>891</v>
      </c>
      <c r="K11" s="279">
        <v>582</v>
      </c>
      <c r="L11" s="280">
        <v>151</v>
      </c>
      <c r="M11" s="279">
        <v>2776</v>
      </c>
      <c r="N11" s="280">
        <v>891</v>
      </c>
      <c r="P11" s="237"/>
      <c r="Q11" s="237"/>
      <c r="R11" s="237"/>
      <c r="S11" s="498"/>
      <c r="U11" s="605"/>
      <c r="V11" s="605"/>
    </row>
    <row r="12" spans="1:22">
      <c r="A12" s="220">
        <f>A11+1</f>
        <v>2</v>
      </c>
      <c r="B12" s="570" t="s">
        <v>535</v>
      </c>
      <c r="C12" s="684" t="s">
        <v>527</v>
      </c>
      <c r="D12" s="685"/>
      <c r="E12" s="684" t="s">
        <v>527</v>
      </c>
      <c r="F12" s="686"/>
      <c r="G12" s="687" t="s">
        <v>525</v>
      </c>
      <c r="H12" s="685"/>
      <c r="I12" s="684" t="s">
        <v>530</v>
      </c>
      <c r="J12" s="685"/>
      <c r="K12" s="684" t="s">
        <v>525</v>
      </c>
      <c r="L12" s="685"/>
      <c r="M12" s="684" t="s">
        <v>530</v>
      </c>
      <c r="N12" s="685"/>
      <c r="P12" s="172"/>
      <c r="Q12" s="237"/>
      <c r="R12" s="237"/>
      <c r="U12" s="366"/>
      <c r="V12" s="366"/>
    </row>
    <row r="13" spans="1:22">
      <c r="A13" s="220">
        <f t="shared" ref="A13:A39" si="0">A12+1</f>
        <v>3</v>
      </c>
      <c r="B13" s="571" t="s">
        <v>536</v>
      </c>
      <c r="C13" s="279">
        <v>20</v>
      </c>
      <c r="D13" s="280">
        <v>20</v>
      </c>
      <c r="E13" s="279">
        <v>20</v>
      </c>
      <c r="F13" s="281">
        <v>20</v>
      </c>
      <c r="G13" s="584">
        <v>40</v>
      </c>
      <c r="H13" s="280">
        <v>40</v>
      </c>
      <c r="I13" s="279">
        <v>80</v>
      </c>
      <c r="J13" s="280">
        <v>80</v>
      </c>
      <c r="K13" s="279">
        <v>40</v>
      </c>
      <c r="L13" s="280">
        <v>40</v>
      </c>
      <c r="M13" s="279">
        <v>80</v>
      </c>
      <c r="N13" s="280">
        <v>80</v>
      </c>
      <c r="P13" s="237"/>
      <c r="Q13" s="237"/>
      <c r="R13" s="237"/>
      <c r="U13" s="605"/>
      <c r="V13" s="605"/>
    </row>
    <row r="14" spans="1:22">
      <c r="A14" s="220">
        <f t="shared" si="0"/>
        <v>4</v>
      </c>
      <c r="B14" s="571"/>
      <c r="C14" s="279"/>
      <c r="D14" s="280"/>
      <c r="E14" s="279"/>
      <c r="F14" s="281"/>
      <c r="G14" s="584"/>
      <c r="H14" s="280"/>
      <c r="I14" s="279"/>
      <c r="J14" s="280"/>
      <c r="K14" s="279"/>
      <c r="L14" s="280"/>
      <c r="M14" s="279"/>
      <c r="N14" s="280"/>
      <c r="P14" s="237"/>
      <c r="Q14" s="237"/>
      <c r="R14" s="431"/>
    </row>
    <row r="15" spans="1:22">
      <c r="A15" s="220">
        <f t="shared" si="0"/>
        <v>5</v>
      </c>
      <c r="B15" s="570" t="s">
        <v>535</v>
      </c>
      <c r="C15" s="684" t="s">
        <v>528</v>
      </c>
      <c r="D15" s="685"/>
      <c r="E15" s="684" t="s">
        <v>528</v>
      </c>
      <c r="F15" s="686"/>
      <c r="G15" s="687" t="s">
        <v>531</v>
      </c>
      <c r="H15" s="685"/>
      <c r="I15" s="684" t="s">
        <v>532</v>
      </c>
      <c r="J15" s="685"/>
      <c r="K15" s="684" t="s">
        <v>531</v>
      </c>
      <c r="L15" s="685"/>
      <c r="M15" s="684" t="s">
        <v>532</v>
      </c>
      <c r="N15" s="685"/>
      <c r="P15" s="172"/>
      <c r="Q15" s="237"/>
      <c r="R15" s="431"/>
    </row>
    <row r="16" spans="1:22">
      <c r="A16" s="220">
        <f t="shared" si="0"/>
        <v>6</v>
      </c>
      <c r="B16" s="572" t="s">
        <v>537</v>
      </c>
      <c r="C16" s="279">
        <f t="shared" ref="C16:L16" si="1">+C11-C13</f>
        <v>84</v>
      </c>
      <c r="D16" s="280">
        <f t="shared" si="1"/>
        <v>3</v>
      </c>
      <c r="E16" s="279">
        <f t="shared" si="1"/>
        <v>84</v>
      </c>
      <c r="F16" s="281">
        <f t="shared" si="1"/>
        <v>3</v>
      </c>
      <c r="G16" s="584">
        <f t="shared" si="1"/>
        <v>542</v>
      </c>
      <c r="H16" s="280">
        <f t="shared" si="1"/>
        <v>111</v>
      </c>
      <c r="I16" s="582">
        <f t="shared" si="1"/>
        <v>2696</v>
      </c>
      <c r="J16" s="282">
        <f t="shared" si="1"/>
        <v>811</v>
      </c>
      <c r="K16" s="279">
        <f t="shared" si="1"/>
        <v>542</v>
      </c>
      <c r="L16" s="280">
        <f t="shared" si="1"/>
        <v>111</v>
      </c>
      <c r="M16" s="582">
        <f t="shared" ref="M16:N16" si="2">+M11-M13</f>
        <v>2696</v>
      </c>
      <c r="N16" s="282">
        <f t="shared" si="2"/>
        <v>811</v>
      </c>
      <c r="P16" s="172"/>
      <c r="Q16" s="238"/>
      <c r="R16" s="609"/>
      <c r="U16" s="605"/>
      <c r="V16" s="605"/>
    </row>
    <row r="17" spans="1:22">
      <c r="A17" s="220">
        <f t="shared" si="0"/>
        <v>7</v>
      </c>
      <c r="B17" s="236"/>
      <c r="C17" s="248"/>
      <c r="D17" s="256"/>
      <c r="E17" s="250"/>
      <c r="F17" s="237"/>
      <c r="G17" s="585"/>
      <c r="H17" s="256"/>
      <c r="I17" s="241"/>
      <c r="J17" s="241"/>
      <c r="K17" s="250"/>
      <c r="L17" s="249"/>
      <c r="M17" s="250"/>
      <c r="N17" s="249"/>
      <c r="P17" s="237"/>
      <c r="Q17" s="238"/>
      <c r="R17" s="609"/>
    </row>
    <row r="18" spans="1:22">
      <c r="A18" s="220">
        <f t="shared" si="0"/>
        <v>8</v>
      </c>
      <c r="B18" s="569" t="s">
        <v>499</v>
      </c>
      <c r="C18" s="250"/>
      <c r="D18" s="249"/>
      <c r="E18" s="250"/>
      <c r="F18" s="237"/>
      <c r="G18" s="586"/>
      <c r="H18" s="249"/>
      <c r="I18" s="237"/>
      <c r="J18" s="237"/>
      <c r="K18" s="250"/>
      <c r="L18" s="249"/>
      <c r="M18" s="250"/>
      <c r="N18" s="249"/>
      <c r="P18" s="237"/>
      <c r="Q18" s="238"/>
      <c r="R18" s="610"/>
    </row>
    <row r="19" spans="1:22">
      <c r="A19" s="220">
        <f t="shared" si="0"/>
        <v>9</v>
      </c>
      <c r="B19" s="460" t="s">
        <v>517</v>
      </c>
      <c r="C19" s="283">
        <f>+'Revenue Proof'!$D$77</f>
        <v>0.4247405241247097</v>
      </c>
      <c r="D19" s="284">
        <f>+'Revenue Proof'!$D$77</f>
        <v>0.4247405241247097</v>
      </c>
      <c r="E19" s="283">
        <f>+'Revenue Proof'!$D$77</f>
        <v>0.4247405241247097</v>
      </c>
      <c r="F19" s="285">
        <f>+'Revenue Proof'!$D$77</f>
        <v>0.4247405241247097</v>
      </c>
      <c r="G19" s="587">
        <f>+'Revenue Proof'!$E$77</f>
        <v>0.42336519103434045</v>
      </c>
      <c r="H19" s="284">
        <f>+'Revenue Proof'!$E$77</f>
        <v>0.42336519103434045</v>
      </c>
      <c r="I19" s="285">
        <f>+'Revenue Proof'!$E$77</f>
        <v>0.42336519103434045</v>
      </c>
      <c r="J19" s="284">
        <f>+'Revenue Proof'!$E$77</f>
        <v>0.42336519103434045</v>
      </c>
      <c r="K19" s="285">
        <f>+'Revenue Proof'!$E$77</f>
        <v>0.42336519103434045</v>
      </c>
      <c r="L19" s="284">
        <f>+'Revenue Proof'!$E$77</f>
        <v>0.42336519103434045</v>
      </c>
      <c r="M19" s="285">
        <f>+'Revenue Proof'!$E$77</f>
        <v>0.42336519103434045</v>
      </c>
      <c r="N19" s="284">
        <f>+'Revenue Proof'!$E$77</f>
        <v>0.42336519103434045</v>
      </c>
      <c r="P19" s="237"/>
      <c r="Q19" s="238"/>
      <c r="R19" s="431"/>
      <c r="U19" s="606"/>
      <c r="V19" s="606"/>
    </row>
    <row r="20" spans="1:22">
      <c r="A20" s="220">
        <f t="shared" si="0"/>
        <v>10</v>
      </c>
      <c r="B20" s="460"/>
      <c r="C20" s="283"/>
      <c r="D20" s="284"/>
      <c r="E20" s="283"/>
      <c r="F20" s="285"/>
      <c r="G20" s="587"/>
      <c r="H20" s="284"/>
      <c r="I20" s="285"/>
      <c r="J20" s="284"/>
      <c r="K20" s="283"/>
      <c r="L20" s="284"/>
      <c r="M20" s="283"/>
      <c r="N20" s="284"/>
      <c r="P20" s="237"/>
      <c r="Q20" s="238"/>
      <c r="R20" s="431"/>
      <c r="V20" s="500"/>
    </row>
    <row r="21" spans="1:22">
      <c r="A21" s="220">
        <f t="shared" si="0"/>
        <v>11</v>
      </c>
      <c r="B21" s="573" t="s">
        <v>515</v>
      </c>
      <c r="C21" s="251">
        <v>0.19500000000000001</v>
      </c>
      <c r="D21" s="252">
        <v>0.19500000000000001</v>
      </c>
      <c r="E21" s="263"/>
      <c r="F21" s="244"/>
      <c r="G21" s="588">
        <v>0.17244999999999999</v>
      </c>
      <c r="H21" s="252">
        <v>0.17244999999999999</v>
      </c>
      <c r="I21" s="240">
        <v>0.17244999999999999</v>
      </c>
      <c r="J21" s="252">
        <v>0.17244999999999999</v>
      </c>
      <c r="K21" s="263"/>
      <c r="L21" s="258"/>
      <c r="M21" s="263"/>
      <c r="N21" s="258"/>
      <c r="P21" s="172"/>
      <c r="Q21" s="238"/>
      <c r="R21" s="609"/>
      <c r="U21" s="607"/>
      <c r="V21" s="607"/>
    </row>
    <row r="22" spans="1:22">
      <c r="A22" s="220">
        <f t="shared" si="0"/>
        <v>12</v>
      </c>
      <c r="B22" s="573"/>
      <c r="C22" s="251"/>
      <c r="D22" s="252"/>
      <c r="E22" s="251"/>
      <c r="F22" s="240"/>
      <c r="G22" s="588"/>
      <c r="H22" s="252"/>
      <c r="I22" s="240"/>
      <c r="J22" s="252"/>
      <c r="K22" s="251"/>
      <c r="L22" s="252"/>
      <c r="M22" s="251"/>
      <c r="N22" s="252"/>
      <c r="P22" s="172"/>
      <c r="Q22" s="238"/>
      <c r="R22" s="611"/>
    </row>
    <row r="23" spans="1:22">
      <c r="A23" s="220">
        <f t="shared" si="0"/>
        <v>13</v>
      </c>
      <c r="B23" s="571" t="s">
        <v>535</v>
      </c>
      <c r="C23" s="263"/>
      <c r="D23" s="258"/>
      <c r="E23" s="678" t="s">
        <v>527</v>
      </c>
      <c r="F23" s="679"/>
      <c r="G23" s="589"/>
      <c r="H23" s="581"/>
      <c r="I23" s="615"/>
      <c r="J23" s="581"/>
      <c r="K23" s="678" t="s">
        <v>525</v>
      </c>
      <c r="L23" s="682"/>
      <c r="M23" s="678" t="s">
        <v>530</v>
      </c>
      <c r="N23" s="682"/>
      <c r="P23" s="237"/>
      <c r="Q23" s="238"/>
      <c r="R23" s="609"/>
    </row>
    <row r="24" spans="1:22">
      <c r="A24" s="220">
        <f t="shared" si="0"/>
        <v>14</v>
      </c>
      <c r="B24" s="574" t="s">
        <v>497</v>
      </c>
      <c r="C24" s="263"/>
      <c r="D24" s="258"/>
      <c r="E24" s="579">
        <v>0.46750000000000003</v>
      </c>
      <c r="F24" s="243">
        <v>0.46750000000000003</v>
      </c>
      <c r="G24" s="590"/>
      <c r="H24" s="258"/>
      <c r="I24" s="244"/>
      <c r="J24" s="258"/>
      <c r="K24" s="579">
        <v>0.46750000000000003</v>
      </c>
      <c r="L24" s="253">
        <v>0.46750000000000003</v>
      </c>
      <c r="M24" s="579">
        <v>0.46750000000000003</v>
      </c>
      <c r="N24" s="253">
        <v>0.46750000000000003</v>
      </c>
      <c r="P24" s="237"/>
      <c r="Q24" s="238"/>
      <c r="R24" s="612"/>
    </row>
    <row r="25" spans="1:22">
      <c r="A25" s="220">
        <f t="shared" si="0"/>
        <v>15</v>
      </c>
      <c r="B25" s="470"/>
      <c r="C25" s="251"/>
      <c r="D25" s="252"/>
      <c r="E25" s="579"/>
      <c r="F25" s="243"/>
      <c r="G25" s="588"/>
      <c r="H25" s="252"/>
      <c r="I25" s="240"/>
      <c r="J25" s="252"/>
      <c r="K25" s="579"/>
      <c r="L25" s="253"/>
      <c r="M25" s="579"/>
      <c r="N25" s="253"/>
      <c r="P25" s="237"/>
      <c r="Q25" s="237"/>
      <c r="R25" s="237"/>
    </row>
    <row r="26" spans="1:22">
      <c r="A26" s="220">
        <f t="shared" si="0"/>
        <v>16</v>
      </c>
      <c r="B26" s="571" t="s">
        <v>535</v>
      </c>
      <c r="C26" s="263"/>
      <c r="D26" s="258"/>
      <c r="E26" s="680" t="s">
        <v>528</v>
      </c>
      <c r="F26" s="681"/>
      <c r="G26" s="589"/>
      <c r="H26" s="581"/>
      <c r="I26" s="615"/>
      <c r="J26" s="581"/>
      <c r="K26" s="680" t="s">
        <v>531</v>
      </c>
      <c r="L26" s="683"/>
      <c r="M26" s="680" t="s">
        <v>532</v>
      </c>
      <c r="N26" s="683"/>
      <c r="P26" s="237"/>
      <c r="Q26" s="238"/>
      <c r="R26" s="431"/>
    </row>
    <row r="27" spans="1:22">
      <c r="A27" s="220">
        <f t="shared" si="0"/>
        <v>17</v>
      </c>
      <c r="B27" s="574" t="s">
        <v>498</v>
      </c>
      <c r="C27" s="263"/>
      <c r="D27" s="258"/>
      <c r="E27" s="579">
        <v>0.1338</v>
      </c>
      <c r="F27" s="243">
        <v>0.1338</v>
      </c>
      <c r="G27" s="590"/>
      <c r="H27" s="258"/>
      <c r="I27" s="244"/>
      <c r="J27" s="258"/>
      <c r="K27" s="579">
        <v>0.1338</v>
      </c>
      <c r="L27" s="253">
        <v>0.1338</v>
      </c>
      <c r="M27" s="579">
        <v>0.1338</v>
      </c>
      <c r="N27" s="253">
        <v>0.1338</v>
      </c>
      <c r="P27" s="237"/>
      <c r="Q27" s="237"/>
      <c r="R27" s="431"/>
    </row>
    <row r="28" spans="1:22">
      <c r="A28" s="220">
        <f t="shared" si="0"/>
        <v>18</v>
      </c>
      <c r="B28" s="470"/>
      <c r="C28" s="251"/>
      <c r="D28" s="252"/>
      <c r="E28" s="579"/>
      <c r="F28" s="243"/>
      <c r="G28" s="588"/>
      <c r="H28" s="252"/>
      <c r="I28" s="240"/>
      <c r="J28" s="252"/>
      <c r="K28" s="579"/>
      <c r="L28" s="253"/>
      <c r="M28" s="579"/>
      <c r="N28" s="253"/>
      <c r="P28" s="237"/>
      <c r="Q28" s="237"/>
      <c r="R28" s="431"/>
    </row>
    <row r="29" spans="1:22">
      <c r="A29" s="220">
        <f t="shared" si="0"/>
        <v>19</v>
      </c>
      <c r="B29" s="460" t="s">
        <v>529</v>
      </c>
      <c r="C29" s="283"/>
      <c r="D29" s="284"/>
      <c r="E29" s="283"/>
      <c r="F29" s="285"/>
      <c r="G29" s="587"/>
      <c r="H29" s="284"/>
      <c r="I29" s="285"/>
      <c r="J29" s="284"/>
      <c r="K29" s="283"/>
      <c r="L29" s="284"/>
      <c r="M29" s="283"/>
      <c r="N29" s="284"/>
      <c r="P29" s="237"/>
      <c r="Q29" s="431"/>
      <c r="R29" s="431"/>
    </row>
    <row r="30" spans="1:22">
      <c r="A30" s="220">
        <f t="shared" si="0"/>
        <v>20</v>
      </c>
      <c r="B30" s="575" t="s">
        <v>518</v>
      </c>
      <c r="C30" s="263"/>
      <c r="D30" s="258"/>
      <c r="E30" s="580">
        <v>0.3</v>
      </c>
      <c r="F30" s="293">
        <v>0.3</v>
      </c>
      <c r="G30" s="591"/>
      <c r="H30" s="497"/>
      <c r="I30" s="565"/>
      <c r="J30" s="497"/>
      <c r="K30" s="580">
        <v>0.3</v>
      </c>
      <c r="L30" s="292">
        <v>0.3</v>
      </c>
      <c r="M30" s="580">
        <v>0.3</v>
      </c>
      <c r="N30" s="292">
        <v>0.3</v>
      </c>
      <c r="P30" s="237"/>
      <c r="Q30" s="238"/>
      <c r="R30" s="431"/>
    </row>
    <row r="31" spans="1:22">
      <c r="A31" s="220">
        <f t="shared" si="0"/>
        <v>21</v>
      </c>
      <c r="B31" s="575" t="s">
        <v>519</v>
      </c>
      <c r="C31" s="254">
        <v>0.15</v>
      </c>
      <c r="D31" s="255">
        <v>0.15</v>
      </c>
      <c r="E31" s="580">
        <v>0.14000000000000001</v>
      </c>
      <c r="F31" s="293">
        <v>0.14000000000000001</v>
      </c>
      <c r="G31" s="592">
        <v>0.15</v>
      </c>
      <c r="H31" s="255">
        <v>0.15</v>
      </c>
      <c r="I31" s="239">
        <v>0.15</v>
      </c>
      <c r="J31" s="255">
        <v>0.15</v>
      </c>
      <c r="K31" s="580">
        <v>0.14000000000000001</v>
      </c>
      <c r="L31" s="292">
        <v>0.14000000000000001</v>
      </c>
      <c r="M31" s="580">
        <v>0.14000000000000001</v>
      </c>
      <c r="N31" s="292">
        <v>0.14000000000000001</v>
      </c>
      <c r="R31" s="484"/>
      <c r="U31" s="607"/>
      <c r="V31" s="607"/>
    </row>
    <row r="32" spans="1:22">
      <c r="A32" s="220">
        <f t="shared" si="0"/>
        <v>22</v>
      </c>
      <c r="B32" s="575" t="s">
        <v>520</v>
      </c>
      <c r="C32" s="263"/>
      <c r="D32" s="258"/>
      <c r="E32" s="580">
        <v>0</v>
      </c>
      <c r="F32" s="293">
        <v>0</v>
      </c>
      <c r="G32" s="591"/>
      <c r="H32" s="497"/>
      <c r="I32" s="565"/>
      <c r="J32" s="497"/>
      <c r="K32" s="580">
        <v>0</v>
      </c>
      <c r="L32" s="292">
        <v>0</v>
      </c>
      <c r="M32" s="580">
        <v>0</v>
      </c>
      <c r="N32" s="292">
        <v>0</v>
      </c>
    </row>
    <row r="33" spans="1:22">
      <c r="A33" s="220">
        <f t="shared" si="0"/>
        <v>23</v>
      </c>
      <c r="B33" s="575" t="s">
        <v>502</v>
      </c>
      <c r="C33" s="263"/>
      <c r="D33" s="258"/>
      <c r="E33" s="580">
        <v>3.65</v>
      </c>
      <c r="F33" s="293">
        <v>3.65</v>
      </c>
      <c r="G33" s="590"/>
      <c r="H33" s="258"/>
      <c r="I33" s="244"/>
      <c r="J33" s="258"/>
      <c r="K33" s="580">
        <v>7.76</v>
      </c>
      <c r="L33" s="292">
        <v>7.76</v>
      </c>
      <c r="M33" s="580">
        <v>53.54</v>
      </c>
      <c r="N33" s="292">
        <v>53.54</v>
      </c>
    </row>
    <row r="34" spans="1:22">
      <c r="A34" s="220">
        <f t="shared" si="0"/>
        <v>24</v>
      </c>
      <c r="B34" s="575" t="s">
        <v>521</v>
      </c>
      <c r="C34" s="254">
        <v>0.13</v>
      </c>
      <c r="D34" s="255">
        <v>0.13</v>
      </c>
      <c r="E34" s="496"/>
      <c r="F34" s="565"/>
      <c r="G34" s="592">
        <v>0.32</v>
      </c>
      <c r="H34" s="255">
        <v>0.32</v>
      </c>
      <c r="I34" s="239">
        <v>0.32</v>
      </c>
      <c r="J34" s="255">
        <v>0.32</v>
      </c>
      <c r="K34" s="263"/>
      <c r="L34" s="258"/>
      <c r="M34" s="263"/>
      <c r="N34" s="258"/>
      <c r="S34" s="484"/>
      <c r="T34" s="484"/>
      <c r="U34" s="607"/>
      <c r="V34" s="607"/>
    </row>
    <row r="35" spans="1:22">
      <c r="A35" s="220">
        <f t="shared" si="0"/>
        <v>25</v>
      </c>
      <c r="B35" s="575" t="s">
        <v>522</v>
      </c>
      <c r="C35" s="254">
        <v>0.37</v>
      </c>
      <c r="D35" s="255">
        <v>0.37</v>
      </c>
      <c r="E35" s="496"/>
      <c r="F35" s="565"/>
      <c r="G35" s="592">
        <v>1.1599999999999999</v>
      </c>
      <c r="H35" s="255">
        <v>1.1599999999999999</v>
      </c>
      <c r="I35" s="239">
        <v>1.1599999999999999</v>
      </c>
      <c r="J35" s="255">
        <v>1.1599999999999999</v>
      </c>
      <c r="K35" s="263"/>
      <c r="L35" s="258"/>
      <c r="M35" s="263"/>
      <c r="N35" s="258"/>
      <c r="U35" s="607"/>
      <c r="V35" s="607"/>
    </row>
    <row r="36" spans="1:22">
      <c r="A36" s="220">
        <f t="shared" si="0"/>
        <v>26</v>
      </c>
      <c r="B36" s="460"/>
      <c r="C36" s="251"/>
      <c r="D36" s="252"/>
      <c r="E36" s="251"/>
      <c r="F36" s="240"/>
      <c r="G36" s="588"/>
      <c r="H36" s="252"/>
      <c r="I36" s="240"/>
      <c r="J36" s="252"/>
      <c r="K36" s="251"/>
      <c r="L36" s="252"/>
      <c r="M36" s="251"/>
      <c r="N36" s="252"/>
    </row>
    <row r="37" spans="1:22">
      <c r="A37" s="220">
        <f t="shared" si="0"/>
        <v>27</v>
      </c>
      <c r="B37" s="460" t="s">
        <v>516</v>
      </c>
      <c r="C37" s="254">
        <v>13.5</v>
      </c>
      <c r="D37" s="255">
        <v>13.5</v>
      </c>
      <c r="E37" s="254">
        <v>14.7</v>
      </c>
      <c r="F37" s="239">
        <v>14.7</v>
      </c>
      <c r="G37" s="592">
        <v>18.5</v>
      </c>
      <c r="H37" s="255">
        <v>18.5</v>
      </c>
      <c r="I37" s="239">
        <v>18.5</v>
      </c>
      <c r="J37" s="255">
        <v>18.5</v>
      </c>
      <c r="K37" s="254">
        <v>22.75</v>
      </c>
      <c r="L37" s="255">
        <v>22.75</v>
      </c>
      <c r="M37" s="254">
        <v>56.15</v>
      </c>
      <c r="N37" s="255">
        <v>56.15</v>
      </c>
      <c r="R37" s="484"/>
      <c r="T37" s="498"/>
      <c r="U37" s="607"/>
      <c r="V37" s="607"/>
    </row>
    <row r="38" spans="1:22">
      <c r="A38" s="220">
        <f t="shared" si="0"/>
        <v>28</v>
      </c>
      <c r="B38" s="236"/>
      <c r="C38" s="250"/>
      <c r="D38" s="249"/>
      <c r="E38" s="250"/>
      <c r="F38" s="237"/>
      <c r="G38" s="586"/>
      <c r="H38" s="249"/>
      <c r="I38" s="237"/>
      <c r="J38" s="249"/>
      <c r="K38" s="250"/>
      <c r="L38" s="249"/>
      <c r="M38" s="250"/>
      <c r="N38" s="249"/>
      <c r="R38" s="484"/>
      <c r="T38" s="498"/>
    </row>
    <row r="39" spans="1:22">
      <c r="A39" s="221">
        <f t="shared" si="0"/>
        <v>29</v>
      </c>
      <c r="B39" s="576" t="s">
        <v>692</v>
      </c>
      <c r="C39" s="578">
        <f>SUM(C$30:C$35)+C$11*(C$19+C$21)+C$37</f>
        <v>78.603014508969821</v>
      </c>
      <c r="D39" s="485">
        <f>SUM(D$30:D$35)+D$11*(D$19+D$21)+D$37</f>
        <v>28.404032054868324</v>
      </c>
      <c r="E39" s="578">
        <f>SUM(E$30:E$35)+(E$11*E$19)+(E$13*E$24)+(E$16*E$27)+E$37</f>
        <v>83.552214508969811</v>
      </c>
      <c r="F39" s="486">
        <f>SUM(F$30:F$35)+(F$11*F$19)+(F$13*F$24)+(F$16*F$27)+F$37</f>
        <v>38.310432054868322</v>
      </c>
      <c r="G39" s="593">
        <f>SUM(G$30:G$35)+G$11*(G$19+G$21)+G$37</f>
        <v>366.89444118198611</v>
      </c>
      <c r="H39" s="485">
        <f>SUM(H$30:H$35)+H$11*(H$19+H$21)+H$37</f>
        <v>110.09809384618541</v>
      </c>
      <c r="I39" s="486">
        <f>SUM(I$30:I$35)+I$11*(I$19+I$21)+I$37</f>
        <v>1674.1129703113293</v>
      </c>
      <c r="J39" s="485">
        <f>SUM(J$30:J$35)+J$11*(J$19+J$21)+J$37</f>
        <v>551.00133521159728</v>
      </c>
      <c r="K39" s="578">
        <f>SUM(K$30:K$35)+(K$11*K$19)+(K$13*K$24)+(K$16*K$27)+K$37</f>
        <v>368.56814118198611</v>
      </c>
      <c r="L39" s="485">
        <f>SUM(L$30:L$35)+(L$11*L$19)+(L$13*L$24)+(L$16*L$27)+L$37</f>
        <v>128.42994384618541</v>
      </c>
      <c r="M39" s="578">
        <f>SUM(M$30:M$35)+(M$11*M$19)+(M$13*M$24)+(M$16*M$27)+M$37</f>
        <v>1683.5165703113291</v>
      </c>
      <c r="N39" s="485">
        <f>SUM(N$30:N$35)+(N$11*N$19)+(N$13*N$24)+(N$16*N$27)+N$37</f>
        <v>633.26018521159733</v>
      </c>
      <c r="R39" s="484"/>
      <c r="T39" s="498"/>
      <c r="U39" s="608"/>
      <c r="V39" s="608"/>
    </row>
    <row r="40" spans="1:22">
      <c r="A40" s="245"/>
      <c r="B40" s="236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</row>
    <row r="41" spans="1:22">
      <c r="A41" s="367" t="str">
        <f>A1</f>
        <v>Black Hills Nebraska Gas, LLC</v>
      </c>
      <c r="B41" s="236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95"/>
      <c r="N41" s="295" t="str">
        <f>N1</f>
        <v>Section 1, Schedule B2</v>
      </c>
    </row>
    <row r="42" spans="1:22">
      <c r="A42" s="367" t="s">
        <v>718</v>
      </c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95"/>
      <c r="N42" s="295" t="s">
        <v>681</v>
      </c>
    </row>
    <row r="43" spans="1:22">
      <c r="A43" s="367" t="str">
        <f>A3</f>
        <v>FOR THE PRO FORMA PERIOD ENDED DECEMBER 31, 2020</v>
      </c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22">
      <c r="A44" s="245"/>
      <c r="B44" s="236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</row>
    <row r="45" spans="1:22">
      <c r="A45" s="236"/>
      <c r="B45" s="264" t="s">
        <v>229</v>
      </c>
      <c r="C45" s="264" t="s">
        <v>230</v>
      </c>
      <c r="D45" s="264" t="s">
        <v>424</v>
      </c>
      <c r="E45" s="264" t="s">
        <v>425</v>
      </c>
      <c r="F45" s="260" t="s">
        <v>426</v>
      </c>
      <c r="G45" s="260" t="s">
        <v>427</v>
      </c>
      <c r="H45" s="260" t="s">
        <v>428</v>
      </c>
      <c r="I45" s="566" t="s">
        <v>429</v>
      </c>
      <c r="J45" s="260" t="s">
        <v>430</v>
      </c>
      <c r="K45" s="566" t="s">
        <v>431</v>
      </c>
      <c r="L45" s="566" t="s">
        <v>432</v>
      </c>
      <c r="M45" s="566" t="s">
        <v>433</v>
      </c>
      <c r="N45" s="566" t="s">
        <v>700</v>
      </c>
    </row>
    <row r="46" spans="1:22">
      <c r="A46" s="245"/>
    </row>
    <row r="47" spans="1:22" ht="15.75" customHeight="1">
      <c r="A47" s="260"/>
      <c r="B47" s="261"/>
      <c r="C47" s="669" t="s">
        <v>703</v>
      </c>
      <c r="D47" s="669"/>
      <c r="E47" s="669" t="s">
        <v>704</v>
      </c>
      <c r="F47" s="673"/>
      <c r="G47" s="668" t="s">
        <v>703</v>
      </c>
      <c r="H47" s="669"/>
      <c r="I47" s="669"/>
      <c r="J47" s="669"/>
      <c r="K47" s="669" t="s">
        <v>704</v>
      </c>
      <c r="L47" s="669"/>
      <c r="M47" s="669"/>
      <c r="N47" s="669"/>
    </row>
    <row r="48" spans="1:22" ht="15.75" customHeight="1">
      <c r="A48" s="260"/>
      <c r="B48" s="261"/>
      <c r="C48" s="670" t="s">
        <v>22</v>
      </c>
      <c r="D48" s="670"/>
      <c r="E48" s="670" t="s">
        <v>22</v>
      </c>
      <c r="F48" s="671"/>
      <c r="G48" s="672" t="s">
        <v>500</v>
      </c>
      <c r="H48" s="670"/>
      <c r="I48" s="670" t="s">
        <v>701</v>
      </c>
      <c r="J48" s="670"/>
      <c r="K48" s="670" t="s">
        <v>500</v>
      </c>
      <c r="L48" s="670"/>
      <c r="M48" s="670" t="s">
        <v>501</v>
      </c>
      <c r="N48" s="670"/>
    </row>
    <row r="49" spans="1:14" ht="30.75" customHeight="1">
      <c r="A49" s="262" t="s">
        <v>434</v>
      </c>
      <c r="B49" s="567" t="s">
        <v>8</v>
      </c>
      <c r="C49" s="594" t="s">
        <v>689</v>
      </c>
      <c r="D49" s="262" t="s">
        <v>690</v>
      </c>
      <c r="E49" s="594" t="s">
        <v>689</v>
      </c>
      <c r="F49" s="604" t="s">
        <v>690</v>
      </c>
      <c r="G49" s="613" t="s">
        <v>689</v>
      </c>
      <c r="H49" s="262" t="s">
        <v>690</v>
      </c>
      <c r="I49" s="594" t="s">
        <v>689</v>
      </c>
      <c r="J49" s="262" t="s">
        <v>690</v>
      </c>
      <c r="K49" s="594" t="s">
        <v>689</v>
      </c>
      <c r="L49" s="262" t="s">
        <v>690</v>
      </c>
      <c r="M49" s="594" t="s">
        <v>689</v>
      </c>
      <c r="N49" s="262" t="s">
        <v>690</v>
      </c>
    </row>
    <row r="50" spans="1:14">
      <c r="A50" s="220"/>
      <c r="B50" s="236"/>
      <c r="C50" s="246"/>
      <c r="D50" s="247"/>
      <c r="E50" s="246"/>
      <c r="F50" s="257"/>
      <c r="G50" s="583"/>
      <c r="H50" s="247"/>
      <c r="I50" s="257"/>
      <c r="J50" s="257"/>
      <c r="K50" s="246"/>
      <c r="L50" s="247"/>
      <c r="M50" s="246"/>
      <c r="N50" s="247"/>
    </row>
    <row r="51" spans="1:14">
      <c r="A51" s="220">
        <f>1+A39</f>
        <v>30</v>
      </c>
      <c r="B51" s="577" t="s">
        <v>636</v>
      </c>
      <c r="C51" s="250"/>
      <c r="D51" s="249"/>
      <c r="E51" s="250"/>
      <c r="F51" s="237"/>
      <c r="G51" s="586"/>
      <c r="H51" s="249"/>
      <c r="I51" s="237"/>
      <c r="J51" s="237"/>
      <c r="K51" s="250"/>
      <c r="L51" s="249"/>
      <c r="M51" s="250"/>
      <c r="N51" s="249"/>
    </row>
    <row r="52" spans="1:14">
      <c r="A52" s="220">
        <f>A51+1</f>
        <v>31</v>
      </c>
      <c r="B52" s="460" t="s">
        <v>514</v>
      </c>
      <c r="C52" s="283">
        <f>+'Revenue Proof'!$D$77</f>
        <v>0.4247405241247097</v>
      </c>
      <c r="D52" s="284">
        <f>+'Revenue Proof'!$D$77</f>
        <v>0.4247405241247097</v>
      </c>
      <c r="E52" s="283">
        <f>+'Revenue Proof'!$D$77</f>
        <v>0.4247405241247097</v>
      </c>
      <c r="F52" s="285">
        <f>+'Revenue Proof'!$D$77</f>
        <v>0.4247405241247097</v>
      </c>
      <c r="G52" s="587">
        <f>$G$19</f>
        <v>0.42336519103434045</v>
      </c>
      <c r="H52" s="284">
        <f>$G$19</f>
        <v>0.42336519103434045</v>
      </c>
      <c r="I52" s="285">
        <f>$G$19</f>
        <v>0.42336519103434045</v>
      </c>
      <c r="J52" s="284">
        <f>$G$19</f>
        <v>0.42336519103434045</v>
      </c>
      <c r="K52" s="283">
        <f>$K$19</f>
        <v>0.42336519103434045</v>
      </c>
      <c r="L52" s="284">
        <f>$K$19</f>
        <v>0.42336519103434045</v>
      </c>
      <c r="M52" s="283">
        <f>$M$19</f>
        <v>0.42336519103434045</v>
      </c>
      <c r="N52" s="284">
        <f>$M$19</f>
        <v>0.42336519103434045</v>
      </c>
    </row>
    <row r="53" spans="1:14">
      <c r="A53" s="220">
        <f t="shared" ref="A53:A66" si="3">A52+1</f>
        <v>32</v>
      </c>
      <c r="B53" s="460"/>
      <c r="C53" s="248"/>
      <c r="D53" s="256"/>
      <c r="E53" s="248"/>
      <c r="F53" s="241"/>
      <c r="G53" s="585"/>
      <c r="H53" s="256"/>
      <c r="I53" s="241"/>
      <c r="J53" s="256"/>
      <c r="K53" s="248"/>
      <c r="L53" s="256"/>
      <c r="M53" s="248"/>
      <c r="N53" s="256"/>
    </row>
    <row r="54" spans="1:14">
      <c r="A54" s="220">
        <f t="shared" si="3"/>
        <v>33</v>
      </c>
      <c r="B54" s="457" t="s">
        <v>515</v>
      </c>
      <c r="C54" s="248"/>
      <c r="D54" s="256"/>
      <c r="E54" s="248"/>
      <c r="F54" s="241"/>
      <c r="G54" s="585"/>
      <c r="H54" s="256"/>
      <c r="I54" s="241"/>
      <c r="J54" s="256"/>
      <c r="K54" s="248"/>
      <c r="L54" s="256"/>
      <c r="M54" s="248"/>
      <c r="N54" s="256"/>
    </row>
    <row r="55" spans="1:14">
      <c r="A55" s="220">
        <f t="shared" si="3"/>
        <v>34</v>
      </c>
      <c r="B55" s="571" t="s">
        <v>535</v>
      </c>
      <c r="C55" s="674" t="str">
        <f>'Rate Design'!$D$29</f>
        <v>20 Therms</v>
      </c>
      <c r="D55" s="675"/>
      <c r="E55" s="674" t="str">
        <f>'Rate Design'!$D$29</f>
        <v>20 Therms</v>
      </c>
      <c r="F55" s="676"/>
      <c r="G55" s="677" t="str">
        <f>'Rate Design'!$E$29</f>
        <v>40 Therms</v>
      </c>
      <c r="H55" s="675"/>
      <c r="I55" s="676" t="str">
        <f>'Rate Design'!$E$29</f>
        <v>40 Therms</v>
      </c>
      <c r="J55" s="675"/>
      <c r="K55" s="674" t="str">
        <f>'Rate Design'!$E$29</f>
        <v>40 Therms</v>
      </c>
      <c r="L55" s="675"/>
      <c r="M55" s="674" t="str">
        <f>'Rate Design'!$E$29</f>
        <v>40 Therms</v>
      </c>
      <c r="N55" s="675"/>
    </row>
    <row r="56" spans="1:14">
      <c r="A56" s="220">
        <f t="shared" si="3"/>
        <v>35</v>
      </c>
      <c r="B56" s="574" t="s">
        <v>497</v>
      </c>
      <c r="C56" s="286">
        <f>'Rate Design'!$D$21</f>
        <v>0.12113</v>
      </c>
      <c r="D56" s="287">
        <f>'Rate Design'!$D$21</f>
        <v>0.12113</v>
      </c>
      <c r="E56" s="286">
        <f>'Rate Design'!$D$21</f>
        <v>0.12113</v>
      </c>
      <c r="F56" s="288">
        <f>'Rate Design'!$D$21</f>
        <v>0.12113</v>
      </c>
      <c r="G56" s="595">
        <f>'Rate Design'!$E$21</f>
        <v>0.11131000000000001</v>
      </c>
      <c r="H56" s="287">
        <f>'Rate Design'!$E$21</f>
        <v>0.11131000000000001</v>
      </c>
      <c r="I56" s="288">
        <f>'Rate Design'!$E$21</f>
        <v>0.11131000000000001</v>
      </c>
      <c r="J56" s="287">
        <f>'Rate Design'!$E$21</f>
        <v>0.11131000000000001</v>
      </c>
      <c r="K56" s="286">
        <f>'Rate Design'!$E$21</f>
        <v>0.11131000000000001</v>
      </c>
      <c r="L56" s="287">
        <f>'Rate Design'!$E$21</f>
        <v>0.11131000000000001</v>
      </c>
      <c r="M56" s="286">
        <f>'Rate Design'!$E$21</f>
        <v>0.11131000000000001</v>
      </c>
      <c r="N56" s="287">
        <f>'Rate Design'!$E$21</f>
        <v>0.11131000000000001</v>
      </c>
    </row>
    <row r="57" spans="1:14">
      <c r="A57" s="220">
        <f t="shared" si="3"/>
        <v>36</v>
      </c>
      <c r="B57" s="304"/>
      <c r="C57" s="286"/>
      <c r="D57" s="287"/>
      <c r="E57" s="286"/>
      <c r="F57" s="288"/>
      <c r="G57" s="595"/>
      <c r="H57" s="287"/>
      <c r="I57" s="288"/>
      <c r="J57" s="287"/>
      <c r="K57" s="286"/>
      <c r="L57" s="287"/>
      <c r="M57" s="286"/>
      <c r="N57" s="287"/>
    </row>
    <row r="58" spans="1:14">
      <c r="A58" s="220">
        <f t="shared" si="3"/>
        <v>37</v>
      </c>
      <c r="B58" s="571" t="s">
        <v>535</v>
      </c>
      <c r="C58" s="674" t="str">
        <f>'Rate Design'!$D$32</f>
        <v>&gt;20 Therms</v>
      </c>
      <c r="D58" s="675"/>
      <c r="E58" s="674" t="str">
        <f>'Rate Design'!$D$32</f>
        <v>&gt;20 Therms</v>
      </c>
      <c r="F58" s="676"/>
      <c r="G58" s="677" t="str">
        <f>'Rate Design'!$E$32</f>
        <v>&gt; 40 Therms</v>
      </c>
      <c r="H58" s="675"/>
      <c r="I58" s="676" t="str">
        <f>'Rate Design'!$E$32</f>
        <v>&gt; 40 Therms</v>
      </c>
      <c r="J58" s="675"/>
      <c r="K58" s="674" t="str">
        <f>'Rate Design'!$E$32</f>
        <v>&gt; 40 Therms</v>
      </c>
      <c r="L58" s="675"/>
      <c r="M58" s="674" t="str">
        <f>'Rate Design'!$E$32</f>
        <v>&gt; 40 Therms</v>
      </c>
      <c r="N58" s="675"/>
    </row>
    <row r="59" spans="1:14">
      <c r="A59" s="220">
        <f t="shared" si="3"/>
        <v>38</v>
      </c>
      <c r="B59" s="574" t="s">
        <v>498</v>
      </c>
      <c r="C59" s="286">
        <f>'Rate Design'!$D$24</f>
        <v>0.12113</v>
      </c>
      <c r="D59" s="287">
        <f>'Rate Design'!$D$24</f>
        <v>0.12113</v>
      </c>
      <c r="E59" s="286">
        <f>'Rate Design'!$D$24</f>
        <v>0.12113</v>
      </c>
      <c r="F59" s="288">
        <f>'Rate Design'!$D$24</f>
        <v>0.12113</v>
      </c>
      <c r="G59" s="595">
        <f>'Rate Design'!$E$24</f>
        <v>0.11131000000000001</v>
      </c>
      <c r="H59" s="287">
        <f>'Rate Design'!$E$24</f>
        <v>0.11131000000000001</v>
      </c>
      <c r="I59" s="288">
        <f>'Rate Design'!$E$24</f>
        <v>0.11131000000000001</v>
      </c>
      <c r="J59" s="287">
        <f>'Rate Design'!$E$24</f>
        <v>0.11131000000000001</v>
      </c>
      <c r="K59" s="286">
        <f>'Rate Design'!$E$24</f>
        <v>0.11131000000000001</v>
      </c>
      <c r="L59" s="287">
        <f>'Rate Design'!$E$24</f>
        <v>0.11131000000000001</v>
      </c>
      <c r="M59" s="286">
        <f>'Rate Design'!$E$24</f>
        <v>0.11131000000000001</v>
      </c>
      <c r="N59" s="287">
        <f>'Rate Design'!$E$24</f>
        <v>0.11131000000000001</v>
      </c>
    </row>
    <row r="60" spans="1:14">
      <c r="A60" s="220">
        <f t="shared" si="3"/>
        <v>39</v>
      </c>
      <c r="B60" s="470"/>
      <c r="C60" s="286"/>
      <c r="D60" s="287"/>
      <c r="E60" s="286"/>
      <c r="F60" s="288"/>
      <c r="G60" s="595"/>
      <c r="H60" s="287"/>
      <c r="I60" s="288"/>
      <c r="J60" s="287"/>
      <c r="K60" s="286"/>
      <c r="L60" s="287"/>
      <c r="M60" s="286"/>
      <c r="N60" s="287"/>
    </row>
    <row r="61" spans="1:14">
      <c r="A61" s="220">
        <f t="shared" si="3"/>
        <v>40</v>
      </c>
      <c r="B61" s="460" t="s">
        <v>516</v>
      </c>
      <c r="C61" s="289">
        <f>'Rate Design'!$D$18</f>
        <v>23</v>
      </c>
      <c r="D61" s="290">
        <f>'Rate Design'!$D$18</f>
        <v>23</v>
      </c>
      <c r="E61" s="289">
        <f>'Rate Design'!$D$18</f>
        <v>23</v>
      </c>
      <c r="F61" s="291">
        <f>'Rate Design'!$D$18</f>
        <v>23</v>
      </c>
      <c r="G61" s="596">
        <f>'Rate Design'!$E$18</f>
        <v>51</v>
      </c>
      <c r="H61" s="290">
        <f>'Rate Design'!$E$18</f>
        <v>51</v>
      </c>
      <c r="I61" s="291">
        <f>'Rate Design'!$E$18</f>
        <v>51</v>
      </c>
      <c r="J61" s="290">
        <f>'Rate Design'!$E$18</f>
        <v>51</v>
      </c>
      <c r="K61" s="289">
        <f>'Rate Design'!$E$18</f>
        <v>51</v>
      </c>
      <c r="L61" s="290">
        <f>'Rate Design'!$E$18</f>
        <v>51</v>
      </c>
      <c r="M61" s="289">
        <f>'Rate Design'!$E$18</f>
        <v>51</v>
      </c>
      <c r="N61" s="290">
        <f>'Rate Design'!$E$18</f>
        <v>51</v>
      </c>
    </row>
    <row r="62" spans="1:14">
      <c r="A62" s="220">
        <f t="shared" si="3"/>
        <v>41</v>
      </c>
      <c r="B62" s="236"/>
      <c r="C62" s="250"/>
      <c r="D62" s="249"/>
      <c r="E62" s="250"/>
      <c r="F62" s="237"/>
      <c r="G62" s="586"/>
      <c r="H62" s="249"/>
      <c r="I62" s="237"/>
      <c r="J62" s="249"/>
      <c r="K62" s="250"/>
      <c r="L62" s="249"/>
      <c r="M62" s="250"/>
      <c r="N62" s="249"/>
    </row>
    <row r="63" spans="1:14">
      <c r="A63" s="220">
        <f t="shared" si="3"/>
        <v>42</v>
      </c>
      <c r="B63" s="577" t="s">
        <v>693</v>
      </c>
      <c r="C63" s="254">
        <f>(C$11*C$52)+(C$13*C$56)+(C$16*C$59)+C$61</f>
        <v>79.770534508969803</v>
      </c>
      <c r="D63" s="255">
        <f t="shared" ref="D63:F63" si="4">(D$11*D$52)+(D$13*D$56)+(D$16*D$59)+D$61</f>
        <v>35.555022054868324</v>
      </c>
      <c r="E63" s="254">
        <f t="shared" si="4"/>
        <v>79.770534508969803</v>
      </c>
      <c r="F63" s="239">
        <f t="shared" si="4"/>
        <v>35.555022054868324</v>
      </c>
      <c r="G63" s="592">
        <f t="shared" ref="G63:L63" si="5">(G$11*G$52)+(G$13*G$56)+(G$16*G$59)+G$61</f>
        <v>362.18096118198616</v>
      </c>
      <c r="H63" s="255">
        <f t="shared" si="5"/>
        <v>131.7359538461854</v>
      </c>
      <c r="I63" s="239">
        <f>(I$11*I$52)+(40*I$56)+((I$11-40)*I$59)+I$61</f>
        <v>1535.2583303113288</v>
      </c>
      <c r="J63" s="255">
        <f>(J$11*J$52)+(40*J$56)+((J$11-40)*J$59)+J$61</f>
        <v>527.39559521159731</v>
      </c>
      <c r="K63" s="254">
        <f t="shared" si="5"/>
        <v>362.18096118198616</v>
      </c>
      <c r="L63" s="255">
        <f t="shared" si="5"/>
        <v>131.7359538461854</v>
      </c>
      <c r="M63" s="254">
        <f>(M$11*M$52)+(40*M$56)+((M$11-40)*M$59)+M$61</f>
        <v>1535.2583303113288</v>
      </c>
      <c r="N63" s="255">
        <f>(N$11*N$52)+(40*N$56)+((N$11-40)*N$59)+N$61</f>
        <v>527.39559521159731</v>
      </c>
    </row>
    <row r="64" spans="1:14">
      <c r="A64" s="220">
        <f t="shared" si="3"/>
        <v>43</v>
      </c>
      <c r="B64" s="236"/>
      <c r="C64" s="250"/>
      <c r="D64" s="249"/>
      <c r="E64" s="250"/>
      <c r="F64" s="237"/>
      <c r="G64" s="586"/>
      <c r="H64" s="249"/>
      <c r="I64" s="237"/>
      <c r="J64" s="249"/>
      <c r="K64" s="250"/>
      <c r="L64" s="249"/>
      <c r="M64" s="250"/>
      <c r="N64" s="249"/>
    </row>
    <row r="65" spans="1:14">
      <c r="A65" s="220">
        <f t="shared" si="3"/>
        <v>44</v>
      </c>
      <c r="B65" s="577" t="s">
        <v>722</v>
      </c>
      <c r="C65" s="254">
        <f>C63-C39</f>
        <v>1.1675199999999819</v>
      </c>
      <c r="D65" s="255">
        <f t="shared" ref="D65:N65" si="6">D63-D39</f>
        <v>7.1509900000000002</v>
      </c>
      <c r="E65" s="254">
        <f t="shared" si="6"/>
        <v>-3.7816800000000086</v>
      </c>
      <c r="F65" s="239">
        <f t="shared" si="6"/>
        <v>-2.7554099999999977</v>
      </c>
      <c r="G65" s="592">
        <f t="shared" si="6"/>
        <v>-4.7134799999999473</v>
      </c>
      <c r="H65" s="255">
        <f t="shared" si="6"/>
        <v>21.637859999999989</v>
      </c>
      <c r="I65" s="239">
        <f t="shared" ref="I65:J65" si="7">I63-I39</f>
        <v>-138.85464000000047</v>
      </c>
      <c r="J65" s="255">
        <f t="shared" si="7"/>
        <v>-23.605739999999969</v>
      </c>
      <c r="K65" s="254">
        <f t="shared" si="6"/>
        <v>-6.3871799999999439</v>
      </c>
      <c r="L65" s="255">
        <f t="shared" si="6"/>
        <v>3.3060099999999863</v>
      </c>
      <c r="M65" s="254">
        <f t="shared" si="6"/>
        <v>-148.25824000000034</v>
      </c>
      <c r="N65" s="255">
        <f t="shared" si="6"/>
        <v>-105.86459000000002</v>
      </c>
    </row>
    <row r="66" spans="1:14">
      <c r="A66" s="221">
        <f t="shared" si="3"/>
        <v>45</v>
      </c>
      <c r="B66" s="576" t="s">
        <v>694</v>
      </c>
      <c r="C66" s="600">
        <f>C65/C39</f>
        <v>1.4853374355849288E-2</v>
      </c>
      <c r="D66" s="601">
        <f t="shared" ref="D66:N66" si="8">D65/D39</f>
        <v>0.25175967926618192</v>
      </c>
      <c r="E66" s="600">
        <f t="shared" si="8"/>
        <v>-4.5261277899390967E-2</v>
      </c>
      <c r="F66" s="602">
        <f t="shared" si="8"/>
        <v>-7.1923229580227413E-2</v>
      </c>
      <c r="G66" s="603">
        <f t="shared" si="8"/>
        <v>-1.28469648785493E-2</v>
      </c>
      <c r="H66" s="601">
        <f t="shared" si="8"/>
        <v>0.19653255786816404</v>
      </c>
      <c r="I66" s="602">
        <f t="shared" ref="I66:J66" si="9">I65/I39</f>
        <v>-8.2942216243733019E-2</v>
      </c>
      <c r="J66" s="601">
        <f t="shared" si="9"/>
        <v>-4.2841529578026914E-2</v>
      </c>
      <c r="K66" s="600">
        <f t="shared" si="8"/>
        <v>-1.7329712707985188E-2</v>
      </c>
      <c r="L66" s="601">
        <f t="shared" si="8"/>
        <v>2.5741738265956431E-2</v>
      </c>
      <c r="M66" s="600">
        <f t="shared" si="8"/>
        <v>-8.8064615825303852E-2</v>
      </c>
      <c r="N66" s="601">
        <f t="shared" si="8"/>
        <v>-0.16717392388189772</v>
      </c>
    </row>
    <row r="67" spans="1:14">
      <c r="E67" s="643"/>
      <c r="F67" s="643"/>
    </row>
    <row r="68" spans="1:14">
      <c r="A68" s="367" t="str">
        <f>A1</f>
        <v>Black Hills Nebraska Gas, LLC</v>
      </c>
      <c r="B68" s="236"/>
      <c r="C68" s="237"/>
      <c r="D68" s="237"/>
      <c r="E68" s="513"/>
      <c r="F68" s="513"/>
      <c r="G68" s="237"/>
      <c r="H68" s="237"/>
      <c r="I68" s="237"/>
      <c r="J68" s="237"/>
      <c r="K68" s="237"/>
      <c r="L68" s="237"/>
      <c r="M68" s="295"/>
      <c r="N68" s="295" t="str">
        <f>N1</f>
        <v>Section 1, Schedule B2</v>
      </c>
    </row>
    <row r="69" spans="1:14">
      <c r="A69" s="367" t="s">
        <v>717</v>
      </c>
      <c r="B69" s="236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95"/>
      <c r="N69" s="295" t="s">
        <v>682</v>
      </c>
    </row>
    <row r="70" spans="1:14">
      <c r="A70" s="367" t="str">
        <f>A3</f>
        <v>FOR THE PRO FORMA PERIOD ENDED DECEMBER 31, 2020</v>
      </c>
      <c r="B70" s="236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</row>
    <row r="71" spans="1:14">
      <c r="A71" s="245"/>
      <c r="B71" s="236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</row>
    <row r="72" spans="1:14">
      <c r="A72" s="236"/>
      <c r="B72" s="264" t="s">
        <v>229</v>
      </c>
      <c r="C72" s="264" t="s">
        <v>230</v>
      </c>
      <c r="D72" s="264" t="s">
        <v>424</v>
      </c>
      <c r="E72" s="264" t="s">
        <v>425</v>
      </c>
      <c r="F72" s="260" t="s">
        <v>426</v>
      </c>
      <c r="G72" s="260" t="s">
        <v>427</v>
      </c>
      <c r="H72" s="260" t="s">
        <v>428</v>
      </c>
      <c r="I72" s="566" t="s">
        <v>429</v>
      </c>
      <c r="J72" s="260" t="s">
        <v>430</v>
      </c>
      <c r="K72" s="566" t="s">
        <v>431</v>
      </c>
      <c r="L72" s="566" t="s">
        <v>432</v>
      </c>
      <c r="M72" s="566" t="s">
        <v>433</v>
      </c>
      <c r="N72" s="566" t="s">
        <v>700</v>
      </c>
    </row>
    <row r="73" spans="1:14">
      <c r="A73" s="245"/>
    </row>
    <row r="74" spans="1:14">
      <c r="A74" s="260"/>
      <c r="B74" s="261"/>
      <c r="C74" s="669" t="s">
        <v>703</v>
      </c>
      <c r="D74" s="669"/>
      <c r="E74" s="669" t="s">
        <v>704</v>
      </c>
      <c r="F74" s="673"/>
      <c r="G74" s="668" t="s">
        <v>703</v>
      </c>
      <c r="H74" s="669"/>
      <c r="I74" s="669"/>
      <c r="J74" s="669"/>
      <c r="K74" s="669" t="s">
        <v>704</v>
      </c>
      <c r="L74" s="669"/>
      <c r="M74" s="669"/>
      <c r="N74" s="669"/>
    </row>
    <row r="75" spans="1:14" ht="12.75" customHeight="1">
      <c r="A75" s="260"/>
      <c r="B75" s="261"/>
      <c r="C75" s="670" t="s">
        <v>22</v>
      </c>
      <c r="D75" s="670"/>
      <c r="E75" s="670" t="s">
        <v>22</v>
      </c>
      <c r="F75" s="671"/>
      <c r="G75" s="672" t="s">
        <v>500</v>
      </c>
      <c r="H75" s="670"/>
      <c r="I75" s="670" t="s">
        <v>701</v>
      </c>
      <c r="J75" s="670"/>
      <c r="K75" s="670" t="s">
        <v>500</v>
      </c>
      <c r="L75" s="670"/>
      <c r="M75" s="670" t="s">
        <v>501</v>
      </c>
      <c r="N75" s="670"/>
    </row>
    <row r="76" spans="1:14" ht="25.5">
      <c r="A76" s="262" t="s">
        <v>434</v>
      </c>
      <c r="B76" s="567" t="s">
        <v>8</v>
      </c>
      <c r="C76" s="594" t="s">
        <v>689</v>
      </c>
      <c r="D76" s="262" t="s">
        <v>690</v>
      </c>
      <c r="E76" s="594" t="s">
        <v>689</v>
      </c>
      <c r="F76" s="604" t="s">
        <v>690</v>
      </c>
      <c r="G76" s="613" t="s">
        <v>689</v>
      </c>
      <c r="H76" s="262" t="s">
        <v>690</v>
      </c>
      <c r="I76" s="614" t="s">
        <v>689</v>
      </c>
      <c r="J76" s="262" t="s">
        <v>690</v>
      </c>
      <c r="K76" s="594" t="s">
        <v>689</v>
      </c>
      <c r="L76" s="262" t="s">
        <v>690</v>
      </c>
      <c r="M76" s="594" t="s">
        <v>689</v>
      </c>
      <c r="N76" s="262" t="s">
        <v>690</v>
      </c>
    </row>
    <row r="77" spans="1:14">
      <c r="A77" s="220"/>
      <c r="B77" s="236"/>
      <c r="C77" s="246"/>
      <c r="D77" s="247"/>
      <c r="E77" s="246"/>
      <c r="F77" s="257"/>
      <c r="G77" s="583"/>
      <c r="H77" s="247"/>
      <c r="I77" s="257"/>
      <c r="J77" s="257"/>
      <c r="K77" s="246"/>
      <c r="L77" s="247"/>
      <c r="M77" s="246"/>
      <c r="N77" s="247"/>
    </row>
    <row r="78" spans="1:14">
      <c r="A78" s="220">
        <f>1+A66</f>
        <v>46</v>
      </c>
      <c r="B78" s="577" t="s">
        <v>637</v>
      </c>
      <c r="C78" s="250"/>
      <c r="D78" s="249"/>
      <c r="E78" s="250"/>
      <c r="F78" s="237"/>
      <c r="G78" s="586"/>
      <c r="H78" s="249"/>
      <c r="I78" s="237"/>
      <c r="J78" s="237"/>
      <c r="K78" s="250"/>
      <c r="L78" s="249"/>
      <c r="M78" s="250"/>
      <c r="N78" s="249"/>
    </row>
    <row r="79" spans="1:14">
      <c r="A79" s="220">
        <f>A78+1</f>
        <v>47</v>
      </c>
      <c r="B79" s="460" t="s">
        <v>514</v>
      </c>
      <c r="C79" s="283">
        <f>+'Revenue Proof'!$D$77</f>
        <v>0.4247405241247097</v>
      </c>
      <c r="D79" s="284">
        <f>+'Revenue Proof'!$D$77</f>
        <v>0.4247405241247097</v>
      </c>
      <c r="E79" s="283">
        <f>+'Revenue Proof'!$D$77</f>
        <v>0.4247405241247097</v>
      </c>
      <c r="F79" s="285">
        <f>+'Revenue Proof'!$D$77</f>
        <v>0.4247405241247097</v>
      </c>
      <c r="G79" s="587">
        <f>$G$19</f>
        <v>0.42336519103434045</v>
      </c>
      <c r="H79" s="284">
        <f>$G$19</f>
        <v>0.42336519103434045</v>
      </c>
      <c r="I79" s="285">
        <f>$G$19</f>
        <v>0.42336519103434045</v>
      </c>
      <c r="J79" s="284">
        <f>$G$19</f>
        <v>0.42336519103434045</v>
      </c>
      <c r="K79" s="283">
        <f>$K$19</f>
        <v>0.42336519103434045</v>
      </c>
      <c r="L79" s="284">
        <f>$K$19</f>
        <v>0.42336519103434045</v>
      </c>
      <c r="M79" s="283">
        <f>$M$19</f>
        <v>0.42336519103434045</v>
      </c>
      <c r="N79" s="284">
        <f>$M$19</f>
        <v>0.42336519103434045</v>
      </c>
    </row>
    <row r="80" spans="1:14">
      <c r="A80" s="220">
        <f t="shared" ref="A80:A93" si="10">A79+1</f>
        <v>48</v>
      </c>
      <c r="B80" s="460"/>
      <c r="C80" s="248"/>
      <c r="D80" s="256"/>
      <c r="E80" s="248"/>
      <c r="F80" s="241"/>
      <c r="G80" s="585"/>
      <c r="H80" s="256"/>
      <c r="I80" s="241"/>
      <c r="J80" s="256"/>
      <c r="K80" s="248"/>
      <c r="L80" s="256"/>
      <c r="M80" s="248"/>
      <c r="N80" s="256"/>
    </row>
    <row r="81" spans="1:14">
      <c r="A81" s="220">
        <f t="shared" si="10"/>
        <v>49</v>
      </c>
      <c r="B81" s="457" t="s">
        <v>515</v>
      </c>
      <c r="C81" s="248"/>
      <c r="D81" s="256"/>
      <c r="E81" s="248"/>
      <c r="F81" s="241"/>
      <c r="G81" s="585"/>
      <c r="H81" s="256"/>
      <c r="I81" s="241"/>
      <c r="J81" s="256"/>
      <c r="K81" s="248"/>
      <c r="L81" s="256"/>
      <c r="M81" s="248"/>
      <c r="N81" s="256"/>
    </row>
    <row r="82" spans="1:14">
      <c r="A82" s="220">
        <f t="shared" si="10"/>
        <v>50</v>
      </c>
      <c r="B82" s="571" t="s">
        <v>535</v>
      </c>
      <c r="C82" s="674" t="str">
        <f>'Rate Design'!$D$29</f>
        <v>20 Therms</v>
      </c>
      <c r="D82" s="675"/>
      <c r="E82" s="674" t="str">
        <f>'Rate Design'!$D$29</f>
        <v>20 Therms</v>
      </c>
      <c r="F82" s="676"/>
      <c r="G82" s="677" t="str">
        <f>'Rate Design'!$E$29</f>
        <v>40 Therms</v>
      </c>
      <c r="H82" s="675"/>
      <c r="I82" s="676" t="str">
        <f>'Rate Design'!$E$29</f>
        <v>40 Therms</v>
      </c>
      <c r="J82" s="675"/>
      <c r="K82" s="674" t="str">
        <f>'Rate Design'!$E$29</f>
        <v>40 Therms</v>
      </c>
      <c r="L82" s="675"/>
      <c r="M82" s="674" t="str">
        <f>'Rate Design'!$E$29</f>
        <v>40 Therms</v>
      </c>
      <c r="N82" s="675"/>
    </row>
    <row r="83" spans="1:14">
      <c r="A83" s="220">
        <f t="shared" si="10"/>
        <v>51</v>
      </c>
      <c r="B83" s="574" t="s">
        <v>497</v>
      </c>
      <c r="C83" s="286">
        <f>'Rate Design'!$D$30</f>
        <v>0.50858000000000003</v>
      </c>
      <c r="D83" s="287">
        <f>'Rate Design'!$D$30</f>
        <v>0.50858000000000003</v>
      </c>
      <c r="E83" s="286">
        <f>'Rate Design'!$D$30</f>
        <v>0.50858000000000003</v>
      </c>
      <c r="F83" s="288">
        <f>'Rate Design'!$D$30</f>
        <v>0.50858000000000003</v>
      </c>
      <c r="G83" s="595">
        <f>'Rate Design'!$E$30</f>
        <v>0.50858000000000003</v>
      </c>
      <c r="H83" s="287">
        <f>'Rate Design'!$E$30</f>
        <v>0.50858000000000003</v>
      </c>
      <c r="I83" s="288">
        <f>'Rate Design'!$E$30</f>
        <v>0.50858000000000003</v>
      </c>
      <c r="J83" s="287">
        <f>'Rate Design'!$E$30</f>
        <v>0.50858000000000003</v>
      </c>
      <c r="K83" s="286">
        <f>'Rate Design'!$E$30</f>
        <v>0.50858000000000003</v>
      </c>
      <c r="L83" s="287">
        <f>'Rate Design'!$E$30</f>
        <v>0.50858000000000003</v>
      </c>
      <c r="M83" s="286">
        <f>'Rate Design'!$E$30</f>
        <v>0.50858000000000003</v>
      </c>
      <c r="N83" s="287">
        <f>'Rate Design'!$E$30</f>
        <v>0.50858000000000003</v>
      </c>
    </row>
    <row r="84" spans="1:14">
      <c r="A84" s="220">
        <f t="shared" si="10"/>
        <v>52</v>
      </c>
      <c r="B84" s="304"/>
      <c r="C84" s="286"/>
      <c r="D84" s="287"/>
      <c r="E84" s="286"/>
      <c r="F84" s="288"/>
      <c r="G84" s="595"/>
      <c r="H84" s="287"/>
      <c r="I84" s="288"/>
      <c r="J84" s="287"/>
      <c r="K84" s="286"/>
      <c r="L84" s="287"/>
      <c r="M84" s="286"/>
      <c r="N84" s="287"/>
    </row>
    <row r="85" spans="1:14">
      <c r="A85" s="220">
        <f t="shared" si="10"/>
        <v>53</v>
      </c>
      <c r="B85" s="571" t="s">
        <v>535</v>
      </c>
      <c r="C85" s="674" t="str">
        <f>'Rate Design'!$D$32</f>
        <v>&gt;20 Therms</v>
      </c>
      <c r="D85" s="675"/>
      <c r="E85" s="674" t="str">
        <f>'Rate Design'!$D$32</f>
        <v>&gt;20 Therms</v>
      </c>
      <c r="F85" s="676"/>
      <c r="G85" s="677" t="str">
        <f>'Rate Design'!$E$32</f>
        <v>&gt; 40 Therms</v>
      </c>
      <c r="H85" s="675"/>
      <c r="I85" s="676" t="str">
        <f>'Rate Design'!$E$32</f>
        <v>&gt; 40 Therms</v>
      </c>
      <c r="J85" s="675"/>
      <c r="K85" s="674" t="str">
        <f>'Rate Design'!$E$32</f>
        <v>&gt; 40 Therms</v>
      </c>
      <c r="L85" s="675"/>
      <c r="M85" s="674" t="str">
        <f>'Rate Design'!$E$32</f>
        <v>&gt; 40 Therms</v>
      </c>
      <c r="N85" s="675"/>
    </row>
    <row r="86" spans="1:14">
      <c r="A86" s="220">
        <f t="shared" si="10"/>
        <v>54</v>
      </c>
      <c r="B86" s="574" t="s">
        <v>498</v>
      </c>
      <c r="C86" s="286">
        <f>'Rate Design'!$D$33</f>
        <v>0.15</v>
      </c>
      <c r="D86" s="287">
        <f>'Rate Design'!$D$33</f>
        <v>0.15</v>
      </c>
      <c r="E86" s="286">
        <f>'Rate Design'!$D$33</f>
        <v>0.15</v>
      </c>
      <c r="F86" s="288">
        <f>'Rate Design'!$D$33</f>
        <v>0.15</v>
      </c>
      <c r="G86" s="595">
        <f>'Rate Design'!$E$33</f>
        <v>0.15</v>
      </c>
      <c r="H86" s="287">
        <f>'Rate Design'!$E$33</f>
        <v>0.15</v>
      </c>
      <c r="I86" s="288">
        <f>'Rate Design'!$E$33</f>
        <v>0.15</v>
      </c>
      <c r="J86" s="287">
        <f>'Rate Design'!$E$33</f>
        <v>0.15</v>
      </c>
      <c r="K86" s="286">
        <f>'Rate Design'!$E$33</f>
        <v>0.15</v>
      </c>
      <c r="L86" s="287">
        <f>'Rate Design'!$E$33</f>
        <v>0.15</v>
      </c>
      <c r="M86" s="286">
        <f>'Rate Design'!$E$33</f>
        <v>0.15</v>
      </c>
      <c r="N86" s="287">
        <f>'Rate Design'!$E$33</f>
        <v>0.15</v>
      </c>
    </row>
    <row r="87" spans="1:14">
      <c r="A87" s="220">
        <f t="shared" si="10"/>
        <v>55</v>
      </c>
      <c r="B87" s="470"/>
      <c r="C87" s="286"/>
      <c r="D87" s="287"/>
      <c r="E87" s="286"/>
      <c r="F87" s="288"/>
      <c r="G87" s="595"/>
      <c r="H87" s="287"/>
      <c r="I87" s="288"/>
      <c r="J87" s="287"/>
      <c r="K87" s="286"/>
      <c r="L87" s="287"/>
      <c r="M87" s="286"/>
      <c r="N87" s="287"/>
    </row>
    <row r="88" spans="1:14">
      <c r="A88" s="220">
        <f t="shared" si="10"/>
        <v>56</v>
      </c>
      <c r="B88" s="460" t="s">
        <v>516</v>
      </c>
      <c r="C88" s="289">
        <f>'Rate Design'!$D$27</f>
        <v>15.45</v>
      </c>
      <c r="D88" s="290">
        <f>'Rate Design'!$D$27</f>
        <v>15.45</v>
      </c>
      <c r="E88" s="289">
        <f>'Rate Design'!$D$27</f>
        <v>15.45</v>
      </c>
      <c r="F88" s="291">
        <f>'Rate Design'!$D$27</f>
        <v>15.45</v>
      </c>
      <c r="G88" s="596">
        <f>'Rate Design'!$E$27</f>
        <v>28.43</v>
      </c>
      <c r="H88" s="290">
        <f>'Rate Design'!$E$27</f>
        <v>28.43</v>
      </c>
      <c r="I88" s="291">
        <f>'Rate Design'!$E$27</f>
        <v>28.43</v>
      </c>
      <c r="J88" s="290">
        <f>'Rate Design'!$E$27</f>
        <v>28.43</v>
      </c>
      <c r="K88" s="289">
        <f>'Rate Design'!$E$27</f>
        <v>28.43</v>
      </c>
      <c r="L88" s="290">
        <f>'Rate Design'!$E$27</f>
        <v>28.43</v>
      </c>
      <c r="M88" s="289">
        <f>'Rate Design'!$E$27</f>
        <v>28.43</v>
      </c>
      <c r="N88" s="290">
        <f>'Rate Design'!$E$27</f>
        <v>28.43</v>
      </c>
    </row>
    <row r="89" spans="1:14">
      <c r="A89" s="220">
        <f t="shared" si="10"/>
        <v>57</v>
      </c>
      <c r="B89" s="236"/>
      <c r="C89" s="250"/>
      <c r="D89" s="249"/>
      <c r="E89" s="250"/>
      <c r="F89" s="237"/>
      <c r="G89" s="586"/>
      <c r="H89" s="249"/>
      <c r="I89" s="237"/>
      <c r="J89" s="249"/>
      <c r="K89" s="250"/>
      <c r="L89" s="249"/>
      <c r="M89" s="250"/>
      <c r="N89" s="249"/>
    </row>
    <row r="90" spans="1:14">
      <c r="A90" s="220">
        <f t="shared" si="10"/>
        <v>58</v>
      </c>
      <c r="B90" s="577" t="s">
        <v>696</v>
      </c>
      <c r="C90" s="254">
        <f>(C$11*C$79)+(C$13*C$83)+(C$16*C$86)+C$88</f>
        <v>82.394614508969809</v>
      </c>
      <c r="D90" s="255">
        <f t="shared" ref="D90:F90" si="11">(D$11*D$79)+(D$13*D$83)+(D$16*D$86)+D$88</f>
        <v>35.840632054868323</v>
      </c>
      <c r="E90" s="254">
        <f t="shared" si="11"/>
        <v>82.394614508969809</v>
      </c>
      <c r="F90" s="239">
        <f t="shared" si="11"/>
        <v>35.840632054868323</v>
      </c>
      <c r="G90" s="592">
        <f t="shared" ref="G90:L90" si="12">(G$11*G$79)+(G$13*G$83)+(G$16*G$86)+G$88</f>
        <v>376.47174118198615</v>
      </c>
      <c r="H90" s="255">
        <f t="shared" si="12"/>
        <v>129.35134384618542</v>
      </c>
      <c r="I90" s="239">
        <f>(I$11*I$79)+(40*I$83)+((I$11-40)*I$86)+I$88</f>
        <v>1634.4349703113292</v>
      </c>
      <c r="J90" s="255">
        <f>(J$11*J$79)+(40*J$83)+((J$11-40)*J$86)+J$88</f>
        <v>553.64158521159732</v>
      </c>
      <c r="K90" s="254">
        <f t="shared" si="12"/>
        <v>376.47174118198615</v>
      </c>
      <c r="L90" s="255">
        <f t="shared" si="12"/>
        <v>129.35134384618542</v>
      </c>
      <c r="M90" s="254">
        <f>(M$11*M$79)+(40*M$83)+((M$11-40)*M$86)+M$88</f>
        <v>1634.4349703113292</v>
      </c>
      <c r="N90" s="255">
        <f>(N$11*N$79)+(40*N$83)+((N$11-40)*N$86)+N$88</f>
        <v>553.64158521159732</v>
      </c>
    </row>
    <row r="91" spans="1:14">
      <c r="A91" s="220">
        <f t="shared" si="10"/>
        <v>59</v>
      </c>
      <c r="B91" s="236"/>
      <c r="C91" s="250"/>
      <c r="D91" s="249"/>
      <c r="E91" s="250"/>
      <c r="F91" s="237"/>
      <c r="G91" s="586"/>
      <c r="H91" s="249"/>
      <c r="I91" s="237"/>
      <c r="J91" s="249"/>
      <c r="K91" s="250"/>
      <c r="L91" s="249"/>
      <c r="M91" s="250"/>
      <c r="N91" s="249"/>
    </row>
    <row r="92" spans="1:14">
      <c r="A92" s="220">
        <f t="shared" si="10"/>
        <v>60</v>
      </c>
      <c r="B92" s="577" t="s">
        <v>724</v>
      </c>
      <c r="C92" s="254">
        <f>C90-C39</f>
        <v>3.7915999999999883</v>
      </c>
      <c r="D92" s="255">
        <f t="shared" ref="D92:N92" si="13">D90-D39</f>
        <v>7.4365999999999985</v>
      </c>
      <c r="E92" s="254">
        <f t="shared" si="13"/>
        <v>-1.1576000000000022</v>
      </c>
      <c r="F92" s="239">
        <f t="shared" si="13"/>
        <v>-2.4697999999999993</v>
      </c>
      <c r="G92" s="592">
        <f t="shared" si="13"/>
        <v>9.5773000000000366</v>
      </c>
      <c r="H92" s="255">
        <f t="shared" si="13"/>
        <v>19.253250000000008</v>
      </c>
      <c r="I92" s="239">
        <f t="shared" ref="I92:J92" si="14">I90-I39</f>
        <v>-39.678000000000111</v>
      </c>
      <c r="J92" s="255">
        <f t="shared" si="14"/>
        <v>2.6402500000000373</v>
      </c>
      <c r="K92" s="254">
        <f t="shared" si="13"/>
        <v>7.9036000000000399</v>
      </c>
      <c r="L92" s="255">
        <f t="shared" si="13"/>
        <v>0.92140000000000555</v>
      </c>
      <c r="M92" s="254">
        <f t="shared" si="13"/>
        <v>-49.08159999999998</v>
      </c>
      <c r="N92" s="255">
        <f t="shared" si="13"/>
        <v>-79.618600000000015</v>
      </c>
    </row>
    <row r="93" spans="1:14">
      <c r="A93" s="221">
        <f t="shared" si="10"/>
        <v>61</v>
      </c>
      <c r="B93" s="576" t="s">
        <v>695</v>
      </c>
      <c r="C93" s="487">
        <f>C92/C39</f>
        <v>4.8237335726701781E-2</v>
      </c>
      <c r="D93" s="488">
        <f t="shared" ref="D93:N93" si="15">D92/D39</f>
        <v>0.26181494182356402</v>
      </c>
      <c r="E93" s="487">
        <f t="shared" si="15"/>
        <v>-1.3854809316582832E-2</v>
      </c>
      <c r="F93" s="489">
        <f t="shared" si="15"/>
        <v>-6.4468080037905703E-2</v>
      </c>
      <c r="G93" s="597">
        <f t="shared" si="15"/>
        <v>2.6103693392425988E-2</v>
      </c>
      <c r="H93" s="488">
        <f t="shared" si="15"/>
        <v>0.17487359978182837</v>
      </c>
      <c r="I93" s="489">
        <f t="shared" ref="I93:J93" si="16">I92/I39</f>
        <v>-2.3700909498730736E-2</v>
      </c>
      <c r="J93" s="488">
        <f t="shared" si="16"/>
        <v>4.7917306751827015E-3</v>
      </c>
      <c r="K93" s="487">
        <f t="shared" si="15"/>
        <v>2.1444067234496857E-2</v>
      </c>
      <c r="L93" s="488">
        <f t="shared" si="15"/>
        <v>7.1743393511370188E-3</v>
      </c>
      <c r="M93" s="487">
        <f t="shared" si="15"/>
        <v>-2.9154212596151297E-2</v>
      </c>
      <c r="N93" s="488">
        <f t="shared" si="15"/>
        <v>-0.12572810017006877</v>
      </c>
    </row>
    <row r="94" spans="1:14">
      <c r="E94" s="643"/>
      <c r="F94" s="643"/>
    </row>
    <row r="95" spans="1:14">
      <c r="A95" s="367" t="str">
        <f>A1</f>
        <v>Black Hills Nebraska Gas, LLC</v>
      </c>
      <c r="B95" s="236"/>
      <c r="C95" s="237"/>
      <c r="D95" s="237"/>
      <c r="E95" s="513"/>
      <c r="F95" s="513"/>
      <c r="G95" s="237"/>
      <c r="H95" s="237"/>
      <c r="I95" s="237"/>
      <c r="J95" s="237"/>
      <c r="K95" s="237"/>
      <c r="L95" s="237"/>
      <c r="M95" s="295"/>
      <c r="N95" s="295" t="str">
        <f>N1</f>
        <v>Section 1, Schedule B2</v>
      </c>
    </row>
    <row r="96" spans="1:14">
      <c r="A96" s="367" t="s">
        <v>719</v>
      </c>
      <c r="B96" s="236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95"/>
      <c r="N96" s="295" t="s">
        <v>683</v>
      </c>
    </row>
    <row r="97" spans="1:14">
      <c r="A97" s="367" t="str">
        <f t="shared" ref="A97" si="17">A3</f>
        <v>FOR THE PRO FORMA PERIOD ENDED DECEMBER 31, 2020</v>
      </c>
      <c r="B97" s="236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</row>
    <row r="98" spans="1:14">
      <c r="A98" s="245"/>
      <c r="B98" s="236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</row>
    <row r="99" spans="1:14">
      <c r="A99" s="236"/>
      <c r="B99" s="264" t="s">
        <v>229</v>
      </c>
      <c r="C99" s="264" t="s">
        <v>230</v>
      </c>
      <c r="D99" s="264" t="s">
        <v>424</v>
      </c>
      <c r="E99" s="264" t="s">
        <v>425</v>
      </c>
      <c r="F99" s="260" t="s">
        <v>426</v>
      </c>
      <c r="G99" s="260" t="s">
        <v>427</v>
      </c>
      <c r="H99" s="260" t="s">
        <v>428</v>
      </c>
      <c r="I99" s="566" t="s">
        <v>429</v>
      </c>
      <c r="J99" s="260" t="s">
        <v>430</v>
      </c>
      <c r="K99" s="566" t="s">
        <v>431</v>
      </c>
      <c r="L99" s="566" t="s">
        <v>432</v>
      </c>
      <c r="M99" s="566" t="s">
        <v>433</v>
      </c>
      <c r="N99" s="566" t="s">
        <v>700</v>
      </c>
    </row>
    <row r="100" spans="1:14">
      <c r="A100" s="245"/>
    </row>
    <row r="101" spans="1:14">
      <c r="A101" s="260"/>
      <c r="B101" s="261"/>
      <c r="C101" s="669" t="s">
        <v>703</v>
      </c>
      <c r="D101" s="669"/>
      <c r="E101" s="669" t="s">
        <v>704</v>
      </c>
      <c r="F101" s="673"/>
      <c r="G101" s="668" t="s">
        <v>703</v>
      </c>
      <c r="H101" s="669"/>
      <c r="I101" s="669"/>
      <c r="J101" s="669"/>
      <c r="K101" s="669" t="s">
        <v>704</v>
      </c>
      <c r="L101" s="669"/>
      <c r="M101" s="669"/>
      <c r="N101" s="669"/>
    </row>
    <row r="102" spans="1:14" ht="12.75" customHeight="1">
      <c r="A102" s="260"/>
      <c r="B102" s="261"/>
      <c r="C102" s="670" t="s">
        <v>22</v>
      </c>
      <c r="D102" s="670"/>
      <c r="E102" s="670" t="s">
        <v>22</v>
      </c>
      <c r="F102" s="671"/>
      <c r="G102" s="672" t="s">
        <v>500</v>
      </c>
      <c r="H102" s="670"/>
      <c r="I102" s="670" t="s">
        <v>701</v>
      </c>
      <c r="J102" s="670"/>
      <c r="K102" s="670" t="s">
        <v>500</v>
      </c>
      <c r="L102" s="670"/>
      <c r="M102" s="670" t="s">
        <v>501</v>
      </c>
      <c r="N102" s="670"/>
    </row>
    <row r="103" spans="1:14" ht="25.5">
      <c r="A103" s="262" t="s">
        <v>434</v>
      </c>
      <c r="B103" s="567" t="s">
        <v>8</v>
      </c>
      <c r="C103" s="594" t="s">
        <v>689</v>
      </c>
      <c r="D103" s="262" t="s">
        <v>690</v>
      </c>
      <c r="E103" s="594" t="s">
        <v>689</v>
      </c>
      <c r="F103" s="604" t="s">
        <v>690</v>
      </c>
      <c r="G103" s="613" t="s">
        <v>689</v>
      </c>
      <c r="H103" s="262" t="s">
        <v>690</v>
      </c>
      <c r="I103" s="594" t="s">
        <v>689</v>
      </c>
      <c r="J103" s="262" t="s">
        <v>690</v>
      </c>
      <c r="K103" s="594" t="s">
        <v>689</v>
      </c>
      <c r="L103" s="262" t="s">
        <v>690</v>
      </c>
      <c r="M103" s="594" t="s">
        <v>689</v>
      </c>
      <c r="N103" s="262" t="s">
        <v>690</v>
      </c>
    </row>
    <row r="104" spans="1:14">
      <c r="A104" s="220"/>
      <c r="B104" s="236"/>
      <c r="C104" s="246"/>
      <c r="D104" s="247"/>
      <c r="E104" s="246"/>
      <c r="F104" s="257"/>
      <c r="G104" s="583"/>
      <c r="H104" s="247"/>
      <c r="I104" s="257"/>
      <c r="J104" s="257"/>
      <c r="K104" s="246"/>
      <c r="L104" s="247"/>
      <c r="M104" s="246"/>
      <c r="N104" s="247"/>
    </row>
    <row r="105" spans="1:14">
      <c r="A105" s="220">
        <f>1+A93</f>
        <v>62</v>
      </c>
      <c r="B105" s="577" t="s">
        <v>691</v>
      </c>
      <c r="C105" s="250"/>
      <c r="D105" s="249"/>
      <c r="E105" s="250"/>
      <c r="F105" s="237"/>
      <c r="G105" s="586"/>
      <c r="H105" s="249"/>
      <c r="I105" s="237"/>
      <c r="J105" s="237"/>
      <c r="K105" s="250"/>
      <c r="L105" s="249"/>
      <c r="M105" s="250"/>
      <c r="N105" s="249"/>
    </row>
    <row r="106" spans="1:14">
      <c r="A106" s="220">
        <f>A105+1</f>
        <v>63</v>
      </c>
      <c r="B106" s="460" t="s">
        <v>514</v>
      </c>
      <c r="C106" s="283">
        <f>+'Revenue Proof'!$D$77</f>
        <v>0.4247405241247097</v>
      </c>
      <c r="D106" s="284">
        <f>+'Revenue Proof'!$D$77</f>
        <v>0.4247405241247097</v>
      </c>
      <c r="E106" s="283">
        <f>+'Revenue Proof'!$D$77</f>
        <v>0.4247405241247097</v>
      </c>
      <c r="F106" s="285">
        <f>+'Revenue Proof'!$D$77</f>
        <v>0.4247405241247097</v>
      </c>
      <c r="G106" s="587">
        <f>$G$19</f>
        <v>0.42336519103434045</v>
      </c>
      <c r="H106" s="284">
        <f>$G$19</f>
        <v>0.42336519103434045</v>
      </c>
      <c r="I106" s="285">
        <f>$G$19</f>
        <v>0.42336519103434045</v>
      </c>
      <c r="J106" s="284">
        <f>$G$19</f>
        <v>0.42336519103434045</v>
      </c>
      <c r="K106" s="283">
        <f>$K$19</f>
        <v>0.42336519103434045</v>
      </c>
      <c r="L106" s="284">
        <f>$K$19</f>
        <v>0.42336519103434045</v>
      </c>
      <c r="M106" s="283">
        <f>$M$19</f>
        <v>0.42336519103434045</v>
      </c>
      <c r="N106" s="284">
        <f>$M$19</f>
        <v>0.42336519103434045</v>
      </c>
    </row>
    <row r="107" spans="1:14">
      <c r="A107" s="220">
        <f t="shared" ref="A107:A116" si="18">A106+1</f>
        <v>64</v>
      </c>
      <c r="B107" s="460"/>
      <c r="C107" s="248"/>
      <c r="D107" s="256"/>
      <c r="E107" s="248"/>
      <c r="F107" s="241"/>
      <c r="G107" s="585"/>
      <c r="H107" s="256"/>
      <c r="I107" s="241"/>
      <c r="J107" s="256"/>
      <c r="K107" s="248"/>
      <c r="L107" s="256"/>
      <c r="M107" s="248"/>
      <c r="N107" s="256"/>
    </row>
    <row r="108" spans="1:14">
      <c r="A108" s="220">
        <f t="shared" si="18"/>
        <v>65</v>
      </c>
      <c r="B108" s="457" t="s">
        <v>515</v>
      </c>
      <c r="C108" s="248"/>
      <c r="D108" s="256"/>
      <c r="E108" s="248"/>
      <c r="F108" s="241"/>
      <c r="G108" s="585"/>
      <c r="H108" s="256"/>
      <c r="I108" s="241"/>
      <c r="J108" s="256"/>
      <c r="K108" s="248"/>
      <c r="L108" s="256"/>
      <c r="M108" s="248"/>
      <c r="N108" s="256"/>
    </row>
    <row r="109" spans="1:14">
      <c r="A109" s="220">
        <f t="shared" si="18"/>
        <v>66</v>
      </c>
      <c r="B109" s="456" t="s">
        <v>684</v>
      </c>
      <c r="C109" s="251">
        <f>'Rate Design'!$D$37</f>
        <v>0.15</v>
      </c>
      <c r="D109" s="252">
        <f>'Rate Design'!$D$37</f>
        <v>0.15</v>
      </c>
      <c r="E109" s="251">
        <f>'Rate Design'!$D$37</f>
        <v>0.15</v>
      </c>
      <c r="F109" s="240">
        <f>'Rate Design'!$D$37</f>
        <v>0.15</v>
      </c>
      <c r="G109" s="585">
        <f>'Rate Design'!$E$37</f>
        <v>0.15</v>
      </c>
      <c r="H109" s="256">
        <f>'Rate Design'!$E$37</f>
        <v>0.15</v>
      </c>
      <c r="I109" s="241">
        <f>'Rate Design'!$E$37</f>
        <v>0.15</v>
      </c>
      <c r="J109" s="256">
        <f>'Rate Design'!$E$37</f>
        <v>0.15</v>
      </c>
      <c r="K109" s="248">
        <f>'Rate Design'!$E$37</f>
        <v>0.15</v>
      </c>
      <c r="L109" s="256">
        <f>'Rate Design'!$E$37</f>
        <v>0.15</v>
      </c>
      <c r="M109" s="248">
        <f>'Rate Design'!$E$37</f>
        <v>0.15</v>
      </c>
      <c r="N109" s="256">
        <f>'Rate Design'!$E$37</f>
        <v>0.15</v>
      </c>
    </row>
    <row r="110" spans="1:14">
      <c r="A110" s="220">
        <f t="shared" si="18"/>
        <v>67</v>
      </c>
      <c r="B110" s="470"/>
      <c r="C110" s="286"/>
      <c r="D110" s="287"/>
      <c r="E110" s="286"/>
      <c r="F110" s="288"/>
      <c r="G110" s="595"/>
      <c r="H110" s="287"/>
      <c r="I110" s="288"/>
      <c r="J110" s="287"/>
      <c r="K110" s="286"/>
      <c r="L110" s="287"/>
      <c r="M110" s="286"/>
      <c r="N110" s="287"/>
    </row>
    <row r="111" spans="1:14">
      <c r="A111" s="220">
        <f t="shared" si="18"/>
        <v>68</v>
      </c>
      <c r="B111" s="460" t="s">
        <v>516</v>
      </c>
      <c r="C111" s="289">
        <f>'Rate Design'!$D$36</f>
        <v>21.32</v>
      </c>
      <c r="D111" s="290">
        <f>'Rate Design'!$D$36</f>
        <v>21.32</v>
      </c>
      <c r="E111" s="289">
        <f>'Rate Design'!$D$36</f>
        <v>21.32</v>
      </c>
      <c r="F111" s="291">
        <f>'Rate Design'!$D$36</f>
        <v>21.32</v>
      </c>
      <c r="G111" s="596">
        <f>'Rate Design'!$E$36</f>
        <v>38.43</v>
      </c>
      <c r="H111" s="290">
        <f>'Rate Design'!$E$36</f>
        <v>38.43</v>
      </c>
      <c r="I111" s="291">
        <f>'Rate Design'!$E$36</f>
        <v>38.43</v>
      </c>
      <c r="J111" s="290">
        <f>'Rate Design'!$E$36</f>
        <v>38.43</v>
      </c>
      <c r="K111" s="289">
        <f>'Rate Design'!$E$36</f>
        <v>38.43</v>
      </c>
      <c r="L111" s="290">
        <f>'Rate Design'!$E$36</f>
        <v>38.43</v>
      </c>
      <c r="M111" s="289">
        <f>'Rate Design'!$E$36</f>
        <v>38.43</v>
      </c>
      <c r="N111" s="290">
        <f>'Rate Design'!$E$36</f>
        <v>38.43</v>
      </c>
    </row>
    <row r="112" spans="1:14">
      <c r="A112" s="220">
        <f t="shared" si="18"/>
        <v>69</v>
      </c>
      <c r="B112" s="236"/>
      <c r="C112" s="250"/>
      <c r="D112" s="249"/>
      <c r="E112" s="250"/>
      <c r="F112" s="237"/>
      <c r="G112" s="586"/>
      <c r="H112" s="249"/>
      <c r="I112" s="237"/>
      <c r="J112" s="249"/>
      <c r="K112" s="250"/>
      <c r="L112" s="249"/>
      <c r="M112" s="250"/>
      <c r="N112" s="249"/>
    </row>
    <row r="113" spans="1:14">
      <c r="A113" s="220">
        <f t="shared" si="18"/>
        <v>70</v>
      </c>
      <c r="B113" s="577" t="s">
        <v>697</v>
      </c>
      <c r="C113" s="254">
        <f t="shared" ref="C113:N113" si="19">(C$11*C$106)+(C$11*C$109)+C$111</f>
        <v>81.093014508969816</v>
      </c>
      <c r="D113" s="255">
        <f t="shared" si="19"/>
        <v>34.539032054868322</v>
      </c>
      <c r="E113" s="254">
        <f t="shared" si="19"/>
        <v>81.093014508969816</v>
      </c>
      <c r="F113" s="239">
        <f t="shared" si="19"/>
        <v>34.539032054868322</v>
      </c>
      <c r="G113" s="592">
        <f t="shared" si="19"/>
        <v>372.12854118198612</v>
      </c>
      <c r="H113" s="255">
        <f t="shared" si="19"/>
        <v>125.00814384618542</v>
      </c>
      <c r="I113" s="239">
        <f t="shared" si="19"/>
        <v>1630.0917703113289</v>
      </c>
      <c r="J113" s="255">
        <f t="shared" si="19"/>
        <v>549.29838521159729</v>
      </c>
      <c r="K113" s="254">
        <f t="shared" si="19"/>
        <v>372.12854118198612</v>
      </c>
      <c r="L113" s="255">
        <f t="shared" si="19"/>
        <v>125.00814384618542</v>
      </c>
      <c r="M113" s="254">
        <f>(M$11*M$106)+(M$11*M$109)+M$111</f>
        <v>1630.0917703113289</v>
      </c>
      <c r="N113" s="255">
        <f t="shared" si="19"/>
        <v>549.29838521159729</v>
      </c>
    </row>
    <row r="114" spans="1:14">
      <c r="A114" s="220">
        <f t="shared" si="18"/>
        <v>71</v>
      </c>
      <c r="B114" s="236"/>
      <c r="C114" s="250"/>
      <c r="D114" s="249"/>
      <c r="E114" s="250"/>
      <c r="F114" s="237"/>
      <c r="G114" s="586"/>
      <c r="H114" s="249"/>
      <c r="I114" s="237"/>
      <c r="J114" s="249"/>
      <c r="K114" s="250"/>
      <c r="L114" s="249"/>
      <c r="M114" s="250"/>
      <c r="N114" s="249"/>
    </row>
    <row r="115" spans="1:14">
      <c r="A115" s="220">
        <f t="shared" si="18"/>
        <v>72</v>
      </c>
      <c r="B115" s="577" t="s">
        <v>723</v>
      </c>
      <c r="C115" s="254">
        <f t="shared" ref="C115:N115" si="20">C113-C39</f>
        <v>2.4899999999999949</v>
      </c>
      <c r="D115" s="255">
        <f t="shared" si="20"/>
        <v>6.134999999999998</v>
      </c>
      <c r="E115" s="254">
        <f t="shared" si="20"/>
        <v>-2.4591999999999956</v>
      </c>
      <c r="F115" s="239">
        <f t="shared" si="20"/>
        <v>-3.7713999999999999</v>
      </c>
      <c r="G115" s="592">
        <f t="shared" si="20"/>
        <v>5.2341000000000122</v>
      </c>
      <c r="H115" s="255">
        <f t="shared" si="20"/>
        <v>14.910050000000012</v>
      </c>
      <c r="I115" s="239">
        <f t="shared" ref="I115:J115" si="21">I113-I39</f>
        <v>-44.021200000000363</v>
      </c>
      <c r="J115" s="255">
        <f t="shared" si="21"/>
        <v>-1.7029499999999871</v>
      </c>
      <c r="K115" s="254">
        <f t="shared" si="20"/>
        <v>3.5604000000000156</v>
      </c>
      <c r="L115" s="255">
        <f t="shared" si="20"/>
        <v>-3.4217999999999904</v>
      </c>
      <c r="M115" s="254">
        <f t="shared" si="20"/>
        <v>-53.424800000000232</v>
      </c>
      <c r="N115" s="255">
        <f t="shared" si="20"/>
        <v>-83.961800000000039</v>
      </c>
    </row>
    <row r="116" spans="1:14">
      <c r="A116" s="220">
        <f t="shared" si="18"/>
        <v>73</v>
      </c>
      <c r="B116" s="576" t="s">
        <v>698</v>
      </c>
      <c r="C116" s="487">
        <f t="shared" ref="C116:N116" si="22">C115/C39</f>
        <v>3.1678174374798911E-2</v>
      </c>
      <c r="D116" s="488">
        <f t="shared" si="22"/>
        <v>0.21599046178193868</v>
      </c>
      <c r="E116" s="487">
        <f t="shared" si="22"/>
        <v>-2.9433091803162038E-2</v>
      </c>
      <c r="F116" s="489">
        <f t="shared" si="22"/>
        <v>-9.84431601971648E-2</v>
      </c>
      <c r="G116" s="597">
        <f t="shared" si="22"/>
        <v>1.4265956123886342E-2</v>
      </c>
      <c r="H116" s="488">
        <f t="shared" si="22"/>
        <v>0.13542514206313486</v>
      </c>
      <c r="I116" s="489">
        <f t="shared" ref="I116:J116" si="23">I115/I39</f>
        <v>-2.6295238601379382E-2</v>
      </c>
      <c r="J116" s="488">
        <f t="shared" si="23"/>
        <v>-3.0906458681193845E-3</v>
      </c>
      <c r="K116" s="487">
        <f t="shared" si="22"/>
        <v>9.6600861609522949E-3</v>
      </c>
      <c r="L116" s="488">
        <f t="shared" si="22"/>
        <v>-2.6643319287736524E-2</v>
      </c>
      <c r="M116" s="487">
        <f t="shared" si="22"/>
        <v>-3.1734050583250573E-2</v>
      </c>
      <c r="N116" s="488">
        <f t="shared" si="22"/>
        <v>-0.13258657651427283</v>
      </c>
    </row>
    <row r="117" spans="1:14">
      <c r="E117" s="643"/>
      <c r="F117" s="643"/>
    </row>
    <row r="118" spans="1:14">
      <c r="E118" s="643"/>
      <c r="F118" s="643"/>
      <c r="G118" s="500"/>
    </row>
    <row r="120" spans="1:14">
      <c r="C120" s="498"/>
      <c r="D120" s="498"/>
      <c r="E120" s="498"/>
    </row>
    <row r="121" spans="1:14">
      <c r="C121" s="498"/>
      <c r="D121" s="498"/>
      <c r="E121" s="498"/>
    </row>
  </sheetData>
  <mergeCells count="82">
    <mergeCell ref="C7:D7"/>
    <mergeCell ref="E7:F7"/>
    <mergeCell ref="K7:N7"/>
    <mergeCell ref="C8:D8"/>
    <mergeCell ref="E8:F8"/>
    <mergeCell ref="G8:H8"/>
    <mergeCell ref="K8:L8"/>
    <mergeCell ref="M8:N8"/>
    <mergeCell ref="I8:J8"/>
    <mergeCell ref="G7:J7"/>
    <mergeCell ref="K74:N74"/>
    <mergeCell ref="C75:D75"/>
    <mergeCell ref="E75:F75"/>
    <mergeCell ref="G75:H75"/>
    <mergeCell ref="K75:L75"/>
    <mergeCell ref="M75:N75"/>
    <mergeCell ref="G74:J74"/>
    <mergeCell ref="I75:J75"/>
    <mergeCell ref="M12:N12"/>
    <mergeCell ref="C15:D15"/>
    <mergeCell ref="C12:D12"/>
    <mergeCell ref="E12:F12"/>
    <mergeCell ref="E15:F15"/>
    <mergeCell ref="G12:H12"/>
    <mergeCell ref="K12:L12"/>
    <mergeCell ref="G15:H15"/>
    <mergeCell ref="K15:L15"/>
    <mergeCell ref="M15:N15"/>
    <mergeCell ref="I12:J12"/>
    <mergeCell ref="I15:J15"/>
    <mergeCell ref="E23:F23"/>
    <mergeCell ref="E26:F26"/>
    <mergeCell ref="K23:L23"/>
    <mergeCell ref="K26:L26"/>
    <mergeCell ref="M23:N23"/>
    <mergeCell ref="M26:N26"/>
    <mergeCell ref="K47:N47"/>
    <mergeCell ref="C48:D48"/>
    <mergeCell ref="E48:F48"/>
    <mergeCell ref="G48:H48"/>
    <mergeCell ref="K48:L48"/>
    <mergeCell ref="M48:N48"/>
    <mergeCell ref="G47:J47"/>
    <mergeCell ref="I48:J48"/>
    <mergeCell ref="C47:D47"/>
    <mergeCell ref="E47:F47"/>
    <mergeCell ref="K55:L55"/>
    <mergeCell ref="M55:N55"/>
    <mergeCell ref="K58:L58"/>
    <mergeCell ref="M58:N58"/>
    <mergeCell ref="I55:J55"/>
    <mergeCell ref="I58:J58"/>
    <mergeCell ref="C82:D82"/>
    <mergeCell ref="C85:D85"/>
    <mergeCell ref="I82:J82"/>
    <mergeCell ref="I85:J85"/>
    <mergeCell ref="G55:H55"/>
    <mergeCell ref="G58:H58"/>
    <mergeCell ref="C58:D58"/>
    <mergeCell ref="C55:D55"/>
    <mergeCell ref="E55:F55"/>
    <mergeCell ref="E58:F58"/>
    <mergeCell ref="C74:D74"/>
    <mergeCell ref="E74:F74"/>
    <mergeCell ref="G82:H82"/>
    <mergeCell ref="G85:H85"/>
    <mergeCell ref="E82:F82"/>
    <mergeCell ref="E85:F85"/>
    <mergeCell ref="K82:L82"/>
    <mergeCell ref="K102:L102"/>
    <mergeCell ref="M102:N102"/>
    <mergeCell ref="M82:N82"/>
    <mergeCell ref="K85:L85"/>
    <mergeCell ref="M85:N85"/>
    <mergeCell ref="K101:N101"/>
    <mergeCell ref="G101:J101"/>
    <mergeCell ref="I102:J102"/>
    <mergeCell ref="C102:D102"/>
    <mergeCell ref="E102:F102"/>
    <mergeCell ref="G102:H102"/>
    <mergeCell ref="C101:D101"/>
    <mergeCell ref="E101:F101"/>
  </mergeCells>
  <pageMargins left="1" right="1" top="1" bottom="1" header="0.5" footer="0.5"/>
  <pageSetup scale="60" fitToHeight="0" orientation="landscape" r:id="rId1"/>
  <rowBreaks count="3" manualBreakCount="3">
    <brk id="40" max="16383" man="1"/>
    <brk id="67" max="16383" man="1"/>
    <brk id="94" max="16383" man="1"/>
  </rowBreaks>
  <ignoredErrors>
    <ignoredError sqref="G55 G58 G39 E3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577C2-C24D-448C-900E-2F400E397A4E}">
  <dimension ref="A1:HV154"/>
  <sheetViews>
    <sheetView topLeftCell="A73" zoomScaleNormal="100" workbookViewId="0">
      <selection activeCell="H78" sqref="H78"/>
    </sheetView>
  </sheetViews>
  <sheetFormatPr defaultColWidth="9.140625" defaultRowHeight="12.75"/>
  <cols>
    <col min="1" max="1" width="5.85546875" style="42" customWidth="1"/>
    <col min="2" max="2" width="47.42578125" style="38" customWidth="1"/>
    <col min="3" max="13" width="15.7109375" style="38" customWidth="1"/>
    <col min="14" max="14" width="4.5703125" style="38" customWidth="1"/>
    <col min="15" max="15" width="14" style="38" customWidth="1"/>
    <col min="16" max="16" width="16.140625" style="38" customWidth="1"/>
    <col min="17" max="16384" width="9.140625" style="38"/>
  </cols>
  <sheetData>
    <row r="1" spans="1:230" ht="15.75">
      <c r="A1" s="35" t="s">
        <v>713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 t="s">
        <v>712</v>
      </c>
    </row>
    <row r="2" spans="1:230" ht="15.75">
      <c r="A2" s="35" t="s">
        <v>714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75</v>
      </c>
    </row>
    <row r="3" spans="1:230" ht="15.75">
      <c r="A3" s="35" t="s">
        <v>715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230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230">
      <c r="A5" s="39"/>
      <c r="B5" s="41" t="s">
        <v>229</v>
      </c>
      <c r="C5" s="41" t="s">
        <v>230</v>
      </c>
      <c r="D5" s="41" t="s">
        <v>424</v>
      </c>
      <c r="E5" s="41" t="s">
        <v>425</v>
      </c>
      <c r="F5" s="41" t="s">
        <v>426</v>
      </c>
      <c r="G5" s="41" t="s">
        <v>427</v>
      </c>
      <c r="H5" s="41" t="s">
        <v>428</v>
      </c>
      <c r="I5" s="41" t="s">
        <v>429</v>
      </c>
      <c r="J5" s="41" t="s">
        <v>430</v>
      </c>
      <c r="K5" s="41" t="s">
        <v>431</v>
      </c>
      <c r="L5" s="41" t="s">
        <v>432</v>
      </c>
      <c r="M5" s="41" t="s">
        <v>433</v>
      </c>
    </row>
    <row r="6" spans="1:230" s="42" customFormat="1" ht="17.25" customHeight="1">
      <c r="A6" s="39"/>
      <c r="N6" s="43"/>
      <c r="O6" s="43"/>
      <c r="P6" s="43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</row>
    <row r="7" spans="1:230" s="42" customFormat="1" ht="29.25" customHeight="1">
      <c r="A7" s="44" t="s">
        <v>434</v>
      </c>
      <c r="B7" s="45" t="s">
        <v>8</v>
      </c>
      <c r="C7" s="45" t="s">
        <v>435</v>
      </c>
      <c r="D7" s="45" t="s">
        <v>22</v>
      </c>
      <c r="E7" s="45" t="s">
        <v>24</v>
      </c>
      <c r="F7" s="45" t="s">
        <v>78</v>
      </c>
      <c r="G7" s="45" t="s">
        <v>416</v>
      </c>
      <c r="H7" s="45" t="s">
        <v>436</v>
      </c>
      <c r="I7" s="45" t="s">
        <v>437</v>
      </c>
      <c r="J7" s="45" t="s">
        <v>438</v>
      </c>
      <c r="K7" s="45" t="s">
        <v>439</v>
      </c>
      <c r="L7" s="45" t="s">
        <v>440</v>
      </c>
      <c r="M7" s="45" t="s">
        <v>542</v>
      </c>
      <c r="N7" s="46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</row>
    <row r="8" spans="1:230">
      <c r="A8" s="47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230">
      <c r="A9" s="272">
        <f>IF(ISBLANK(B9),"",MAX($A$8:$A8)+1)</f>
        <v>1</v>
      </c>
      <c r="B9" s="51" t="s">
        <v>441</v>
      </c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230">
      <c r="A10" s="272">
        <f>IF(ISBLANK(B10),"",MAX($A$8:$A9)+1)</f>
        <v>2</v>
      </c>
      <c r="B10" s="53" t="s">
        <v>199</v>
      </c>
      <c r="C10" s="38">
        <f>SUM(D10:E10)</f>
        <v>3381219</v>
      </c>
      <c r="D10" s="54">
        <v>3042492</v>
      </c>
      <c r="E10" s="54">
        <v>338727</v>
      </c>
      <c r="F10" s="55">
        <f>SUM(G10:M10)</f>
        <v>110043</v>
      </c>
      <c r="G10" s="54">
        <v>106052</v>
      </c>
      <c r="H10" s="54">
        <v>468</v>
      </c>
      <c r="I10" s="54">
        <v>1701</v>
      </c>
      <c r="J10" s="54">
        <v>1540</v>
      </c>
      <c r="K10" s="54">
        <v>102</v>
      </c>
      <c r="L10" s="54">
        <v>180</v>
      </c>
      <c r="M10" s="54">
        <v>0</v>
      </c>
      <c r="N10" s="46"/>
    </row>
    <row r="11" spans="1:230">
      <c r="A11" s="272">
        <f>IF(ISBLANK(B11),"",MAX($A$8:$A10)+1)</f>
        <v>3</v>
      </c>
      <c r="B11" s="53" t="s">
        <v>66</v>
      </c>
      <c r="C11" s="38">
        <f t="shared" ref="C11:C12" si="0">SUM(D11:E11)</f>
        <v>47190</v>
      </c>
      <c r="D11" s="54">
        <v>0</v>
      </c>
      <c r="E11" s="54">
        <v>47190</v>
      </c>
      <c r="F11" s="55">
        <f t="shared" ref="F11:F15" si="1">SUM(G11:M11)</f>
        <v>1158</v>
      </c>
      <c r="G11" s="54">
        <v>0</v>
      </c>
      <c r="H11" s="54">
        <v>0</v>
      </c>
      <c r="I11" s="54">
        <v>1158</v>
      </c>
      <c r="J11" s="54">
        <v>0</v>
      </c>
      <c r="K11" s="54">
        <v>0</v>
      </c>
      <c r="L11" s="54">
        <v>0</v>
      </c>
      <c r="M11" s="54">
        <v>0</v>
      </c>
      <c r="N11" s="46"/>
    </row>
    <row r="12" spans="1:230">
      <c r="A12" s="272">
        <f>IF(ISBLANK(B12),"",MAX($A$8:$A11)+1)</f>
        <v>4</v>
      </c>
      <c r="B12" s="53" t="s">
        <v>442</v>
      </c>
      <c r="C12" s="58">
        <f t="shared" si="0"/>
        <v>28440</v>
      </c>
      <c r="D12" s="59">
        <v>25644</v>
      </c>
      <c r="E12" s="59">
        <v>2796</v>
      </c>
      <c r="F12" s="60">
        <f t="shared" si="1"/>
        <v>0</v>
      </c>
      <c r="G12" s="59"/>
      <c r="H12" s="59"/>
      <c r="I12" s="59"/>
      <c r="J12" s="59"/>
      <c r="K12" s="59"/>
      <c r="L12" s="59"/>
      <c r="M12" s="59"/>
      <c r="N12" s="46"/>
    </row>
    <row r="13" spans="1:230">
      <c r="A13" s="272">
        <f>IF(ISBLANK(B13),"",MAX($A$8:$A12)+1)</f>
        <v>5</v>
      </c>
      <c r="B13" s="62" t="s">
        <v>443</v>
      </c>
      <c r="C13" s="48">
        <f>SUM(D13:E13)</f>
        <v>3456849</v>
      </c>
      <c r="D13" s="63">
        <f>+SUM(D10:D12)</f>
        <v>3068136</v>
      </c>
      <c r="E13" s="63">
        <f>+SUM(E10:E12)</f>
        <v>388713</v>
      </c>
      <c r="F13" s="64">
        <f t="shared" si="1"/>
        <v>111201</v>
      </c>
      <c r="G13" s="63">
        <f t="shared" ref="G13:M13" si="2">+SUM(G10:G11)</f>
        <v>106052</v>
      </c>
      <c r="H13" s="63">
        <f t="shared" si="2"/>
        <v>468</v>
      </c>
      <c r="I13" s="63">
        <f t="shared" si="2"/>
        <v>2859</v>
      </c>
      <c r="J13" s="63">
        <f t="shared" si="2"/>
        <v>1540</v>
      </c>
      <c r="K13" s="63">
        <f t="shared" si="2"/>
        <v>102</v>
      </c>
      <c r="L13" s="63">
        <f t="shared" si="2"/>
        <v>180</v>
      </c>
      <c r="M13" s="63">
        <f t="shared" si="2"/>
        <v>0</v>
      </c>
      <c r="N13" s="46"/>
    </row>
    <row r="14" spans="1:230">
      <c r="A14" s="272" t="str">
        <f>IF(ISBLANK(B14),"",MAX($A$8:$A13)+1)</f>
        <v/>
      </c>
      <c r="B14" s="65"/>
      <c r="C14" s="66"/>
      <c r="D14" s="67"/>
      <c r="E14" s="67"/>
      <c r="F14" s="55"/>
      <c r="G14" s="67"/>
      <c r="H14" s="67"/>
      <c r="I14" s="67"/>
      <c r="J14" s="67"/>
      <c r="K14" s="67"/>
      <c r="L14" s="67"/>
      <c r="M14" s="67"/>
      <c r="N14" s="46"/>
    </row>
    <row r="15" spans="1:230">
      <c r="A15" s="272">
        <f>IF(ISBLANK(B15),"",MAX($A$8:$A14)+1)</f>
        <v>6</v>
      </c>
      <c r="B15" s="65" t="s">
        <v>444</v>
      </c>
      <c r="C15" s="38">
        <f>SUM(D15:E15)</f>
        <v>288071</v>
      </c>
      <c r="D15" s="55">
        <f>ROUND(D13/12,0)</f>
        <v>255678</v>
      </c>
      <c r="E15" s="55">
        <f t="shared" ref="E15:M15" si="3">ROUND(E13/12,0)</f>
        <v>32393</v>
      </c>
      <c r="F15" s="55">
        <f t="shared" si="1"/>
        <v>9267</v>
      </c>
      <c r="G15" s="55">
        <f t="shared" si="3"/>
        <v>8838</v>
      </c>
      <c r="H15" s="55">
        <f t="shared" si="3"/>
        <v>39</v>
      </c>
      <c r="I15" s="55">
        <f t="shared" si="3"/>
        <v>238</v>
      </c>
      <c r="J15" s="55">
        <f t="shared" si="3"/>
        <v>128</v>
      </c>
      <c r="K15" s="55">
        <f t="shared" si="3"/>
        <v>9</v>
      </c>
      <c r="L15" s="55">
        <f t="shared" si="3"/>
        <v>15</v>
      </c>
      <c r="M15" s="55">
        <f t="shared" si="3"/>
        <v>0</v>
      </c>
      <c r="N15" s="46"/>
    </row>
    <row r="16" spans="1:230">
      <c r="A16" s="272" t="str">
        <f>IF(ISBLANK(B16),"",MAX($A$8:$A15)+1)</f>
        <v/>
      </c>
      <c r="B16" s="68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5">
      <c r="A17" s="272">
        <f>IF(ISBLANK(B17),"",MAX($A$8:$A16)+1)</f>
        <v>7</v>
      </c>
      <c r="B17" s="51" t="s">
        <v>445</v>
      </c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5">
      <c r="A18" s="272">
        <f>IF(ISBLANK(B18),"",MAX($A$8:$A17)+1)</f>
        <v>8</v>
      </c>
      <c r="B18" s="71" t="s">
        <v>199</v>
      </c>
      <c r="C18" s="38">
        <f t="shared" ref="C18:C22" si="4">SUM(D18:E18)</f>
        <v>286677833</v>
      </c>
      <c r="D18" s="54">
        <v>191604078</v>
      </c>
      <c r="E18" s="54">
        <v>95073755</v>
      </c>
      <c r="F18" s="55">
        <f t="shared" ref="F18:F23" si="5">SUM(G18:M18)</f>
        <v>481989139</v>
      </c>
      <c r="G18" s="54">
        <v>30198871</v>
      </c>
      <c r="H18" s="54">
        <v>11183303</v>
      </c>
      <c r="I18" s="54">
        <v>2504692</v>
      </c>
      <c r="J18" s="54">
        <v>115875683</v>
      </c>
      <c r="K18" s="54">
        <v>80115450</v>
      </c>
      <c r="L18" s="54">
        <v>242111140</v>
      </c>
      <c r="M18" s="54">
        <v>0</v>
      </c>
      <c r="O18" s="67"/>
    </row>
    <row r="19" spans="1:15">
      <c r="A19" s="272">
        <f>IF(ISBLANK(B19),"",MAX($A$8:$A18)+1)</f>
        <v>9</v>
      </c>
      <c r="B19" s="71" t="s">
        <v>66</v>
      </c>
      <c r="C19" s="38">
        <f t="shared" si="4"/>
        <v>39555405</v>
      </c>
      <c r="D19" s="54">
        <v>0</v>
      </c>
      <c r="E19" s="54">
        <v>39555405</v>
      </c>
      <c r="F19" s="55">
        <f t="shared" si="5"/>
        <v>6663110</v>
      </c>
      <c r="G19" s="54">
        <v>0</v>
      </c>
      <c r="H19" s="54">
        <v>0</v>
      </c>
      <c r="I19" s="54">
        <v>6663110</v>
      </c>
      <c r="J19" s="54">
        <v>0</v>
      </c>
      <c r="K19" s="54">
        <v>0</v>
      </c>
      <c r="L19" s="54">
        <v>0</v>
      </c>
      <c r="M19" s="54">
        <v>0</v>
      </c>
      <c r="O19" s="67"/>
    </row>
    <row r="20" spans="1:15">
      <c r="A20" s="272">
        <f>IF(ISBLANK(B20),"",MAX($A$8:$A19)+1)</f>
        <v>10</v>
      </c>
      <c r="B20" s="71" t="s">
        <v>446</v>
      </c>
      <c r="C20" s="40">
        <f t="shared" si="4"/>
        <v>-23990740.1895223</v>
      </c>
      <c r="D20" s="72">
        <v>-14695112.238850698</v>
      </c>
      <c r="E20" s="72">
        <v>-9295627.950671602</v>
      </c>
      <c r="F20" s="73">
        <v>0</v>
      </c>
      <c r="G20" s="72"/>
      <c r="H20" s="72"/>
      <c r="I20" s="72"/>
      <c r="J20" s="72"/>
      <c r="K20" s="72"/>
      <c r="L20" s="72"/>
      <c r="M20" s="72"/>
    </row>
    <row r="21" spans="1:15">
      <c r="A21" s="272">
        <f>IF(ISBLANK(B21),"",MAX($A$8:$A20)+1)</f>
        <v>11</v>
      </c>
      <c r="B21" s="71" t="s">
        <v>442</v>
      </c>
      <c r="C21" s="40">
        <f t="shared" si="4"/>
        <v>2399149.5445761788</v>
      </c>
      <c r="D21" s="72">
        <v>1491097.9282702836</v>
      </c>
      <c r="E21" s="72">
        <v>908051.61630589527</v>
      </c>
      <c r="F21" s="73">
        <f t="shared" si="5"/>
        <v>0</v>
      </c>
      <c r="G21" s="72"/>
      <c r="H21" s="72"/>
      <c r="I21" s="72"/>
      <c r="J21" s="72"/>
      <c r="K21" s="72"/>
      <c r="L21" s="72"/>
      <c r="M21" s="72"/>
    </row>
    <row r="22" spans="1:15">
      <c r="A22" s="272">
        <f>IF(ISBLANK(B22),"",MAX($A$8:$A21)+1)</f>
        <v>12</v>
      </c>
      <c r="B22" s="71" t="s">
        <v>447</v>
      </c>
      <c r="C22" s="57">
        <f t="shared" si="4"/>
        <v>0</v>
      </c>
      <c r="D22" s="74"/>
      <c r="E22" s="74"/>
      <c r="F22" s="75">
        <f t="shared" ref="F22" si="6">SUM(G22:M22)</f>
        <v>10803938</v>
      </c>
      <c r="G22" s="74">
        <v>10803938</v>
      </c>
      <c r="H22" s="74"/>
      <c r="I22" s="74"/>
      <c r="J22" s="74"/>
      <c r="K22" s="74"/>
      <c r="L22" s="74"/>
      <c r="M22" s="74"/>
    </row>
    <row r="23" spans="1:15">
      <c r="A23" s="272">
        <f>IF(ISBLANK(B23),"",MAX($A$8:$A22)+1)</f>
        <v>13</v>
      </c>
      <c r="B23" s="76" t="s">
        <v>448</v>
      </c>
      <c r="C23" s="48">
        <f t="shared" ref="C23" si="7">SUM(D23:E23)</f>
        <v>304641647.3550539</v>
      </c>
      <c r="D23" s="77">
        <f>+SUM(D18:D22)</f>
        <v>178400063.68941957</v>
      </c>
      <c r="E23" s="77">
        <f>+SUM(E18:E22)</f>
        <v>126241583.6656343</v>
      </c>
      <c r="F23" s="77">
        <f t="shared" si="5"/>
        <v>499456187</v>
      </c>
      <c r="G23" s="77">
        <f t="shared" ref="G23:M23" si="8">+SUM(G18:G22)</f>
        <v>41002809</v>
      </c>
      <c r="H23" s="77">
        <f t="shared" si="8"/>
        <v>11183303</v>
      </c>
      <c r="I23" s="77">
        <f t="shared" si="8"/>
        <v>9167802</v>
      </c>
      <c r="J23" s="77">
        <f t="shared" si="8"/>
        <v>115875683</v>
      </c>
      <c r="K23" s="77">
        <f t="shared" si="8"/>
        <v>80115450</v>
      </c>
      <c r="L23" s="77">
        <f t="shared" si="8"/>
        <v>242111140</v>
      </c>
      <c r="M23" s="77">
        <f t="shared" si="8"/>
        <v>0</v>
      </c>
    </row>
    <row r="24" spans="1:15">
      <c r="A24" s="272" t="str">
        <f>IF(ISBLANK(B24),"",MAX($A$8:$A23)+1)</f>
        <v/>
      </c>
      <c r="B24" s="76"/>
      <c r="C24" s="48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5">
      <c r="A25" s="272">
        <f>IF(ISBLANK(B25),"",MAX($A$8:$A24)+1)</f>
        <v>14</v>
      </c>
      <c r="B25" s="639" t="s">
        <v>716</v>
      </c>
      <c r="C25" s="48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5">
      <c r="A26" s="272">
        <f>IF(ISBLANK(B26),"",MAX($A$8:$A25)+1)</f>
        <v>15</v>
      </c>
      <c r="B26" s="76" t="s">
        <v>449</v>
      </c>
      <c r="C26" s="48"/>
      <c r="D26" s="77">
        <f>D23/D15</f>
        <v>697.75289109512573</v>
      </c>
      <c r="E26" s="77">
        <f>E23/E15</f>
        <v>3897.1871597454483</v>
      </c>
      <c r="F26" s="77"/>
      <c r="G26" s="77">
        <f t="shared" ref="G26:L26" si="9">G23/G15</f>
        <v>4639.3764426340804</v>
      </c>
      <c r="H26" s="77">
        <f t="shared" si="9"/>
        <v>286751.358974359</v>
      </c>
      <c r="I26" s="77">
        <f t="shared" si="9"/>
        <v>38520.176470588238</v>
      </c>
      <c r="J26" s="77">
        <f t="shared" si="9"/>
        <v>905278.7734375</v>
      </c>
      <c r="K26" s="77">
        <f t="shared" si="9"/>
        <v>8901716.666666666</v>
      </c>
      <c r="L26" s="77">
        <f t="shared" si="9"/>
        <v>16140742.666666666</v>
      </c>
      <c r="M26" s="77"/>
    </row>
    <row r="27" spans="1:15">
      <c r="A27" s="272">
        <f>IF(ISBLANK(B27),"",MAX($A$8:$A26)+1)</f>
        <v>16</v>
      </c>
      <c r="B27" s="76" t="s">
        <v>450</v>
      </c>
      <c r="C27" s="48"/>
      <c r="D27" s="77">
        <f>SUM(D18:D20)/D13</f>
        <v>57.660079527488122</v>
      </c>
      <c r="E27" s="77">
        <f>SUM(E18:E20)/E13</f>
        <v>322.43205668276698</v>
      </c>
      <c r="F27" s="77"/>
      <c r="G27" s="77">
        <f t="shared" ref="G27:L27" si="10">G23/G13</f>
        <v>386.62928563346281</v>
      </c>
      <c r="H27" s="77">
        <f t="shared" si="10"/>
        <v>23895.946581196582</v>
      </c>
      <c r="I27" s="77">
        <f t="shared" si="10"/>
        <v>3206.6463798530954</v>
      </c>
      <c r="J27" s="77">
        <f t="shared" si="10"/>
        <v>75243.95</v>
      </c>
      <c r="K27" s="77">
        <f t="shared" si="10"/>
        <v>785445.5882352941</v>
      </c>
      <c r="L27" s="77">
        <f t="shared" si="10"/>
        <v>1345061.888888889</v>
      </c>
      <c r="M27" s="77"/>
    </row>
    <row r="28" spans="1:15">
      <c r="A28" s="272" t="str">
        <f>IF(ISBLANK(B28),"",MAX($A$8:$A27)+1)</f>
        <v/>
      </c>
      <c r="B28" s="76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5">
      <c r="A29" s="272">
        <f>IF(ISBLANK(B29),"",MAX($A$8:$A28)+1)</f>
        <v>17</v>
      </c>
      <c r="B29" s="71" t="s">
        <v>451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5">
      <c r="A30" s="272">
        <f>IF(ISBLANK(B30),"",MAX($A$8:$A29)+1)</f>
        <v>18</v>
      </c>
      <c r="B30" s="76" t="s">
        <v>452</v>
      </c>
      <c r="C30" s="48">
        <f t="shared" ref="C30:C32" si="11">SUM(D30:E30)</f>
        <v>243104927</v>
      </c>
      <c r="D30" s="80">
        <v>144719299</v>
      </c>
      <c r="E30" s="80">
        <v>98385628</v>
      </c>
      <c r="F30" s="77">
        <f t="shared" ref="F30:F33" si="12">SUM(G30:M30)</f>
        <v>212646770</v>
      </c>
      <c r="G30" s="80">
        <v>7792100</v>
      </c>
      <c r="H30" s="80">
        <v>5825328</v>
      </c>
      <c r="I30" s="80">
        <v>5083885</v>
      </c>
      <c r="J30" s="80">
        <v>57260497</v>
      </c>
      <c r="K30" s="80">
        <v>32906750</v>
      </c>
      <c r="L30" s="80">
        <v>103778210</v>
      </c>
      <c r="M30" s="80">
        <v>0</v>
      </c>
      <c r="O30" s="108"/>
    </row>
    <row r="31" spans="1:15">
      <c r="A31" s="272">
        <f>IF(ISBLANK(B31),"",MAX($A$8:$A30)+1)</f>
        <v>19</v>
      </c>
      <c r="B31" s="76" t="s">
        <v>446</v>
      </c>
      <c r="C31" s="48">
        <f t="shared" si="11"/>
        <v>-16265559</v>
      </c>
      <c r="D31" s="80">
        <v>-10018855</v>
      </c>
      <c r="E31" s="80">
        <v>-6246704</v>
      </c>
      <c r="F31" s="77">
        <f t="shared" si="12"/>
        <v>0</v>
      </c>
      <c r="G31" s="77"/>
      <c r="H31" s="77"/>
      <c r="I31" s="77"/>
      <c r="J31" s="77"/>
      <c r="K31" s="77"/>
      <c r="L31" s="77"/>
      <c r="M31" s="77"/>
      <c r="O31" s="108"/>
    </row>
    <row r="32" spans="1:15">
      <c r="A32" s="272">
        <f>IF(ISBLANK(B32),"",MAX($A$8:$A31)+1)</f>
        <v>20</v>
      </c>
      <c r="B32" s="76" t="s">
        <v>442</v>
      </c>
      <c r="C32" s="57">
        <f t="shared" si="11"/>
        <v>4292631.0886336286</v>
      </c>
      <c r="D32" s="632">
        <v>2702037.8647642736</v>
      </c>
      <c r="E32" s="632">
        <v>1590593.2238693545</v>
      </c>
      <c r="F32" s="81">
        <f t="shared" si="12"/>
        <v>0</v>
      </c>
      <c r="G32" s="81"/>
      <c r="H32" s="81"/>
      <c r="I32" s="81"/>
      <c r="J32" s="81"/>
      <c r="K32" s="81"/>
      <c r="L32" s="81"/>
      <c r="M32" s="81"/>
      <c r="O32" s="108"/>
    </row>
    <row r="33" spans="1:15">
      <c r="A33" s="272">
        <f>IF(ISBLANK(B33),"",MAX($A$8:$A32)+1)</f>
        <v>21</v>
      </c>
      <c r="B33" s="76" t="s">
        <v>453</v>
      </c>
      <c r="C33" s="48">
        <f t="shared" ref="C33" si="13">SUM(D33:E33)</f>
        <v>231131999.08863363</v>
      </c>
      <c r="D33" s="77">
        <f>SUM(D30:D32)</f>
        <v>137402481.86476427</v>
      </c>
      <c r="E33" s="77">
        <f t="shared" ref="E33:M33" si="14">SUM(E30:E32)</f>
        <v>93729517.223869354</v>
      </c>
      <c r="F33" s="77">
        <f t="shared" si="12"/>
        <v>212646770</v>
      </c>
      <c r="G33" s="77">
        <f t="shared" si="14"/>
        <v>7792100</v>
      </c>
      <c r="H33" s="77">
        <f t="shared" si="14"/>
        <v>5825328</v>
      </c>
      <c r="I33" s="77">
        <f t="shared" si="14"/>
        <v>5083885</v>
      </c>
      <c r="J33" s="77">
        <f t="shared" si="14"/>
        <v>57260497</v>
      </c>
      <c r="K33" s="77">
        <f t="shared" si="14"/>
        <v>32906750</v>
      </c>
      <c r="L33" s="77">
        <f t="shared" si="14"/>
        <v>103778210</v>
      </c>
      <c r="M33" s="77">
        <f t="shared" si="14"/>
        <v>0</v>
      </c>
    </row>
    <row r="34" spans="1:15">
      <c r="A34" s="272" t="str">
        <f>IF(ISBLANK(B34),"",MAX($A$8:$A33)+1)</f>
        <v/>
      </c>
      <c r="B34" s="76"/>
      <c r="C34" s="48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5">
      <c r="A35" s="272">
        <f>IF(ISBLANK(B35),"",MAX($A$8:$A34)+1)</f>
        <v>22</v>
      </c>
      <c r="B35" s="76" t="s">
        <v>454</v>
      </c>
      <c r="C35" s="48"/>
      <c r="D35" s="77">
        <f>D15*5</f>
        <v>1278390</v>
      </c>
      <c r="E35" s="77">
        <f>E15*5</f>
        <v>161965</v>
      </c>
      <c r="F35" s="77"/>
      <c r="G35" s="77">
        <f t="shared" ref="G35:M35" si="15">G15*5</f>
        <v>44190</v>
      </c>
      <c r="H35" s="77">
        <f t="shared" si="15"/>
        <v>195</v>
      </c>
      <c r="I35" s="77">
        <f t="shared" si="15"/>
        <v>1190</v>
      </c>
      <c r="J35" s="77">
        <f t="shared" si="15"/>
        <v>640</v>
      </c>
      <c r="K35" s="77">
        <f t="shared" si="15"/>
        <v>45</v>
      </c>
      <c r="L35" s="77">
        <f t="shared" si="15"/>
        <v>75</v>
      </c>
      <c r="M35" s="77">
        <f t="shared" si="15"/>
        <v>0</v>
      </c>
    </row>
    <row r="36" spans="1:15">
      <c r="A36" s="272">
        <f>IF(ISBLANK(B36),"",MAX($A$8:$A35)+1)</f>
        <v>23</v>
      </c>
      <c r="B36" s="76" t="s">
        <v>449</v>
      </c>
      <c r="C36" s="48"/>
      <c r="D36" s="77">
        <f>SUM(D30:D31)/D35</f>
        <v>105.36725412432826</v>
      </c>
      <c r="E36" s="77">
        <f>SUM(E30:E31)/E35</f>
        <v>568.88169666285921</v>
      </c>
      <c r="F36" s="77"/>
      <c r="G36" s="77">
        <f t="shared" ref="G36:L36" si="16">SUM(G30:G31)/G35</f>
        <v>176.3317492645395</v>
      </c>
      <c r="H36" s="77">
        <f t="shared" si="16"/>
        <v>29873.476923076923</v>
      </c>
      <c r="I36" s="77">
        <f t="shared" si="16"/>
        <v>4272.1722689075632</v>
      </c>
      <c r="J36" s="77">
        <f t="shared" si="16"/>
        <v>89469.526562500003</v>
      </c>
      <c r="K36" s="77">
        <f t="shared" si="16"/>
        <v>731261.11111111112</v>
      </c>
      <c r="L36" s="77">
        <f t="shared" si="16"/>
        <v>1383709.4666666666</v>
      </c>
      <c r="M36" s="77"/>
    </row>
    <row r="37" spans="1:15">
      <c r="A37" s="272" t="str">
        <f>IF(ISBLANK(B37),"",MAX($A$8:$A36)+1)</f>
        <v/>
      </c>
      <c r="B37" s="76"/>
      <c r="C37" s="48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5">
      <c r="A38" s="272">
        <f>IF(ISBLANK(B38),"",MAX($A$8:$A37)+1)</f>
        <v>24</v>
      </c>
      <c r="B38" s="71" t="s">
        <v>455</v>
      </c>
      <c r="C38" s="48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5">
      <c r="A39" s="272">
        <f>IF(ISBLANK(B39),"",MAX($A$8:$A38)+1)</f>
        <v>25</v>
      </c>
      <c r="B39" s="76" t="s">
        <v>456</v>
      </c>
      <c r="C39" s="48">
        <f t="shared" ref="C39:C42" si="17">SUM(D39:E39)</f>
        <v>83128311</v>
      </c>
      <c r="D39" s="80">
        <v>46884779</v>
      </c>
      <c r="E39" s="80">
        <v>36243532</v>
      </c>
      <c r="F39" s="77">
        <f t="shared" ref="F39:F42" si="18">SUM(G39:M39)</f>
        <v>276005479</v>
      </c>
      <c r="G39" s="80">
        <v>22406771</v>
      </c>
      <c r="H39" s="80">
        <v>5357975</v>
      </c>
      <c r="I39" s="80">
        <v>4083917</v>
      </c>
      <c r="J39" s="80">
        <v>58615186</v>
      </c>
      <c r="K39" s="80">
        <v>47208700</v>
      </c>
      <c r="L39" s="80">
        <v>138332930</v>
      </c>
      <c r="M39" s="80">
        <v>0</v>
      </c>
      <c r="O39" s="108"/>
    </row>
    <row r="40" spans="1:15">
      <c r="A40" s="272">
        <f>IF(ISBLANK(B40),"",MAX($A$8:$A39)+1)</f>
        <v>26</v>
      </c>
      <c r="B40" s="76" t="s">
        <v>446</v>
      </c>
      <c r="C40" s="48">
        <f t="shared" si="17"/>
        <v>-7725182</v>
      </c>
      <c r="D40" s="80">
        <v>-4676257</v>
      </c>
      <c r="E40" s="80">
        <v>-3048925</v>
      </c>
      <c r="F40" s="77">
        <f t="shared" si="18"/>
        <v>0</v>
      </c>
      <c r="G40" s="80"/>
      <c r="H40" s="80"/>
      <c r="I40" s="80"/>
      <c r="J40" s="80"/>
      <c r="K40" s="80"/>
      <c r="L40" s="80"/>
      <c r="M40" s="80"/>
      <c r="O40" s="108"/>
    </row>
    <row r="41" spans="1:15">
      <c r="A41" s="272">
        <f>IF(ISBLANK(B41),"",MAX($A$8:$A40)+1)</f>
        <v>27</v>
      </c>
      <c r="B41" s="76" t="s">
        <v>442</v>
      </c>
      <c r="C41" s="57">
        <f t="shared" si="17"/>
        <v>1014088.9171320912</v>
      </c>
      <c r="D41" s="81">
        <v>604775.95344429044</v>
      </c>
      <c r="E41" s="81">
        <v>409312.9636878008</v>
      </c>
      <c r="F41" s="81">
        <f t="shared" si="18"/>
        <v>0</v>
      </c>
      <c r="G41" s="81"/>
      <c r="H41" s="81"/>
      <c r="I41" s="81"/>
      <c r="J41" s="81"/>
      <c r="K41" s="81"/>
      <c r="L41" s="81"/>
      <c r="M41" s="81"/>
      <c r="O41" s="108"/>
    </row>
    <row r="42" spans="1:15">
      <c r="A42" s="272">
        <f>IF(ISBLANK(B42),"",MAX($A$8:$A41)+1)</f>
        <v>28</v>
      </c>
      <c r="B42" s="76" t="s">
        <v>453</v>
      </c>
      <c r="C42" s="48">
        <f t="shared" si="17"/>
        <v>76417217.91713208</v>
      </c>
      <c r="D42" s="48">
        <f>SUM(D39:D41)</f>
        <v>42813297.953444287</v>
      </c>
      <c r="E42" s="48">
        <f>SUM(E39:E41)</f>
        <v>33603919.9636878</v>
      </c>
      <c r="F42" s="48">
        <f t="shared" si="18"/>
        <v>276005479</v>
      </c>
      <c r="G42" s="48">
        <f t="shared" ref="G42:M42" si="19">SUM(G39:G41)</f>
        <v>22406771</v>
      </c>
      <c r="H42" s="48">
        <f t="shared" si="19"/>
        <v>5357975</v>
      </c>
      <c r="I42" s="48">
        <f t="shared" si="19"/>
        <v>4083917</v>
      </c>
      <c r="J42" s="48">
        <f t="shared" si="19"/>
        <v>58615186</v>
      </c>
      <c r="K42" s="48">
        <f t="shared" si="19"/>
        <v>47208700</v>
      </c>
      <c r="L42" s="48">
        <f t="shared" si="19"/>
        <v>138332930</v>
      </c>
      <c r="M42" s="48">
        <f t="shared" si="19"/>
        <v>0</v>
      </c>
    </row>
    <row r="43" spans="1:15">
      <c r="A43" s="272" t="str">
        <f>IF(ISBLANK(B43),"",MAX($A$8:$A42)+1)</f>
        <v/>
      </c>
      <c r="B43" s="76"/>
      <c r="C43" s="48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5">
      <c r="A44" s="272">
        <f>IF(ISBLANK(B44),"",MAX($A$8:$A43)+1)</f>
        <v>29</v>
      </c>
      <c r="B44" s="76" t="s">
        <v>454</v>
      </c>
      <c r="C44" s="48"/>
      <c r="D44" s="77">
        <f>D15*7</f>
        <v>1789746</v>
      </c>
      <c r="E44" s="77">
        <f>E15*7</f>
        <v>226751</v>
      </c>
      <c r="F44" s="77"/>
      <c r="G44" s="77">
        <f t="shared" ref="G44:M44" si="20">G15*7</f>
        <v>61866</v>
      </c>
      <c r="H44" s="77">
        <f t="shared" si="20"/>
        <v>273</v>
      </c>
      <c r="I44" s="77">
        <f t="shared" si="20"/>
        <v>1666</v>
      </c>
      <c r="J44" s="77">
        <f t="shared" si="20"/>
        <v>896</v>
      </c>
      <c r="K44" s="77">
        <f t="shared" si="20"/>
        <v>63</v>
      </c>
      <c r="L44" s="77">
        <f t="shared" si="20"/>
        <v>105</v>
      </c>
      <c r="M44" s="77">
        <f t="shared" si="20"/>
        <v>0</v>
      </c>
    </row>
    <row r="45" spans="1:15">
      <c r="A45" s="272">
        <f>IF(ISBLANK(B45),"",MAX($A$8:$A44)+1)</f>
        <v>30</v>
      </c>
      <c r="B45" s="76" t="s">
        <v>449</v>
      </c>
      <c r="C45" s="48"/>
      <c r="D45" s="77">
        <f>SUM(D39:D40)/D44</f>
        <v>23.583526377485967</v>
      </c>
      <c r="E45" s="77">
        <f>SUM(E39:E40)/E44</f>
        <v>146.39232903052246</v>
      </c>
      <c r="F45" s="77"/>
      <c r="G45" s="77">
        <f t="shared" ref="G45:L45" si="21">SUM(G39:G40)/G44</f>
        <v>362.18231338699769</v>
      </c>
      <c r="H45" s="77">
        <f t="shared" si="21"/>
        <v>19626.282051282051</v>
      </c>
      <c r="I45" s="77">
        <f t="shared" si="21"/>
        <v>2451.3307322929172</v>
      </c>
      <c r="J45" s="77">
        <f t="shared" si="21"/>
        <v>65418.734375</v>
      </c>
      <c r="K45" s="77">
        <f t="shared" si="21"/>
        <v>749344.4444444445</v>
      </c>
      <c r="L45" s="77">
        <f t="shared" si="21"/>
        <v>1317456.4761904762</v>
      </c>
      <c r="M45" s="77"/>
    </row>
    <row r="46" spans="1:15">
      <c r="A46" s="50"/>
      <c r="B46" s="76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5">
      <c r="A47" s="50"/>
      <c r="B47" s="76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5">
      <c r="A48" s="50"/>
      <c r="B48" s="76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230" s="83" customFormat="1" ht="15">
      <c r="A49" s="35" t="str">
        <f>A1</f>
        <v>Black Hills Nebraska Gas, LLC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37" t="str">
        <f>M1</f>
        <v>Section 3, Exhibit C</v>
      </c>
    </row>
    <row r="50" spans="1:230" s="83" customFormat="1" ht="15">
      <c r="A50" s="35" t="str">
        <f>A2</f>
        <v>Test Year Billing Determinants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37" t="s">
        <v>60</v>
      </c>
    </row>
    <row r="51" spans="1:230" s="83" customFormat="1" ht="15">
      <c r="A51" s="35" t="str">
        <f>A3</f>
        <v>For the Test Year Ended December 31, 2020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1:230" ht="15.75">
      <c r="A52" s="84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230">
      <c r="A53" s="50"/>
      <c r="B53" s="41" t="s">
        <v>229</v>
      </c>
      <c r="C53" s="41" t="s">
        <v>230</v>
      </c>
      <c r="D53" s="41" t="s">
        <v>424</v>
      </c>
      <c r="E53" s="41" t="s">
        <v>425</v>
      </c>
      <c r="F53" s="41" t="s">
        <v>426</v>
      </c>
      <c r="G53" s="41" t="s">
        <v>427</v>
      </c>
      <c r="H53" s="41" t="s">
        <v>428</v>
      </c>
      <c r="I53" s="41" t="s">
        <v>429</v>
      </c>
      <c r="J53" s="41" t="s">
        <v>430</v>
      </c>
      <c r="K53" s="41" t="s">
        <v>431</v>
      </c>
      <c r="L53" s="41" t="s">
        <v>432</v>
      </c>
      <c r="M53" s="41" t="s">
        <v>433</v>
      </c>
    </row>
    <row r="54" spans="1:230" s="42" customFormat="1" ht="17.25" customHeight="1">
      <c r="A54" s="39"/>
      <c r="N54" s="43"/>
      <c r="O54" s="43"/>
      <c r="P54" s="43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</row>
    <row r="55" spans="1:230" s="42" customFormat="1" ht="29.25" customHeight="1">
      <c r="A55" s="44" t="s">
        <v>434</v>
      </c>
      <c r="B55" s="45" t="s">
        <v>8</v>
      </c>
      <c r="C55" s="45" t="s">
        <v>435</v>
      </c>
      <c r="D55" s="45" t="s">
        <v>22</v>
      </c>
      <c r="E55" s="45" t="s">
        <v>24</v>
      </c>
      <c r="F55" s="45" t="s">
        <v>78</v>
      </c>
      <c r="G55" s="45" t="s">
        <v>416</v>
      </c>
      <c r="H55" s="45" t="s">
        <v>436</v>
      </c>
      <c r="I55" s="45" t="s">
        <v>437</v>
      </c>
      <c r="J55" s="45" t="s">
        <v>438</v>
      </c>
      <c r="K55" s="45" t="s">
        <v>439</v>
      </c>
      <c r="L55" s="45" t="s">
        <v>440</v>
      </c>
      <c r="M55" s="45" t="s">
        <v>542</v>
      </c>
      <c r="N55" s="46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</row>
    <row r="56" spans="1:230" s="42" customFormat="1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46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</row>
    <row r="57" spans="1:230" s="42" customFormat="1">
      <c r="A57" s="272">
        <f>IF(ISBLANK(B57),"",MAX($A$8:$A56)+1)</f>
        <v>31</v>
      </c>
      <c r="B57" s="51" t="s">
        <v>665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</row>
    <row r="58" spans="1:230" s="42" customFormat="1">
      <c r="A58" s="272">
        <f>IF(ISBLANK(B58),"",MAX($A$8:$A57)+1)</f>
        <v>32</v>
      </c>
      <c r="B58" s="56" t="s">
        <v>192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</row>
    <row r="59" spans="1:230" s="42" customFormat="1">
      <c r="A59" s="272">
        <f>IF(ISBLANK(B59),"",MAX($A$8:$A58)+1)</f>
        <v>33</v>
      </c>
      <c r="B59" s="61" t="s">
        <v>662</v>
      </c>
      <c r="C59" s="87">
        <f t="shared" ref="C59:C64" si="22">SUM(D59:E59)</f>
        <v>78615479.99999997</v>
      </c>
      <c r="D59" s="88">
        <v>58243383.549999975</v>
      </c>
      <c r="E59" s="88">
        <v>20372096.449999999</v>
      </c>
      <c r="F59" s="87">
        <f t="shared" ref="F59:F64" si="23">SUM(G59:M59)</f>
        <v>564315.79</v>
      </c>
      <c r="G59" s="89">
        <v>0</v>
      </c>
      <c r="H59" s="89">
        <v>0</v>
      </c>
      <c r="I59" s="89">
        <v>564315.79</v>
      </c>
      <c r="J59" s="89">
        <v>0</v>
      </c>
      <c r="K59" s="89">
        <v>0</v>
      </c>
      <c r="L59" s="89">
        <v>0</v>
      </c>
      <c r="M59" s="89">
        <v>0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</row>
    <row r="60" spans="1:230" s="42" customFormat="1">
      <c r="A60" s="272">
        <f>IF(ISBLANK(B60),"",MAX($A$8:$A59)+1)</f>
        <v>34</v>
      </c>
      <c r="B60" s="61" t="s">
        <v>666</v>
      </c>
      <c r="C60" s="38">
        <f t="shared" si="22"/>
        <v>-10177069.141035503</v>
      </c>
      <c r="D60" s="88">
        <v>-6241953.3806948215</v>
      </c>
      <c r="E60" s="88">
        <v>-3935115.7603406808</v>
      </c>
      <c r="F60" s="87">
        <f t="shared" si="23"/>
        <v>0</v>
      </c>
      <c r="G60" s="87"/>
      <c r="H60" s="87"/>
      <c r="I60" s="87"/>
      <c r="J60" s="87"/>
      <c r="K60" s="87"/>
      <c r="L60" s="87"/>
      <c r="M60" s="87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</row>
    <row r="61" spans="1:230" s="42" customFormat="1">
      <c r="A61" s="272">
        <f>IF(ISBLANK(B61),"",MAX($A$8:$A60)+1)</f>
        <v>35</v>
      </c>
      <c r="B61" s="61" t="s">
        <v>442</v>
      </c>
      <c r="C61" s="38">
        <f t="shared" si="22"/>
        <v>1018072.6557985819</v>
      </c>
      <c r="D61" s="88">
        <v>629191.96391979058</v>
      </c>
      <c r="E61" s="88">
        <v>388880.69187879137</v>
      </c>
      <c r="F61" s="87">
        <f t="shared" si="23"/>
        <v>0</v>
      </c>
      <c r="G61" s="87"/>
      <c r="H61" s="87"/>
      <c r="I61" s="87"/>
      <c r="J61" s="87"/>
      <c r="K61" s="87"/>
      <c r="L61" s="87"/>
      <c r="M61" s="87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</row>
    <row r="62" spans="1:230" s="42" customFormat="1">
      <c r="A62" s="272">
        <f>IF(ISBLANK(B62),"",MAX($A$8:$A61)+1)</f>
        <v>36</v>
      </c>
      <c r="B62" s="61" t="s">
        <v>660</v>
      </c>
      <c r="C62" s="38">
        <f t="shared" si="22"/>
        <v>16744979.300824167</v>
      </c>
      <c r="D62" s="88"/>
      <c r="E62" s="88">
        <v>16744979.300824167</v>
      </c>
      <c r="F62" s="87">
        <f t="shared" si="23"/>
        <v>0</v>
      </c>
      <c r="G62" s="87"/>
      <c r="H62" s="87"/>
      <c r="I62" s="87"/>
      <c r="J62" s="87"/>
      <c r="K62" s="87"/>
      <c r="L62" s="87"/>
      <c r="M62" s="87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</row>
    <row r="63" spans="1:230" s="42" customFormat="1">
      <c r="A63" s="272">
        <f>IF(ISBLANK(B63),"",MAX($A$8:$A62)+1)</f>
        <v>37</v>
      </c>
      <c r="B63" s="61" t="s">
        <v>661</v>
      </c>
      <c r="C63" s="57">
        <f t="shared" si="22"/>
        <v>43018565.924817368</v>
      </c>
      <c r="D63" s="400">
        <v>23143114.422100712</v>
      </c>
      <c r="E63" s="400">
        <v>19875451.50271666</v>
      </c>
      <c r="F63" s="93">
        <f t="shared" si="23"/>
        <v>0</v>
      </c>
      <c r="G63" s="93"/>
      <c r="H63" s="93"/>
      <c r="I63" s="93"/>
      <c r="J63" s="93"/>
      <c r="K63" s="93"/>
      <c r="L63" s="93"/>
      <c r="M63" s="93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</row>
    <row r="64" spans="1:230" s="42" customFormat="1">
      <c r="A64" s="272">
        <f>IF(ISBLANK(B64),"",MAX($A$8:$A63)+1)</f>
        <v>38</v>
      </c>
      <c r="B64" s="94" t="s">
        <v>458</v>
      </c>
      <c r="C64" s="78">
        <f t="shared" si="22"/>
        <v>129220028.74040459</v>
      </c>
      <c r="D64" s="78">
        <f>SUM(D59:D63)</f>
        <v>75773736.555325657</v>
      </c>
      <c r="E64" s="78">
        <f>SUM(E59:E63)</f>
        <v>53446292.185078934</v>
      </c>
      <c r="F64" s="78">
        <f t="shared" si="23"/>
        <v>564315.79</v>
      </c>
      <c r="G64" s="78">
        <f t="shared" ref="G64:M64" si="24">SUM(G59:G63)</f>
        <v>0</v>
      </c>
      <c r="H64" s="78">
        <f t="shared" si="24"/>
        <v>0</v>
      </c>
      <c r="I64" s="78">
        <f t="shared" si="24"/>
        <v>564315.79</v>
      </c>
      <c r="J64" s="78">
        <f t="shared" si="24"/>
        <v>0</v>
      </c>
      <c r="K64" s="78">
        <f t="shared" si="24"/>
        <v>0</v>
      </c>
      <c r="L64" s="78">
        <f t="shared" si="24"/>
        <v>0</v>
      </c>
      <c r="M64" s="78">
        <f t="shared" si="24"/>
        <v>0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</row>
    <row r="65" spans="1:230" s="42" customFormat="1">
      <c r="A65" s="272" t="str">
        <f>IF(ISBLANK(B65),"",MAX($A$8:$A64)+1)</f>
        <v/>
      </c>
      <c r="B65" s="95"/>
      <c r="C65" s="87"/>
      <c r="D65" s="499"/>
      <c r="E65" s="499"/>
      <c r="F65" s="87"/>
      <c r="G65" s="87"/>
      <c r="H65" s="87"/>
      <c r="I65" s="499"/>
      <c r="J65" s="87"/>
      <c r="K65" s="87"/>
      <c r="L65" s="87"/>
      <c r="M65" s="87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</row>
    <row r="66" spans="1:230" s="42" customFormat="1">
      <c r="A66" s="272">
        <f>IF(ISBLANK(B66),"",MAX($A$8:$A65)+1)</f>
        <v>39</v>
      </c>
      <c r="B66" s="556" t="s">
        <v>667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</row>
    <row r="67" spans="1:230" s="42" customFormat="1">
      <c r="A67" s="272">
        <f>IF(ISBLANK(B67),"",MAX($A$8:$A66)+1)</f>
        <v>40</v>
      </c>
      <c r="B67" s="61" t="s">
        <v>45</v>
      </c>
      <c r="C67" s="87">
        <f t="shared" ref="C67:C74" si="25">SUM(D67:E67)</f>
        <v>43372598.229999989</v>
      </c>
      <c r="D67" s="89">
        <v>33022116.489999995</v>
      </c>
      <c r="E67" s="89">
        <v>10350481.739999998</v>
      </c>
      <c r="F67" s="87">
        <f t="shared" ref="F67:F74" si="26">SUM(G67:M67)</f>
        <v>8254696.290000001</v>
      </c>
      <c r="G67" s="89">
        <v>7923951.3800000008</v>
      </c>
      <c r="H67" s="89">
        <v>2692.8000000000034</v>
      </c>
      <c r="I67" s="89">
        <v>327938.12999999983</v>
      </c>
      <c r="J67" s="89">
        <v>113.98</v>
      </c>
      <c r="K67" s="89">
        <v>0</v>
      </c>
      <c r="L67" s="89">
        <v>0</v>
      </c>
      <c r="M67" s="89">
        <v>0</v>
      </c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</row>
    <row r="68" spans="1:230" s="42" customFormat="1">
      <c r="A68" s="272">
        <f>IF(ISBLANK(B68),"",MAX($A$8:$A67)+1)</f>
        <v>41</v>
      </c>
      <c r="B68" s="61" t="s">
        <v>460</v>
      </c>
      <c r="C68" s="91">
        <f t="shared" si="25"/>
        <v>11152794.870000001</v>
      </c>
      <c r="D68" s="92">
        <v>5489767.7200000007</v>
      </c>
      <c r="E68" s="92">
        <v>5663027.1500000004</v>
      </c>
      <c r="F68" s="91">
        <f t="shared" si="26"/>
        <v>2844113.57</v>
      </c>
      <c r="G68" s="92">
        <v>2648165.9</v>
      </c>
      <c r="H68" s="92">
        <v>195947.66999999998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</row>
    <row r="69" spans="1:230" s="42" customFormat="1">
      <c r="A69" s="272">
        <f>IF(ISBLANK(B69),"",MAX($A$8:$A68)+1)</f>
        <v>42</v>
      </c>
      <c r="B69" s="61" t="s">
        <v>461</v>
      </c>
      <c r="C69" s="91">
        <f t="shared" si="25"/>
        <v>6829843.0000000019</v>
      </c>
      <c r="D69" s="92">
        <v>0</v>
      </c>
      <c r="E69" s="92">
        <v>6829843.0000000019</v>
      </c>
      <c r="F69" s="91">
        <f t="shared" si="26"/>
        <v>9620947.620000001</v>
      </c>
      <c r="G69" s="92">
        <v>0</v>
      </c>
      <c r="H69" s="92">
        <v>97466.06</v>
      </c>
      <c r="I69" s="92">
        <v>899521.33000000019</v>
      </c>
      <c r="J69" s="92">
        <v>5582163.4199999999</v>
      </c>
      <c r="K69" s="92">
        <v>1192248.2</v>
      </c>
      <c r="L69" s="92">
        <v>1581337.2099999995</v>
      </c>
      <c r="M69" s="92">
        <v>268211.40000000002</v>
      </c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</row>
    <row r="70" spans="1:230" s="42" customFormat="1">
      <c r="A70" s="272">
        <f>IF(ISBLANK(B70),"",MAX($A$8:$A69)+1)</f>
        <v>43</v>
      </c>
      <c r="B70" s="61" t="s">
        <v>462</v>
      </c>
      <c r="C70" s="91">
        <f t="shared" si="25"/>
        <v>0</v>
      </c>
      <c r="D70" s="92">
        <v>0</v>
      </c>
      <c r="E70" s="92">
        <v>0</v>
      </c>
      <c r="F70" s="91">
        <f t="shared" si="26"/>
        <v>1201968.04</v>
      </c>
      <c r="G70" s="92">
        <v>0</v>
      </c>
      <c r="H70" s="92">
        <v>1201968.04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</row>
    <row r="71" spans="1:230" s="42" customFormat="1">
      <c r="A71" s="272">
        <f>IF(ISBLANK(B71),"",MAX($A$8:$A70)+1)</f>
        <v>44</v>
      </c>
      <c r="B71" s="61" t="s">
        <v>446</v>
      </c>
      <c r="C71" s="38">
        <f t="shared" si="25"/>
        <v>-4053473.1978920605</v>
      </c>
      <c r="D71" s="88">
        <v>-2597509.267615533</v>
      </c>
      <c r="E71" s="88">
        <v>-1455963.9302765275</v>
      </c>
      <c r="F71" s="87">
        <f t="shared" si="26"/>
        <v>0</v>
      </c>
      <c r="G71" s="87"/>
      <c r="H71" s="87"/>
      <c r="I71" s="87"/>
      <c r="J71" s="87"/>
      <c r="K71" s="87"/>
      <c r="L71" s="87"/>
      <c r="M71" s="87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</row>
    <row r="72" spans="1:230" s="42" customFormat="1">
      <c r="A72" s="272">
        <f>IF(ISBLANK(B72),"",MAX($A$8:$A71)+1)</f>
        <v>45</v>
      </c>
      <c r="B72" s="61" t="s">
        <v>442</v>
      </c>
      <c r="C72" s="87">
        <f t="shared" si="25"/>
        <v>450859.07370956719</v>
      </c>
      <c r="D72" s="89">
        <v>293836.56076211692</v>
      </c>
      <c r="E72" s="89">
        <v>157022.51294745028</v>
      </c>
      <c r="F72" s="87">
        <f t="shared" si="26"/>
        <v>0</v>
      </c>
      <c r="G72" s="87"/>
      <c r="H72" s="87"/>
      <c r="I72" s="87"/>
      <c r="J72" s="87"/>
      <c r="K72" s="87"/>
      <c r="L72" s="87"/>
      <c r="M72" s="87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</row>
    <row r="73" spans="1:230" s="42" customFormat="1">
      <c r="A73" s="272">
        <f>IF(ISBLANK(B73),"",MAX($A$8:$A72)+1)</f>
        <v>46</v>
      </c>
      <c r="B73" s="61" t="s">
        <v>447</v>
      </c>
      <c r="C73" s="93">
        <f t="shared" si="25"/>
        <v>0</v>
      </c>
      <c r="D73" s="93"/>
      <c r="E73" s="93"/>
      <c r="F73" s="93">
        <f t="shared" si="26"/>
        <v>2164749.1269999999</v>
      </c>
      <c r="G73" s="98">
        <v>2164749.1269999999</v>
      </c>
      <c r="H73" s="93"/>
      <c r="I73" s="93"/>
      <c r="J73" s="93"/>
      <c r="K73" s="93"/>
      <c r="L73" s="93"/>
      <c r="M73" s="93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</row>
    <row r="74" spans="1:230" s="42" customFormat="1">
      <c r="A74" s="272">
        <f>IF(ISBLANK(B74),"",MAX($A$8:$A73)+1)</f>
        <v>47</v>
      </c>
      <c r="B74" s="76" t="s">
        <v>463</v>
      </c>
      <c r="C74" s="78">
        <f t="shared" si="25"/>
        <v>57752621.975817502</v>
      </c>
      <c r="D74" s="78">
        <f>SUM(D67:D73)</f>
        <v>36208211.503146574</v>
      </c>
      <c r="E74" s="78">
        <f>SUM(E67:E73)</f>
        <v>21544410.472670924</v>
      </c>
      <c r="F74" s="78">
        <f t="shared" si="26"/>
        <v>24086474.647000004</v>
      </c>
      <c r="G74" s="78">
        <f t="shared" ref="G74:M74" si="27">SUM(G67:G73)</f>
        <v>12736866.407000002</v>
      </c>
      <c r="H74" s="78">
        <f>SUM(H67:H73)</f>
        <v>1498074.57</v>
      </c>
      <c r="I74" s="78">
        <f t="shared" si="27"/>
        <v>1227459.46</v>
      </c>
      <c r="J74" s="78">
        <f>SUM(J67:J73)</f>
        <v>5582277.4000000004</v>
      </c>
      <c r="K74" s="78">
        <f t="shared" si="27"/>
        <v>1192248.2</v>
      </c>
      <c r="L74" s="78">
        <f t="shared" si="27"/>
        <v>1581337.2099999995</v>
      </c>
      <c r="M74" s="78">
        <f t="shared" si="27"/>
        <v>268211.40000000002</v>
      </c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</row>
    <row r="75" spans="1:230" s="42" customFormat="1">
      <c r="A75" s="272" t="str">
        <f>IF(ISBLANK(B75),"",MAX($A$8:$A74)+1)</f>
        <v/>
      </c>
      <c r="B75" s="95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</row>
    <row r="76" spans="1:230" s="42" customFormat="1">
      <c r="A76" s="272">
        <f>IF(ISBLANK(B76),"",MAX($A$8:$A75)+1)</f>
        <v>48</v>
      </c>
      <c r="B76" s="95" t="s">
        <v>464</v>
      </c>
      <c r="C76" s="87"/>
      <c r="D76" s="96">
        <f>SUM(D67:D68)/SUM(D18:D19)</f>
        <v>0.20099720534131843</v>
      </c>
      <c r="E76" s="96">
        <f>SUM(E67:E69)/SUM(E18:E19)</f>
        <v>0.16967610798433266</v>
      </c>
      <c r="F76" s="87"/>
      <c r="G76" s="87"/>
      <c r="H76" s="87"/>
      <c r="I76" s="87"/>
      <c r="J76" s="87"/>
      <c r="K76" s="87"/>
      <c r="L76" s="87"/>
      <c r="M76" s="87"/>
      <c r="N76" s="38"/>
      <c r="O76" s="633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</row>
    <row r="77" spans="1:230" s="42" customFormat="1">
      <c r="A77" s="272" t="str">
        <f>IF(ISBLANK(B77),"",MAX($A$8:$A76)+1)</f>
        <v/>
      </c>
      <c r="B77" s="95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</row>
    <row r="78" spans="1:230" s="42" customFormat="1">
      <c r="A78" s="272">
        <f>IF(ISBLANK(B78),"",MAX($A$8:$A77)+1)</f>
        <v>49</v>
      </c>
      <c r="B78" s="557" t="s">
        <v>668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</row>
    <row r="79" spans="1:230" s="42" customFormat="1" ht="12" customHeight="1">
      <c r="A79" s="272">
        <f>IF(ISBLANK(B79),"",MAX($A$8:$A78)+1)</f>
        <v>50</v>
      </c>
      <c r="B79" s="71" t="s">
        <v>423</v>
      </c>
      <c r="C79" s="38">
        <f t="shared" ref="C79:C93" si="28">SUM(D79:E79)</f>
        <v>50235347.049999997</v>
      </c>
      <c r="D79" s="88">
        <v>41986473.329999998</v>
      </c>
      <c r="E79" s="88">
        <v>8248873.7199999997</v>
      </c>
      <c r="F79" s="38">
        <f t="shared" ref="F79:F89" si="29">SUM(G79:M79)</f>
        <v>1034623.1</v>
      </c>
      <c r="G79" s="88">
        <v>0</v>
      </c>
      <c r="H79" s="88">
        <v>142478.80000000002</v>
      </c>
      <c r="I79" s="88">
        <v>209816.03</v>
      </c>
      <c r="J79" s="88">
        <v>369161.66</v>
      </c>
      <c r="K79" s="88">
        <v>10660.500000000002</v>
      </c>
      <c r="L79" s="88">
        <v>25306.11</v>
      </c>
      <c r="M79" s="88">
        <v>277200</v>
      </c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</row>
    <row r="80" spans="1:230" s="42" customFormat="1" ht="12" customHeight="1">
      <c r="A80" s="272">
        <f>IF(ISBLANK(B80),"",MAX($A$8:$A79)+1)</f>
        <v>51</v>
      </c>
      <c r="B80" s="71" t="s">
        <v>465</v>
      </c>
      <c r="C80" s="40">
        <f t="shared" si="28"/>
        <v>1498854.77</v>
      </c>
      <c r="D80" s="90">
        <v>1092076.6600000001</v>
      </c>
      <c r="E80" s="90">
        <v>406778.10999999987</v>
      </c>
      <c r="F80" s="40">
        <f t="shared" si="29"/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</row>
    <row r="81" spans="1:230" s="42" customFormat="1">
      <c r="A81" s="272">
        <f>IF(ISBLANK(B81),"",MAX($A$8:$A80)+1)</f>
        <v>52</v>
      </c>
      <c r="B81" s="71" t="s">
        <v>466</v>
      </c>
      <c r="C81" s="40">
        <f t="shared" si="28"/>
        <v>5559022.3999999994</v>
      </c>
      <c r="D81" s="90">
        <v>3422476.4299999997</v>
      </c>
      <c r="E81" s="90">
        <v>2136545.9699999997</v>
      </c>
      <c r="F81" s="40">
        <f t="shared" si="29"/>
        <v>35084.920000000006</v>
      </c>
      <c r="G81" s="90">
        <v>0</v>
      </c>
      <c r="H81" s="90">
        <v>26478.880000000001</v>
      </c>
      <c r="I81" s="90">
        <v>0</v>
      </c>
      <c r="J81" s="90">
        <v>3737.9999999999995</v>
      </c>
      <c r="K81" s="90">
        <v>1130.04</v>
      </c>
      <c r="L81" s="90">
        <v>3738.0000000000005</v>
      </c>
      <c r="M81" s="90">
        <v>0</v>
      </c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</row>
    <row r="82" spans="1:230" s="42" customFormat="1">
      <c r="A82" s="272">
        <f>IF(ISBLANK(B82),"",MAX($A$8:$A81)+1)</f>
        <v>53</v>
      </c>
      <c r="B82" s="71" t="s">
        <v>467</v>
      </c>
      <c r="C82" s="40">
        <f t="shared" si="28"/>
        <v>275014.14999999997</v>
      </c>
      <c r="D82" s="90">
        <v>211311.61</v>
      </c>
      <c r="E82" s="90">
        <v>63702.54</v>
      </c>
      <c r="F82" s="40">
        <f t="shared" si="29"/>
        <v>0</v>
      </c>
      <c r="G82" s="90">
        <v>0</v>
      </c>
      <c r="H82" s="90">
        <v>0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</row>
    <row r="83" spans="1:230" s="42" customFormat="1">
      <c r="A83" s="272">
        <f>IF(ISBLANK(B83),"",MAX($A$8:$A82)+1)</f>
        <v>54</v>
      </c>
      <c r="B83" s="71" t="s">
        <v>468</v>
      </c>
      <c r="C83" s="67">
        <f t="shared" si="28"/>
        <v>0</v>
      </c>
      <c r="D83" s="88">
        <v>0</v>
      </c>
      <c r="E83" s="88">
        <v>0</v>
      </c>
      <c r="F83" s="38">
        <f t="shared" si="29"/>
        <v>319173.33</v>
      </c>
      <c r="G83" s="88">
        <v>0</v>
      </c>
      <c r="H83" s="88">
        <v>70773.33</v>
      </c>
      <c r="I83" s="88">
        <v>0</v>
      </c>
      <c r="J83" s="88">
        <v>216000</v>
      </c>
      <c r="K83" s="88">
        <v>13200</v>
      </c>
      <c r="L83" s="88">
        <v>19200</v>
      </c>
      <c r="M83" s="88">
        <v>0</v>
      </c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</row>
    <row r="84" spans="1:230" s="42" customFormat="1">
      <c r="A84" s="272">
        <f>IF(ISBLANK(B84),"",MAX($A$8:$A83)+1)</f>
        <v>55</v>
      </c>
      <c r="B84" s="71" t="s">
        <v>469</v>
      </c>
      <c r="C84" s="67">
        <f t="shared" si="28"/>
        <v>0</v>
      </c>
      <c r="D84" s="88">
        <v>0</v>
      </c>
      <c r="E84" s="88">
        <v>0</v>
      </c>
      <c r="F84" s="38">
        <f t="shared" si="29"/>
        <v>1500</v>
      </c>
      <c r="G84" s="88">
        <v>0</v>
      </c>
      <c r="H84" s="88">
        <v>0</v>
      </c>
      <c r="I84" s="88">
        <v>0</v>
      </c>
      <c r="J84" s="88">
        <v>1500</v>
      </c>
      <c r="K84" s="88">
        <v>0</v>
      </c>
      <c r="L84" s="88">
        <v>0</v>
      </c>
      <c r="M84" s="88">
        <v>0</v>
      </c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</row>
    <row r="85" spans="1:230" s="42" customFormat="1">
      <c r="A85" s="272">
        <f>IF(ISBLANK(B85),"",MAX($A$8:$A84)+1)</f>
        <v>56</v>
      </c>
      <c r="B85" s="71" t="s">
        <v>470</v>
      </c>
      <c r="C85" s="67">
        <f t="shared" si="28"/>
        <v>0</v>
      </c>
      <c r="D85" s="88">
        <v>0</v>
      </c>
      <c r="E85" s="88">
        <v>0</v>
      </c>
      <c r="F85" s="38">
        <f t="shared" si="29"/>
        <v>360</v>
      </c>
      <c r="G85" s="88">
        <v>0</v>
      </c>
      <c r="H85" s="88">
        <v>360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</row>
    <row r="86" spans="1:230" s="42" customFormat="1">
      <c r="A86" s="272">
        <f>IF(ISBLANK(B86),"",MAX($A$8:$A85)+1)</f>
        <v>57</v>
      </c>
      <c r="B86" s="71" t="s">
        <v>471</v>
      </c>
      <c r="C86" s="516">
        <f t="shared" si="28"/>
        <v>0</v>
      </c>
      <c r="D86" s="90">
        <v>0</v>
      </c>
      <c r="E86" s="90">
        <v>0</v>
      </c>
      <c r="F86" s="40">
        <f t="shared" si="29"/>
        <v>526500</v>
      </c>
      <c r="G86" s="90">
        <v>0</v>
      </c>
      <c r="H86" s="90">
        <v>0</v>
      </c>
      <c r="I86" s="90">
        <v>0</v>
      </c>
      <c r="J86" s="90">
        <v>372000</v>
      </c>
      <c r="K86" s="90">
        <v>0</v>
      </c>
      <c r="L86" s="90">
        <v>154500</v>
      </c>
      <c r="M86" s="90">
        <v>0</v>
      </c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</row>
    <row r="87" spans="1:230" s="42" customFormat="1">
      <c r="A87" s="272">
        <f>IF(ISBLANK(B87),"",MAX($A$8:$A86)+1)</f>
        <v>58</v>
      </c>
      <c r="B87" s="61" t="s">
        <v>442</v>
      </c>
      <c r="C87" s="67">
        <f t="shared" si="28"/>
        <v>448582.03220660955</v>
      </c>
      <c r="D87" s="88">
        <v>379566.72703865706</v>
      </c>
      <c r="E87" s="88">
        <v>69015.30516795248</v>
      </c>
      <c r="F87" s="38">
        <f t="shared" ref="F87:F90" si="30">SUM(G87:H87)</f>
        <v>0</v>
      </c>
      <c r="G87" s="88"/>
      <c r="H87" s="88"/>
      <c r="I87" s="88"/>
      <c r="J87" s="88"/>
      <c r="K87" s="88"/>
      <c r="L87" s="88"/>
      <c r="M87" s="8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</row>
    <row r="88" spans="1:230" s="42" customFormat="1">
      <c r="A88" s="272">
        <f>IF(ISBLANK(B88),"",MAX($A$8:$A87)+1)</f>
        <v>59</v>
      </c>
      <c r="B88" s="61" t="s">
        <v>652</v>
      </c>
      <c r="C88" s="516">
        <f t="shared" si="28"/>
        <v>393733.12755877903</v>
      </c>
      <c r="D88" s="90">
        <v>271876.05048131972</v>
      </c>
      <c r="E88" s="90">
        <v>121857.07707745933</v>
      </c>
      <c r="F88" s="40">
        <f t="shared" si="30"/>
        <v>0</v>
      </c>
      <c r="G88" s="90"/>
      <c r="H88" s="90"/>
      <c r="I88" s="90"/>
      <c r="J88" s="90"/>
      <c r="K88" s="90"/>
      <c r="L88" s="90"/>
      <c r="M88" s="90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</row>
    <row r="89" spans="1:230" s="42" customFormat="1">
      <c r="A89" s="272">
        <f>IF(ISBLANK(B89),"",MAX($A$8:$A88)+1)</f>
        <v>60</v>
      </c>
      <c r="B89" s="515" t="s">
        <v>705</v>
      </c>
      <c r="C89" s="67">
        <f t="shared" si="28"/>
        <v>-692725.98000000021</v>
      </c>
      <c r="D89" s="88">
        <v>-419460.2100000002</v>
      </c>
      <c r="E89" s="88">
        <v>-273265.77</v>
      </c>
      <c r="F89" s="38">
        <f t="shared" si="29"/>
        <v>0</v>
      </c>
      <c r="G89" s="88"/>
      <c r="H89" s="88"/>
      <c r="I89" s="88"/>
      <c r="J89" s="88"/>
      <c r="K89" s="88"/>
      <c r="L89" s="88"/>
      <c r="M89" s="8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</row>
    <row r="90" spans="1:230" s="42" customFormat="1">
      <c r="A90" s="272">
        <f>IF(ISBLANK(B90),"",MAX($A$8:$A89)+1)</f>
        <v>61</v>
      </c>
      <c r="B90" s="515" t="s">
        <v>653</v>
      </c>
      <c r="C90" s="81">
        <f t="shared" si="28"/>
        <v>-105688.01564468576</v>
      </c>
      <c r="D90" s="400">
        <v>-78555.323426166346</v>
      </c>
      <c r="E90" s="400">
        <v>-27132.692218519413</v>
      </c>
      <c r="F90" s="57">
        <f t="shared" si="30"/>
        <v>0</v>
      </c>
      <c r="G90" s="400"/>
      <c r="H90" s="400"/>
      <c r="I90" s="400"/>
      <c r="J90" s="400"/>
      <c r="K90" s="400"/>
      <c r="L90" s="400"/>
      <c r="M90" s="400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</row>
    <row r="91" spans="1:230" s="42" customFormat="1">
      <c r="A91" s="272">
        <f>IF(ISBLANK(B91),"",MAX($A$8:$A90)+1)</f>
        <v>62</v>
      </c>
      <c r="B91" s="76" t="s">
        <v>472</v>
      </c>
      <c r="C91" s="48">
        <f t="shared" si="28"/>
        <v>57612139.534120701</v>
      </c>
      <c r="D91" s="48">
        <f>SUM(D79:D90)</f>
        <v>46865765.274093807</v>
      </c>
      <c r="E91" s="48">
        <f>SUM(E79:E90)</f>
        <v>10746374.260026893</v>
      </c>
      <c r="F91" s="48">
        <f t="shared" ref="F91:F93" si="31">SUM(G91:M91)</f>
        <v>1917241.35</v>
      </c>
      <c r="G91" s="48">
        <f t="shared" ref="G91:M91" si="32">SUM(G79:G90)</f>
        <v>0</v>
      </c>
      <c r="H91" s="48">
        <f t="shared" si="32"/>
        <v>240091.01</v>
      </c>
      <c r="I91" s="48">
        <f t="shared" si="32"/>
        <v>209816.03</v>
      </c>
      <c r="J91" s="48">
        <f t="shared" si="32"/>
        <v>962399.65999999992</v>
      </c>
      <c r="K91" s="48">
        <f t="shared" si="32"/>
        <v>24990.54</v>
      </c>
      <c r="L91" s="48">
        <f t="shared" si="32"/>
        <v>202744.11</v>
      </c>
      <c r="M91" s="48">
        <f t="shared" si="32"/>
        <v>277200</v>
      </c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</row>
    <row r="92" spans="1:230" s="42" customFormat="1">
      <c r="A92" s="272" t="str">
        <f>IF(ISBLANK(B92),"",MAX($A$8:$A91)+1)</f>
        <v/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</row>
    <row r="93" spans="1:230" s="42" customFormat="1">
      <c r="A93" s="272">
        <f>IF(ISBLANK(B93),"",MAX($A$8:$A92)+1)</f>
        <v>63</v>
      </c>
      <c r="B93" s="61" t="s">
        <v>473</v>
      </c>
      <c r="C93" s="38">
        <f t="shared" si="28"/>
        <v>0</v>
      </c>
      <c r="D93" s="88">
        <v>0</v>
      </c>
      <c r="E93" s="88">
        <v>0</v>
      </c>
      <c r="F93" s="38">
        <f t="shared" si="31"/>
        <v>8151</v>
      </c>
      <c r="G93" s="88">
        <v>0</v>
      </c>
      <c r="H93" s="88">
        <v>0</v>
      </c>
      <c r="I93" s="88">
        <v>0</v>
      </c>
      <c r="J93" s="88">
        <v>0</v>
      </c>
      <c r="K93" s="88">
        <v>0</v>
      </c>
      <c r="L93" s="88">
        <v>8151</v>
      </c>
      <c r="M93" s="88">
        <v>0</v>
      </c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</row>
    <row r="94" spans="1:230" s="42" customFormat="1">
      <c r="A94" s="272" t="str">
        <f>IF(ISBLANK(B94),"",MAX($A$8:$A93)+1)</f>
        <v/>
      </c>
      <c r="B94" s="38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</row>
    <row r="95" spans="1:230" s="42" customFormat="1">
      <c r="A95" s="272">
        <f>IF(ISBLANK(B95),"",MAX($A$8:$A94)+1)</f>
        <v>64</v>
      </c>
      <c r="B95" s="557" t="s">
        <v>669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</row>
    <row r="96" spans="1:230" s="42" customFormat="1">
      <c r="A96" s="272">
        <f>IF(ISBLANK(B96),"",MAX($A$8:$A95)+1)</f>
        <v>65</v>
      </c>
      <c r="B96" s="61" t="s">
        <v>538</v>
      </c>
      <c r="C96" s="38">
        <f>SUM(C67:C70)+SUM(C79:C86)+C93</f>
        <v>118923474.47</v>
      </c>
      <c r="D96" s="38">
        <f t="shared" ref="D96:M96" si="33">SUM(D67:D70)+SUM(D79:D86)+D93</f>
        <v>85224222.23999998</v>
      </c>
      <c r="E96" s="38">
        <f t="shared" si="33"/>
        <v>33699252.230000004</v>
      </c>
      <c r="F96" s="38">
        <f t="shared" si="33"/>
        <v>23847117.870000005</v>
      </c>
      <c r="G96" s="38">
        <f t="shared" si="33"/>
        <v>10572117.280000001</v>
      </c>
      <c r="H96" s="38">
        <f t="shared" si="33"/>
        <v>1738165.58</v>
      </c>
      <c r="I96" s="38">
        <f t="shared" si="33"/>
        <v>1437275.49</v>
      </c>
      <c r="J96" s="38">
        <f t="shared" si="33"/>
        <v>6544677.0600000005</v>
      </c>
      <c r="K96" s="38">
        <f t="shared" si="33"/>
        <v>1217238.74</v>
      </c>
      <c r="L96" s="38">
        <f t="shared" si="33"/>
        <v>1792232.3199999994</v>
      </c>
      <c r="M96" s="38">
        <f t="shared" si="33"/>
        <v>545411.4</v>
      </c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</row>
    <row r="97" spans="1:230" s="42" customFormat="1">
      <c r="A97" s="272">
        <f>IF(ISBLANK(B97),"",MAX($A$8:$A96)+1)</f>
        <v>66</v>
      </c>
      <c r="B97" s="61" t="s">
        <v>539</v>
      </c>
      <c r="C97" s="38">
        <f>C71</f>
        <v>-4053473.1978920605</v>
      </c>
      <c r="D97" s="38">
        <f t="shared" ref="D97:M97" si="34">D71</f>
        <v>-2597509.267615533</v>
      </c>
      <c r="E97" s="38">
        <f t="shared" si="34"/>
        <v>-1455963.9302765275</v>
      </c>
      <c r="F97" s="38">
        <f t="shared" si="34"/>
        <v>0</v>
      </c>
      <c r="G97" s="38">
        <f t="shared" si="34"/>
        <v>0</v>
      </c>
      <c r="H97" s="38">
        <f t="shared" si="34"/>
        <v>0</v>
      </c>
      <c r="I97" s="38">
        <f t="shared" si="34"/>
        <v>0</v>
      </c>
      <c r="J97" s="38">
        <f t="shared" si="34"/>
        <v>0</v>
      </c>
      <c r="K97" s="38">
        <f t="shared" si="34"/>
        <v>0</v>
      </c>
      <c r="L97" s="38">
        <f t="shared" si="34"/>
        <v>0</v>
      </c>
      <c r="M97" s="38">
        <f t="shared" si="34"/>
        <v>0</v>
      </c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</row>
    <row r="98" spans="1:230" s="42" customFormat="1">
      <c r="A98" s="272">
        <f>IF(ISBLANK(B98),"",MAX($A$8:$A97)+1)</f>
        <v>67</v>
      </c>
      <c r="B98" s="61" t="s">
        <v>442</v>
      </c>
      <c r="C98" s="38">
        <f>C72+C87</f>
        <v>899441.10591617669</v>
      </c>
      <c r="D98" s="38">
        <f t="shared" ref="D98:E98" si="35">D72+D87</f>
        <v>673403.28780077398</v>
      </c>
      <c r="E98" s="38">
        <f t="shared" si="35"/>
        <v>226037.81811540277</v>
      </c>
      <c r="F98" s="38">
        <f>F72+F87</f>
        <v>0</v>
      </c>
      <c r="G98" s="38">
        <f t="shared" ref="G98:M98" si="36">G72+G87</f>
        <v>0</v>
      </c>
      <c r="H98" s="38">
        <f t="shared" si="36"/>
        <v>0</v>
      </c>
      <c r="I98" s="38">
        <f t="shared" si="36"/>
        <v>0</v>
      </c>
      <c r="J98" s="38">
        <f t="shared" si="36"/>
        <v>0</v>
      </c>
      <c r="K98" s="38">
        <f t="shared" si="36"/>
        <v>0</v>
      </c>
      <c r="L98" s="38">
        <f t="shared" si="36"/>
        <v>0</v>
      </c>
      <c r="M98" s="38">
        <f t="shared" si="36"/>
        <v>0</v>
      </c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</row>
    <row r="99" spans="1:230" s="42" customFormat="1">
      <c r="A99" s="272">
        <f>IF(ISBLANK(B99),"",MAX($A$8:$A98)+1)</f>
        <v>68</v>
      </c>
      <c r="B99" s="515" t="s">
        <v>652</v>
      </c>
      <c r="C99" s="40">
        <f>C88</f>
        <v>393733.12755877903</v>
      </c>
      <c r="D99" s="40">
        <f t="shared" ref="D99:F99" si="37">D88</f>
        <v>271876.05048131972</v>
      </c>
      <c r="E99" s="40">
        <f t="shared" si="37"/>
        <v>121857.07707745933</v>
      </c>
      <c r="F99" s="40">
        <f t="shared" si="37"/>
        <v>0</v>
      </c>
      <c r="G99" s="40"/>
      <c r="H99" s="40"/>
      <c r="I99" s="40"/>
      <c r="J99" s="40"/>
      <c r="K99" s="40"/>
      <c r="L99" s="40"/>
      <c r="M99" s="40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</row>
    <row r="100" spans="1:230" s="42" customFormat="1">
      <c r="A100" s="272">
        <f>IF(ISBLANK(B100),"",MAX($A$8:$A99)+1)</f>
        <v>69</v>
      </c>
      <c r="B100" s="515" t="s">
        <v>705</v>
      </c>
      <c r="C100" s="40">
        <f>C89</f>
        <v>-692725.98000000021</v>
      </c>
      <c r="D100" s="40">
        <f t="shared" ref="D100:F100" si="38">D89</f>
        <v>-419460.2100000002</v>
      </c>
      <c r="E100" s="40">
        <f t="shared" si="38"/>
        <v>-273265.77</v>
      </c>
      <c r="F100" s="40">
        <f t="shared" si="38"/>
        <v>0</v>
      </c>
      <c r="G100" s="40"/>
      <c r="H100" s="40"/>
      <c r="I100" s="40"/>
      <c r="J100" s="40"/>
      <c r="K100" s="40"/>
      <c r="L100" s="40"/>
      <c r="M100" s="40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</row>
    <row r="101" spans="1:230" s="42" customFormat="1">
      <c r="A101" s="272">
        <f>IF(ISBLANK(B101),"",MAX($A$8:$A100)+1)</f>
        <v>70</v>
      </c>
      <c r="B101" s="515" t="s">
        <v>653</v>
      </c>
      <c r="C101" s="40">
        <f>C90</f>
        <v>-105688.01564468576</v>
      </c>
      <c r="D101" s="40">
        <f t="shared" ref="D101:F101" si="39">D90</f>
        <v>-78555.323426166346</v>
      </c>
      <c r="E101" s="40">
        <f t="shared" si="39"/>
        <v>-27132.692218519413</v>
      </c>
      <c r="F101" s="40">
        <f t="shared" si="39"/>
        <v>0</v>
      </c>
      <c r="G101" s="40"/>
      <c r="H101" s="40"/>
      <c r="I101" s="40"/>
      <c r="J101" s="40"/>
      <c r="K101" s="40"/>
      <c r="L101" s="40"/>
      <c r="M101" s="40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</row>
    <row r="102" spans="1:230" s="42" customFormat="1">
      <c r="A102" s="272">
        <f>IF(ISBLANK(B102),"",MAX($A$8:$A101)+1)</f>
        <v>71</v>
      </c>
      <c r="B102" s="61" t="s">
        <v>540</v>
      </c>
      <c r="C102" s="57">
        <f>C73</f>
        <v>0</v>
      </c>
      <c r="D102" s="57">
        <f t="shared" ref="D102:M102" si="40">D73</f>
        <v>0</v>
      </c>
      <c r="E102" s="57">
        <f t="shared" si="40"/>
        <v>0</v>
      </c>
      <c r="F102" s="57">
        <f t="shared" si="40"/>
        <v>2164749.1269999999</v>
      </c>
      <c r="G102" s="57">
        <f t="shared" si="40"/>
        <v>2164749.1269999999</v>
      </c>
      <c r="H102" s="57">
        <f t="shared" si="40"/>
        <v>0</v>
      </c>
      <c r="I102" s="57">
        <f t="shared" si="40"/>
        <v>0</v>
      </c>
      <c r="J102" s="57">
        <f t="shared" si="40"/>
        <v>0</v>
      </c>
      <c r="K102" s="57">
        <f t="shared" si="40"/>
        <v>0</v>
      </c>
      <c r="L102" s="57">
        <f t="shared" si="40"/>
        <v>0</v>
      </c>
      <c r="M102" s="57">
        <f t="shared" si="40"/>
        <v>0</v>
      </c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</row>
    <row r="103" spans="1:230" s="42" customFormat="1">
      <c r="A103" s="272">
        <f>IF(ISBLANK(B103),"",MAX($A$8:$A102)+1)</f>
        <v>72</v>
      </c>
      <c r="B103" s="76" t="s">
        <v>541</v>
      </c>
      <c r="C103" s="48">
        <f>C74+C91+C93</f>
        <v>115364761.50993821</v>
      </c>
      <c r="D103" s="48">
        <f>SUM(D96:D102)</f>
        <v>83073976.777240381</v>
      </c>
      <c r="E103" s="48">
        <f>SUM(E96:E102)</f>
        <v>32290784.732697818</v>
      </c>
      <c r="F103" s="48">
        <f t="shared" ref="F103" si="41">F74+F91+F93</f>
        <v>26011866.997000005</v>
      </c>
      <c r="G103" s="48">
        <f t="shared" ref="G103:M103" si="42">SUM(G96:G102)</f>
        <v>12736866.407000002</v>
      </c>
      <c r="H103" s="48">
        <f t="shared" si="42"/>
        <v>1738165.58</v>
      </c>
      <c r="I103" s="48">
        <f t="shared" si="42"/>
        <v>1437275.49</v>
      </c>
      <c r="J103" s="48">
        <f t="shared" si="42"/>
        <v>6544677.0600000005</v>
      </c>
      <c r="K103" s="48">
        <f t="shared" si="42"/>
        <v>1217238.74</v>
      </c>
      <c r="L103" s="48">
        <f t="shared" si="42"/>
        <v>1792232.3199999994</v>
      </c>
      <c r="M103" s="48">
        <f t="shared" si="42"/>
        <v>545411.4</v>
      </c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</row>
    <row r="104" spans="1:230" s="42" customFormat="1">
      <c r="A104" s="272" t="str">
        <f>IF(ISBLANK(B104),"",MAX($A$8:$A103)+1)</f>
        <v/>
      </c>
      <c r="B104" s="71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</row>
    <row r="105" spans="1:230" s="42" customFormat="1">
      <c r="A105" s="272">
        <f>IF(ISBLANK(B105),"",MAX($A$8:$A104)+1)</f>
        <v>73</v>
      </c>
      <c r="B105" s="558" t="s">
        <v>670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</row>
    <row r="106" spans="1:230" s="42" customFormat="1">
      <c r="A106" s="272">
        <f>IF(ISBLANK(B106),"",MAX($A$8:$A105)+1)</f>
        <v>74</v>
      </c>
      <c r="B106" s="99" t="s">
        <v>199</v>
      </c>
      <c r="C106" s="38">
        <f t="shared" ref="C106:C108" si="43">SUM(D106:E106)</f>
        <v>258815332.58927035</v>
      </c>
      <c r="D106" s="38">
        <f>(D64+D103)-(D60+D71)</f>
        <v>167687175.98087639</v>
      </c>
      <c r="E106" s="38">
        <f t="shared" ref="E106:M106" si="44">(E64+E103)-(E60+E71)</f>
        <v>91128156.608393952</v>
      </c>
      <c r="F106" s="38">
        <f t="shared" si="44"/>
        <v>26576182.787000004</v>
      </c>
      <c r="G106" s="38">
        <f t="shared" si="44"/>
        <v>12736866.407000002</v>
      </c>
      <c r="H106" s="38">
        <f t="shared" si="44"/>
        <v>1738165.58</v>
      </c>
      <c r="I106" s="38">
        <f t="shared" si="44"/>
        <v>2001591.28</v>
      </c>
      <c r="J106" s="38">
        <f t="shared" si="44"/>
        <v>6544677.0600000005</v>
      </c>
      <c r="K106" s="38">
        <f t="shared" si="44"/>
        <v>1217238.74</v>
      </c>
      <c r="L106" s="38">
        <f t="shared" si="44"/>
        <v>1792232.3199999994</v>
      </c>
      <c r="M106" s="38">
        <f t="shared" si="44"/>
        <v>545411.4</v>
      </c>
      <c r="N106" s="38"/>
      <c r="O106" s="38"/>
      <c r="P106" s="97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</row>
    <row r="107" spans="1:230" s="42" customFormat="1">
      <c r="A107" s="272">
        <f>IF(ISBLANK(B107),"",MAX($A$8:$A106)+1)</f>
        <v>75</v>
      </c>
      <c r="B107" s="99" t="s">
        <v>474</v>
      </c>
      <c r="C107" s="57">
        <f t="shared" si="43"/>
        <v>-14230542.338927563</v>
      </c>
      <c r="D107" s="57">
        <f>D60+D71</f>
        <v>-8839462.648310354</v>
      </c>
      <c r="E107" s="57">
        <f>E60+E71</f>
        <v>-5391079.6906172084</v>
      </c>
      <c r="F107" s="57"/>
      <c r="G107" s="57"/>
      <c r="H107" s="57"/>
      <c r="I107" s="57"/>
      <c r="J107" s="57"/>
      <c r="K107" s="57"/>
      <c r="L107" s="57"/>
      <c r="M107" s="57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</row>
    <row r="108" spans="1:230" s="42" customFormat="1">
      <c r="A108" s="272">
        <f>IF(ISBLANK(B108),"",MAX($A$8:$A107)+1)</f>
        <v>76</v>
      </c>
      <c r="B108" s="94" t="s">
        <v>475</v>
      </c>
      <c r="C108" s="48">
        <f t="shared" si="43"/>
        <v>244584790.25034279</v>
      </c>
      <c r="D108" s="48">
        <f>SUM(D106:D107)</f>
        <v>158847713.33256602</v>
      </c>
      <c r="E108" s="48">
        <f>SUM(E106:E107)</f>
        <v>85737076.917776749</v>
      </c>
      <c r="F108" s="48">
        <f t="shared" ref="F108" si="45">SUM(G108:M108)</f>
        <v>26576182.786999997</v>
      </c>
      <c r="G108" s="48">
        <f t="shared" ref="G108:M108" si="46">SUM(G106:G107)</f>
        <v>12736866.407000002</v>
      </c>
      <c r="H108" s="48">
        <f t="shared" si="46"/>
        <v>1738165.58</v>
      </c>
      <c r="I108" s="48">
        <f t="shared" si="46"/>
        <v>2001591.28</v>
      </c>
      <c r="J108" s="48">
        <f t="shared" si="46"/>
        <v>6544677.0600000005</v>
      </c>
      <c r="K108" s="48">
        <f t="shared" si="46"/>
        <v>1217238.74</v>
      </c>
      <c r="L108" s="48">
        <f t="shared" si="46"/>
        <v>1792232.3199999994</v>
      </c>
      <c r="M108" s="48">
        <f t="shared" si="46"/>
        <v>545411.4</v>
      </c>
      <c r="N108" s="38"/>
      <c r="O108" s="38"/>
      <c r="P108" s="97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</row>
    <row r="109" spans="1:230" s="42" customFormat="1">
      <c r="A109" s="50"/>
      <c r="B109" s="94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38"/>
      <c r="O109" s="38"/>
      <c r="P109" s="97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</row>
    <row r="110" spans="1:230" s="42" customFormat="1">
      <c r="A110" s="50"/>
      <c r="B110" s="555" t="s">
        <v>663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38"/>
      <c r="O110" s="38"/>
      <c r="P110" s="97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</row>
    <row r="111" spans="1:230" s="42" customFormat="1">
      <c r="A111" s="50"/>
      <c r="B111" s="555" t="s">
        <v>664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</row>
    <row r="112" spans="1:230" s="42" customFormat="1">
      <c r="A112" s="50"/>
      <c r="B112" s="555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</row>
    <row r="113" spans="1:230" s="42" customFormat="1">
      <c r="A113" s="50"/>
      <c r="B113" s="68"/>
      <c r="D113" s="100"/>
      <c r="E113" s="101"/>
      <c r="F113" s="101"/>
      <c r="G113" s="101"/>
      <c r="H113" s="101"/>
      <c r="I113" s="101"/>
      <c r="J113" s="101"/>
      <c r="K113" s="101"/>
      <c r="L113" s="101"/>
      <c r="M113" s="101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</row>
    <row r="114" spans="1:230">
      <c r="A114" s="50"/>
    </row>
    <row r="120" spans="1:230">
      <c r="C120" s="42"/>
      <c r="D120" s="42"/>
      <c r="E120" s="42"/>
      <c r="F120" s="42"/>
      <c r="G120" s="42"/>
      <c r="H120" s="42"/>
      <c r="I120" s="42"/>
      <c r="J120" s="42"/>
      <c r="K120" s="42"/>
      <c r="L120" s="102"/>
      <c r="M120" s="102"/>
    </row>
    <row r="121" spans="1:230">
      <c r="C121" s="42"/>
      <c r="D121" s="42"/>
      <c r="E121" s="42"/>
      <c r="F121" s="42"/>
      <c r="G121" s="42"/>
      <c r="H121" s="42"/>
      <c r="I121" s="42"/>
      <c r="J121" s="42"/>
      <c r="K121" s="42"/>
      <c r="L121" s="103"/>
      <c r="M121" s="103"/>
    </row>
    <row r="122" spans="1:230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</row>
    <row r="123" spans="1:230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</row>
    <row r="124" spans="1:230">
      <c r="B124" s="691"/>
      <c r="C124" s="691"/>
      <c r="D124" s="691"/>
      <c r="E124" s="691"/>
      <c r="F124" s="691"/>
      <c r="G124" s="691"/>
      <c r="H124" s="691"/>
      <c r="I124" s="691"/>
      <c r="J124" s="691"/>
      <c r="K124" s="691"/>
      <c r="L124" s="691"/>
      <c r="M124" s="104"/>
    </row>
    <row r="125" spans="1:230">
      <c r="B125" s="691"/>
      <c r="C125" s="692"/>
      <c r="D125" s="692"/>
      <c r="E125" s="692"/>
      <c r="F125" s="692"/>
      <c r="G125" s="692"/>
      <c r="H125" s="692"/>
      <c r="I125" s="692"/>
      <c r="J125" s="692"/>
      <c r="K125" s="692"/>
      <c r="L125" s="692"/>
      <c r="M125" s="105"/>
    </row>
    <row r="126" spans="1:230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</row>
    <row r="128" spans="1:230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2:13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2:13">
      <c r="E130" s="693"/>
      <c r="F130" s="693"/>
      <c r="G130" s="693"/>
      <c r="H130" s="693"/>
      <c r="I130" s="693"/>
      <c r="J130" s="693"/>
      <c r="K130" s="693"/>
      <c r="L130" s="693"/>
      <c r="M130" s="107"/>
    </row>
    <row r="131" spans="2:13">
      <c r="B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7"/>
      <c r="C133" s="107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5" spans="2:13">
      <c r="B135" s="107"/>
      <c r="D135" s="108"/>
      <c r="E135" s="109"/>
      <c r="F135" s="109"/>
      <c r="G135" s="109"/>
      <c r="H135" s="109"/>
      <c r="I135" s="109"/>
      <c r="J135" s="109"/>
      <c r="K135" s="109"/>
      <c r="L135" s="110"/>
      <c r="M135" s="110"/>
    </row>
    <row r="136" spans="2:13">
      <c r="B136" s="107"/>
      <c r="D136" s="111"/>
      <c r="E136" s="109"/>
      <c r="F136" s="109"/>
      <c r="G136" s="109"/>
      <c r="H136" s="109"/>
      <c r="I136" s="109"/>
      <c r="J136" s="109"/>
      <c r="K136" s="109"/>
      <c r="L136" s="109"/>
      <c r="M136" s="109"/>
    </row>
    <row r="137" spans="2:13">
      <c r="B137" s="107"/>
      <c r="D137" s="111"/>
      <c r="E137" s="109"/>
      <c r="F137" s="109"/>
      <c r="G137" s="109"/>
      <c r="H137" s="109"/>
      <c r="I137" s="109"/>
      <c r="J137" s="109"/>
      <c r="K137" s="109"/>
      <c r="L137" s="109"/>
      <c r="M137" s="109"/>
    </row>
    <row r="138" spans="2:13">
      <c r="B138" s="107"/>
      <c r="D138" s="111"/>
      <c r="E138" s="109"/>
      <c r="F138" s="109"/>
      <c r="G138" s="109"/>
      <c r="H138" s="109"/>
      <c r="I138" s="109"/>
      <c r="J138" s="109"/>
      <c r="K138" s="109"/>
      <c r="L138" s="109"/>
      <c r="M138" s="109"/>
    </row>
    <row r="139" spans="2:13">
      <c r="B139" s="107"/>
      <c r="D139" s="111"/>
      <c r="E139" s="109"/>
      <c r="F139" s="109"/>
      <c r="G139" s="109"/>
      <c r="H139" s="109"/>
      <c r="I139" s="109"/>
      <c r="J139" s="109"/>
      <c r="K139" s="109"/>
      <c r="L139" s="109"/>
      <c r="M139" s="109"/>
    </row>
    <row r="140" spans="2:13">
      <c r="B140" s="107"/>
      <c r="D140" s="111"/>
      <c r="E140" s="109"/>
      <c r="F140" s="109"/>
      <c r="G140" s="109"/>
      <c r="H140" s="109"/>
      <c r="I140" s="109"/>
      <c r="J140" s="109"/>
      <c r="K140" s="109"/>
      <c r="L140" s="109"/>
      <c r="M140" s="109"/>
    </row>
    <row r="141" spans="2:13">
      <c r="B141" s="107"/>
      <c r="D141" s="111"/>
      <c r="E141" s="109"/>
      <c r="F141" s="109"/>
      <c r="G141" s="109"/>
      <c r="H141" s="109"/>
      <c r="I141" s="109"/>
      <c r="J141" s="109"/>
      <c r="K141" s="109"/>
      <c r="L141" s="109"/>
      <c r="M141" s="109"/>
    </row>
    <row r="142" spans="2:13">
      <c r="B142" s="107"/>
      <c r="D142" s="111"/>
      <c r="E142" s="109"/>
      <c r="F142" s="109"/>
      <c r="G142" s="109"/>
      <c r="H142" s="109"/>
      <c r="I142" s="109"/>
      <c r="J142" s="109"/>
      <c r="K142" s="109"/>
      <c r="L142" s="109"/>
      <c r="M142" s="109"/>
    </row>
    <row r="143" spans="2:13">
      <c r="B143" s="107"/>
      <c r="D143" s="111"/>
      <c r="E143" s="109"/>
      <c r="F143" s="109"/>
      <c r="G143" s="109"/>
      <c r="H143" s="109"/>
      <c r="I143" s="109"/>
      <c r="J143" s="109"/>
      <c r="K143" s="109"/>
      <c r="L143" s="109"/>
      <c r="M143" s="109"/>
    </row>
    <row r="144" spans="2:13">
      <c r="B144" s="107"/>
      <c r="D144" s="111"/>
      <c r="E144" s="109"/>
      <c r="F144" s="109"/>
      <c r="G144" s="109"/>
      <c r="H144" s="109"/>
      <c r="I144" s="109"/>
      <c r="J144" s="109"/>
      <c r="K144" s="109"/>
      <c r="L144" s="109"/>
      <c r="M144" s="109"/>
    </row>
    <row r="145" spans="2:13">
      <c r="B145" s="107"/>
      <c r="D145" s="111"/>
      <c r="E145" s="109"/>
      <c r="F145" s="109"/>
      <c r="G145" s="109"/>
      <c r="H145" s="109"/>
      <c r="I145" s="109"/>
      <c r="J145" s="109"/>
      <c r="K145" s="109"/>
      <c r="L145" s="109"/>
      <c r="M145" s="109"/>
    </row>
    <row r="146" spans="2:13">
      <c r="D146" s="111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2:13">
      <c r="D147" s="111"/>
      <c r="E147" s="109"/>
      <c r="F147" s="109"/>
      <c r="G147" s="109"/>
      <c r="H147" s="109"/>
      <c r="I147" s="109"/>
      <c r="J147" s="109"/>
      <c r="K147" s="109"/>
      <c r="L147" s="109"/>
      <c r="M147" s="109"/>
    </row>
    <row r="148" spans="2:13">
      <c r="D148" s="111"/>
      <c r="E148" s="109"/>
      <c r="F148" s="109"/>
      <c r="G148" s="109"/>
      <c r="H148" s="109"/>
      <c r="I148" s="109"/>
      <c r="J148" s="109"/>
      <c r="K148" s="109"/>
      <c r="L148" s="109"/>
      <c r="M148" s="109"/>
    </row>
    <row r="149" spans="2:13">
      <c r="D149" s="111"/>
      <c r="E149" s="109"/>
      <c r="F149" s="109"/>
      <c r="G149" s="109"/>
      <c r="H149" s="109"/>
      <c r="I149" s="109"/>
      <c r="J149" s="109"/>
      <c r="K149" s="109"/>
      <c r="L149" s="109"/>
      <c r="M149" s="109"/>
    </row>
    <row r="150" spans="2:13">
      <c r="D150" s="111"/>
      <c r="E150" s="109"/>
      <c r="F150" s="109"/>
      <c r="G150" s="109"/>
      <c r="H150" s="109"/>
      <c r="I150" s="109"/>
      <c r="J150" s="109"/>
      <c r="K150" s="109"/>
      <c r="L150" s="109"/>
      <c r="M150" s="109"/>
    </row>
    <row r="151" spans="2:13">
      <c r="D151" s="111"/>
      <c r="E151" s="109"/>
      <c r="F151" s="109"/>
      <c r="G151" s="109"/>
      <c r="H151" s="109"/>
      <c r="I151" s="109"/>
      <c r="J151" s="109"/>
      <c r="K151" s="109"/>
      <c r="L151" s="109"/>
      <c r="M151" s="109"/>
    </row>
    <row r="152" spans="2:13">
      <c r="D152" s="111"/>
      <c r="E152" s="109"/>
      <c r="F152" s="109"/>
      <c r="G152" s="109"/>
      <c r="H152" s="109"/>
      <c r="I152" s="109"/>
      <c r="J152" s="109"/>
      <c r="K152" s="109"/>
      <c r="L152" s="109"/>
      <c r="M152" s="109"/>
    </row>
    <row r="153" spans="2:13">
      <c r="D153" s="111"/>
      <c r="E153" s="109"/>
      <c r="F153" s="109"/>
      <c r="G153" s="109"/>
      <c r="H153" s="109"/>
      <c r="I153" s="109"/>
      <c r="J153" s="109"/>
      <c r="K153" s="109"/>
      <c r="L153" s="109"/>
      <c r="M153" s="109"/>
    </row>
    <row r="154" spans="2:13"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</row>
  </sheetData>
  <mergeCells count="3">
    <mergeCell ref="B124:L124"/>
    <mergeCell ref="B125:L125"/>
    <mergeCell ref="E130:L130"/>
  </mergeCells>
  <pageMargins left="1" right="1" top="1" bottom="1" header="0.5" footer="0.5"/>
  <pageSetup scale="50" orientation="landscape" r:id="rId1"/>
  <headerFooter scaleWithDoc="0"/>
  <rowBreaks count="1" manualBreakCount="1">
    <brk id="48" max="16383" man="1"/>
  </rowBreaks>
  <ignoredErrors>
    <ignoredError sqref="F64 F74 F22:F23 F13:F15 F33 F42 C98:M98 F108 F103 F90:F91 F89" formula="1"/>
    <ignoredError sqref="C20 D27:E27 D36:E36 D45:E45 D96:E96 D76:E7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362"/>
  <sheetViews>
    <sheetView zoomScaleNormal="100" workbookViewId="0">
      <pane xSplit="11" ySplit="6" topLeftCell="X340" activePane="bottomRight" state="frozen"/>
      <selection pane="topRight" activeCell="L1" sqref="L1"/>
      <selection pane="bottomLeft" activeCell="A7" sqref="A7"/>
      <selection pane="bottomRight" activeCell="G366" sqref="G366"/>
    </sheetView>
  </sheetViews>
  <sheetFormatPr defaultColWidth="8" defaultRowHeight="12.75"/>
  <cols>
    <col min="1" max="1" width="5.85546875" style="337" customWidth="1"/>
    <col min="2" max="2" width="6.85546875" style="337" customWidth="1"/>
    <col min="3" max="3" width="66.5703125" style="337" bestFit="1" customWidth="1"/>
    <col min="4" max="4" width="2.85546875" style="337" customWidth="1"/>
    <col min="5" max="5" width="13.28515625" style="337" bestFit="1" customWidth="1"/>
    <col min="6" max="6" width="2.85546875" style="337" customWidth="1"/>
    <col min="7" max="7" width="17.42578125" style="320" customWidth="1"/>
    <col min="8" max="8" width="2.85546875" style="337" customWidth="1"/>
    <col min="9" max="9" width="12" style="376" customWidth="1"/>
    <col min="10" max="10" width="2.85546875" style="337" customWidth="1"/>
    <col min="11" max="11" width="17.42578125" style="337" customWidth="1"/>
    <col min="12" max="12" width="2.85546875" style="337" customWidth="1"/>
    <col min="13" max="13" width="12.140625" style="337" customWidth="1"/>
    <col min="14" max="14" width="19.7109375" style="337" customWidth="1"/>
    <col min="15" max="15" width="13.5703125" style="337" customWidth="1"/>
    <col min="16" max="16" width="14.28515625" style="337" customWidth="1"/>
    <col min="17" max="18" width="2.85546875" style="337" customWidth="1"/>
    <col min="19" max="19" width="17.28515625" style="337" customWidth="1"/>
    <col min="20" max="20" width="2.85546875" style="337" customWidth="1"/>
    <col min="21" max="21" width="17.28515625" style="337" customWidth="1"/>
    <col min="22" max="22" width="2.85546875" style="337" customWidth="1"/>
    <col min="23" max="23" width="17.28515625" style="337" customWidth="1"/>
    <col min="24" max="24" width="2.85546875" style="337" customWidth="1"/>
    <col min="25" max="25" width="17.28515625" style="337" customWidth="1"/>
    <col min="26" max="26" width="2.85546875" style="337" customWidth="1"/>
    <col min="27" max="27" width="17.28515625" style="337" customWidth="1"/>
    <col min="28" max="28" width="2.85546875" style="337" customWidth="1"/>
    <col min="29" max="29" width="15.140625" style="337" customWidth="1"/>
    <col min="30" max="30" width="2.85546875" style="337" customWidth="1"/>
    <col min="31" max="41" width="14.85546875" style="337" customWidth="1"/>
    <col min="42" max="42" width="14.7109375" style="337" customWidth="1"/>
    <col min="43" max="16384" width="8" style="337"/>
  </cols>
  <sheetData>
    <row r="1" spans="1:35" ht="15" customHeight="1">
      <c r="A1" s="368" t="s">
        <v>231</v>
      </c>
      <c r="B1" s="368"/>
      <c r="C1" s="315"/>
      <c r="D1" s="315"/>
      <c r="E1" s="315"/>
      <c r="F1" s="315"/>
      <c r="G1" s="369"/>
      <c r="H1" s="315"/>
      <c r="I1" s="315"/>
      <c r="J1" s="315"/>
      <c r="K1" s="314" t="s">
        <v>232</v>
      </c>
      <c r="L1" s="348"/>
      <c r="M1" s="348"/>
      <c r="R1" s="648"/>
      <c r="S1" s="348" t="s">
        <v>726</v>
      </c>
      <c r="W1" s="644" t="s">
        <v>232</v>
      </c>
      <c r="X1" s="648"/>
      <c r="Y1" s="348" t="s">
        <v>730</v>
      </c>
      <c r="AC1" s="644"/>
      <c r="AD1" s="648"/>
      <c r="AE1" s="656" t="s">
        <v>640</v>
      </c>
    </row>
    <row r="2" spans="1:35" ht="15" customHeight="1" thickBot="1">
      <c r="A2" s="370" t="s">
        <v>233</v>
      </c>
      <c r="B2" s="370"/>
      <c r="C2" s="315"/>
      <c r="D2" s="315"/>
      <c r="E2" s="315"/>
      <c r="F2" s="315"/>
      <c r="G2" s="369"/>
      <c r="H2" s="315"/>
      <c r="I2" s="315"/>
      <c r="J2" s="315"/>
      <c r="K2" s="314" t="s">
        <v>234</v>
      </c>
      <c r="R2" s="648"/>
      <c r="W2" s="644" t="s">
        <v>234</v>
      </c>
      <c r="X2" s="648"/>
      <c r="AC2" s="644" t="s">
        <v>234</v>
      </c>
      <c r="AD2" s="648"/>
      <c r="AE2" s="647" t="s">
        <v>725</v>
      </c>
      <c r="AF2" s="646"/>
      <c r="AI2" s="348" t="s">
        <v>728</v>
      </c>
    </row>
    <row r="3" spans="1:35" ht="15" customHeight="1" thickBot="1">
      <c r="A3" s="371" t="s">
        <v>533</v>
      </c>
      <c r="B3" s="371"/>
      <c r="C3" s="315"/>
      <c r="D3" s="315"/>
      <c r="E3" s="315"/>
      <c r="F3" s="315"/>
      <c r="G3" s="369"/>
      <c r="H3" s="315"/>
      <c r="I3" s="315"/>
      <c r="J3" s="315"/>
      <c r="K3" s="315"/>
      <c r="R3" s="648"/>
      <c r="X3" s="648"/>
      <c r="AD3" s="648"/>
      <c r="AE3" s="660" t="s">
        <v>727</v>
      </c>
      <c r="AF3" s="645">
        <f>IF(AE3="Company",0,1)</f>
        <v>1</v>
      </c>
      <c r="AI3" s="337" t="s">
        <v>726</v>
      </c>
    </row>
    <row r="4" spans="1:35" ht="15" customHeight="1">
      <c r="A4" s="371"/>
      <c r="B4" s="371"/>
      <c r="C4" s="315"/>
      <c r="D4" s="315"/>
      <c r="E4" s="315"/>
      <c r="F4" s="315"/>
      <c r="G4" s="694" t="s">
        <v>651</v>
      </c>
      <c r="H4" s="694"/>
      <c r="I4" s="694"/>
      <c r="J4" s="694"/>
      <c r="K4" s="694"/>
      <c r="N4" s="695" t="s">
        <v>21</v>
      </c>
      <c r="O4" s="695"/>
      <c r="P4" s="695"/>
      <c r="Q4" s="509"/>
      <c r="R4" s="649"/>
      <c r="S4" s="694" t="s">
        <v>651</v>
      </c>
      <c r="T4" s="694"/>
      <c r="U4" s="694"/>
      <c r="V4" s="694"/>
      <c r="W4" s="694"/>
      <c r="X4" s="648"/>
      <c r="Y4" s="694" t="s">
        <v>651</v>
      </c>
      <c r="Z4" s="694"/>
      <c r="AA4" s="694"/>
      <c r="AB4" s="694"/>
      <c r="AC4" s="694"/>
      <c r="AD4" s="648"/>
      <c r="AE4" s="657" t="s">
        <v>729</v>
      </c>
      <c r="AI4" s="337" t="s">
        <v>727</v>
      </c>
    </row>
    <row r="5" spans="1:35" ht="12" customHeight="1">
      <c r="A5" s="316" t="s">
        <v>235</v>
      </c>
      <c r="B5" s="316" t="s">
        <v>236</v>
      </c>
      <c r="C5" s="316"/>
      <c r="D5" s="316"/>
      <c r="E5" s="316"/>
      <c r="F5" s="316"/>
      <c r="G5" s="506" t="s">
        <v>237</v>
      </c>
      <c r="H5" s="504"/>
      <c r="I5" s="504" t="s">
        <v>238</v>
      </c>
      <c r="J5" s="504"/>
      <c r="K5" s="504" t="s">
        <v>239</v>
      </c>
      <c r="N5" s="504" t="s">
        <v>655</v>
      </c>
      <c r="O5" s="504" t="s">
        <v>656</v>
      </c>
      <c r="P5" s="504" t="s">
        <v>657</v>
      </c>
      <c r="Q5" s="510"/>
      <c r="R5" s="650"/>
      <c r="S5" s="316" t="s">
        <v>237</v>
      </c>
      <c r="T5" s="316"/>
      <c r="U5" s="316" t="s">
        <v>238</v>
      </c>
      <c r="V5" s="316"/>
      <c r="W5" s="316" t="s">
        <v>239</v>
      </c>
      <c r="X5" s="648"/>
      <c r="Y5" s="316" t="s">
        <v>237</v>
      </c>
      <c r="Z5" s="316"/>
      <c r="AA5" s="316" t="s">
        <v>238</v>
      </c>
      <c r="AB5" s="316"/>
      <c r="AC5" s="316" t="s">
        <v>239</v>
      </c>
      <c r="AD5" s="648"/>
    </row>
    <row r="6" spans="1:35" ht="25.5">
      <c r="A6" s="346" t="s">
        <v>88</v>
      </c>
      <c r="B6" s="346" t="s">
        <v>240</v>
      </c>
      <c r="C6" s="346" t="s">
        <v>8</v>
      </c>
      <c r="D6" s="372"/>
      <c r="E6" s="346" t="s">
        <v>193</v>
      </c>
      <c r="F6" s="372"/>
      <c r="G6" s="373" t="s">
        <v>65</v>
      </c>
      <c r="H6" s="372"/>
      <c r="I6" s="346" t="s">
        <v>193</v>
      </c>
      <c r="J6" s="372"/>
      <c r="K6" s="1" t="s">
        <v>241</v>
      </c>
      <c r="N6" s="1" t="s">
        <v>649</v>
      </c>
      <c r="O6" s="505" t="s">
        <v>650</v>
      </c>
      <c r="P6" s="1" t="s">
        <v>658</v>
      </c>
      <c r="Q6" s="511"/>
      <c r="R6" s="651"/>
      <c r="S6" s="316" t="s">
        <v>65</v>
      </c>
      <c r="T6" s="316"/>
      <c r="U6" s="316" t="s">
        <v>193</v>
      </c>
      <c r="V6" s="316"/>
      <c r="W6" s="316" t="s">
        <v>241</v>
      </c>
      <c r="X6" s="648"/>
      <c r="Y6" s="316" t="s">
        <v>65</v>
      </c>
      <c r="Z6" s="316"/>
      <c r="AA6" s="316" t="s">
        <v>193</v>
      </c>
      <c r="AB6" s="316"/>
      <c r="AC6" s="347" t="s">
        <v>241</v>
      </c>
      <c r="AD6" s="648"/>
      <c r="AE6" s="347"/>
    </row>
    <row r="7" spans="1:35">
      <c r="A7" s="347"/>
      <c r="B7" s="347"/>
      <c r="C7" s="347"/>
      <c r="D7" s="374"/>
      <c r="E7" s="347"/>
      <c r="F7" s="374"/>
      <c r="G7" s="375"/>
      <c r="H7" s="374"/>
      <c r="I7" s="347"/>
      <c r="J7" s="374"/>
      <c r="K7" s="2"/>
      <c r="Q7" s="512"/>
      <c r="R7" s="652"/>
      <c r="X7" s="648"/>
      <c r="AD7" s="648"/>
    </row>
    <row r="8" spans="1:35">
      <c r="A8" s="376">
        <v>1</v>
      </c>
      <c r="B8" s="376"/>
      <c r="C8" s="348" t="s">
        <v>182</v>
      </c>
      <c r="D8" s="377"/>
      <c r="E8" s="376"/>
      <c r="F8" s="377"/>
      <c r="H8" s="378"/>
      <c r="J8" s="378"/>
      <c r="K8" s="3"/>
      <c r="P8" s="507"/>
      <c r="Q8" s="507"/>
      <c r="R8" s="653"/>
      <c r="X8" s="648"/>
      <c r="AD8" s="648"/>
    </row>
    <row r="9" spans="1:35">
      <c r="A9" s="376">
        <v>2</v>
      </c>
      <c r="B9" s="376">
        <v>301</v>
      </c>
      <c r="C9" s="337" t="s">
        <v>242</v>
      </c>
      <c r="D9" s="377"/>
      <c r="E9" s="376" t="s">
        <v>243</v>
      </c>
      <c r="F9" s="377"/>
      <c r="G9" s="320">
        <f>IF($AF$3=0,$S9,$Y9)</f>
        <v>256</v>
      </c>
      <c r="H9" s="378"/>
      <c r="I9" s="376" t="s">
        <v>243</v>
      </c>
      <c r="J9" s="378"/>
      <c r="K9" s="317">
        <f>IF($AF$3=0,$W9,$AC9)</f>
        <v>256</v>
      </c>
      <c r="N9" s="508">
        <f>IF(P9&lt;&gt;0,P9/K9," ")</f>
        <v>0.87194347602411737</v>
      </c>
      <c r="O9" s="517">
        <f>G9*N9</f>
        <v>223.21752986217405</v>
      </c>
      <c r="P9" s="522">
        <f>'FERC Accts by Customer Class'!H42</f>
        <v>223.21752986217405</v>
      </c>
      <c r="Q9" s="507"/>
      <c r="R9" s="653"/>
      <c r="S9" s="320">
        <v>256</v>
      </c>
      <c r="T9" s="378"/>
      <c r="U9" s="376" t="s">
        <v>243</v>
      </c>
      <c r="V9" s="378"/>
      <c r="W9" s="317">
        <v>256</v>
      </c>
      <c r="X9" s="648"/>
      <c r="Y9" s="320">
        <v>256</v>
      </c>
      <c r="Z9" s="378"/>
      <c r="AA9" s="376" t="s">
        <v>243</v>
      </c>
      <c r="AB9" s="378"/>
      <c r="AC9" s="317">
        <v>256</v>
      </c>
      <c r="AD9" s="648"/>
    </row>
    <row r="10" spans="1:35">
      <c r="A10" s="376">
        <v>3</v>
      </c>
      <c r="B10" s="376">
        <v>302</v>
      </c>
      <c r="C10" s="337" t="s">
        <v>244</v>
      </c>
      <c r="E10" s="376" t="s">
        <v>243</v>
      </c>
      <c r="G10" s="112">
        <f>IF($AF$3=0,$S10,$Y10)</f>
        <v>121062.49</v>
      </c>
      <c r="H10" s="318"/>
      <c r="I10" s="379" t="s">
        <v>243</v>
      </c>
      <c r="J10" s="318"/>
      <c r="K10" s="406">
        <f>IF($AF$3=0,$W10,$AC10)</f>
        <v>121062.49</v>
      </c>
      <c r="N10" s="508">
        <f>IF(P10&lt;&gt;0,P10/K10," ")</f>
        <v>0.87194347602411748</v>
      </c>
      <c r="O10" s="517">
        <f>G10*N10</f>
        <v>105559.64834673496</v>
      </c>
      <c r="P10" s="522">
        <f>'FERC Accts by Customer Class'!H43</f>
        <v>105559.64834673496</v>
      </c>
      <c r="Q10" s="507"/>
      <c r="R10" s="653"/>
      <c r="S10" s="112">
        <v>121062.49</v>
      </c>
      <c r="T10" s="318"/>
      <c r="U10" s="379" t="s">
        <v>243</v>
      </c>
      <c r="V10" s="318"/>
      <c r="W10" s="318">
        <v>121062.49</v>
      </c>
      <c r="X10" s="648"/>
      <c r="Y10" s="112">
        <v>121062.49</v>
      </c>
      <c r="Z10" s="318"/>
      <c r="AA10" s="379" t="s">
        <v>243</v>
      </c>
      <c r="AB10" s="318"/>
      <c r="AC10" s="318">
        <v>121062.49</v>
      </c>
      <c r="AD10" s="648"/>
    </row>
    <row r="11" spans="1:35">
      <c r="A11" s="376">
        <v>4</v>
      </c>
      <c r="B11" s="376">
        <v>303</v>
      </c>
      <c r="C11" s="337" t="s">
        <v>245</v>
      </c>
      <c r="E11" s="376" t="s">
        <v>243</v>
      </c>
      <c r="G11" s="112">
        <f>IF($AF$3=0,$S11,$Y11)</f>
        <v>742880.94</v>
      </c>
      <c r="H11" s="318"/>
      <c r="I11" s="379" t="s">
        <v>243</v>
      </c>
      <c r="J11" s="318"/>
      <c r="K11" s="406">
        <f>IF($AF$3=0,$W11,$AC11)</f>
        <v>742880.94</v>
      </c>
      <c r="N11" s="508">
        <f>IF(P11&lt;&gt;0,P11/K11," ")</f>
        <v>0.87194347602411748</v>
      </c>
      <c r="O11" s="517">
        <f>G11*N11</f>
        <v>647750.18909566384</v>
      </c>
      <c r="P11" s="522">
        <f>'FERC Accts by Customer Class'!H44</f>
        <v>647750.18909566384</v>
      </c>
      <c r="Q11" s="507"/>
      <c r="R11" s="653"/>
      <c r="S11" s="112">
        <v>742880.94</v>
      </c>
      <c r="T11" s="318"/>
      <c r="U11" s="379" t="s">
        <v>243</v>
      </c>
      <c r="V11" s="318"/>
      <c r="W11" s="318">
        <v>742880.94</v>
      </c>
      <c r="X11" s="648"/>
      <c r="Y11" s="112">
        <v>742880.94</v>
      </c>
      <c r="Z11" s="318"/>
      <c r="AA11" s="379" t="s">
        <v>392</v>
      </c>
      <c r="AB11" s="318"/>
      <c r="AC11" s="318">
        <v>742880.94</v>
      </c>
      <c r="AD11" s="648"/>
    </row>
    <row r="12" spans="1:35">
      <c r="A12" s="376">
        <v>5</v>
      </c>
      <c r="B12" s="376">
        <v>303.01</v>
      </c>
      <c r="C12" s="337" t="s">
        <v>547</v>
      </c>
      <c r="E12" s="376" t="s">
        <v>243</v>
      </c>
      <c r="G12" s="322">
        <f>IF($AF$3=0,$S12,$Y12)</f>
        <v>500000</v>
      </c>
      <c r="H12" s="318"/>
      <c r="I12" s="379" t="s">
        <v>243</v>
      </c>
      <c r="J12" s="318"/>
      <c r="K12" s="663">
        <f>IF($AF$3=0,$W12,$AC12)</f>
        <v>500000</v>
      </c>
      <c r="N12" s="490">
        <f>IF(P12&lt;&gt;0,P12/K12," ")</f>
        <v>0.87194347602411748</v>
      </c>
      <c r="O12" s="518">
        <f>G12*N12</f>
        <v>435971.73801205872</v>
      </c>
      <c r="P12" s="524">
        <f>'FERC Accts by Customer Class'!H45</f>
        <v>435971.73801205872</v>
      </c>
      <c r="Q12" s="507"/>
      <c r="R12" s="653"/>
      <c r="S12" s="322">
        <v>500000</v>
      </c>
      <c r="T12" s="318"/>
      <c r="U12" s="379" t="s">
        <v>243</v>
      </c>
      <c r="V12" s="318"/>
      <c r="W12" s="319">
        <v>500000</v>
      </c>
      <c r="X12" s="648"/>
      <c r="Y12" s="322">
        <v>500000</v>
      </c>
      <c r="Z12" s="318"/>
      <c r="AA12" s="379" t="s">
        <v>243</v>
      </c>
      <c r="AB12" s="318"/>
      <c r="AC12" s="319">
        <v>500000</v>
      </c>
      <c r="AD12" s="648"/>
    </row>
    <row r="13" spans="1:35">
      <c r="A13" s="376">
        <v>6</v>
      </c>
      <c r="B13" s="376"/>
      <c r="C13" s="348" t="s">
        <v>135</v>
      </c>
      <c r="E13" s="376" t="s">
        <v>246</v>
      </c>
      <c r="G13" s="320">
        <f>IF($AF$3=0,$S13,$Y13)</f>
        <v>1364199</v>
      </c>
      <c r="I13" s="376" t="s">
        <v>246</v>
      </c>
      <c r="K13" s="317">
        <f>IF($AF$3=0,$W13,$AC13)</f>
        <v>1364199</v>
      </c>
      <c r="N13" s="508">
        <f>IF(P13&lt;&gt;0,P13/K13," ")</f>
        <v>0.87194375086356146</v>
      </c>
      <c r="O13" s="523">
        <f>SUM(O9:O12)</f>
        <v>1189504.7929843196</v>
      </c>
      <c r="P13" s="523">
        <f>SUM(P9:P12)</f>
        <v>1189504.7929843196</v>
      </c>
      <c r="Q13" s="507"/>
      <c r="R13" s="653"/>
      <c r="S13" s="320">
        <v>1364199</v>
      </c>
      <c r="U13" s="376" t="s">
        <v>246</v>
      </c>
      <c r="W13" s="317">
        <v>1364199</v>
      </c>
      <c r="X13" s="648"/>
      <c r="Y13" s="320">
        <v>1364199</v>
      </c>
      <c r="AA13" s="376" t="s">
        <v>246</v>
      </c>
      <c r="AC13" s="317">
        <v>1364199</v>
      </c>
      <c r="AD13" s="648"/>
    </row>
    <row r="14" spans="1:35">
      <c r="A14" s="376">
        <v>7</v>
      </c>
      <c r="B14" s="376"/>
      <c r="C14" s="348"/>
      <c r="E14" s="376"/>
      <c r="K14" s="317"/>
      <c r="O14" s="507"/>
      <c r="P14" s="507"/>
      <c r="Q14" s="507"/>
      <c r="R14" s="653"/>
      <c r="S14" s="320"/>
      <c r="U14" s="376"/>
      <c r="W14" s="317"/>
      <c r="X14" s="648"/>
      <c r="Y14" s="320"/>
      <c r="AA14" s="376"/>
      <c r="AC14" s="317"/>
      <c r="AD14" s="648"/>
    </row>
    <row r="15" spans="1:35">
      <c r="A15" s="376">
        <v>8</v>
      </c>
      <c r="B15" s="376">
        <v>365.03</v>
      </c>
      <c r="C15" s="337" t="s">
        <v>249</v>
      </c>
      <c r="D15" s="380"/>
      <c r="E15" s="376" t="s">
        <v>243</v>
      </c>
      <c r="G15" s="112">
        <f>IF($AF$3=0,$S15,$Y15)</f>
        <v>170272.49</v>
      </c>
      <c r="H15" s="338"/>
      <c r="I15" s="381" t="s">
        <v>243</v>
      </c>
      <c r="J15" s="338"/>
      <c r="K15" s="112">
        <f>IF($AF$3=0,$W15,$AC15)</f>
        <v>170272.49</v>
      </c>
      <c r="N15" s="508">
        <f>IF(P15&lt;&gt;0,P15/K15," ")</f>
        <v>0.48928298099618767</v>
      </c>
      <c r="O15" s="517">
        <f>G15*N15</f>
        <v>83311.431488843547</v>
      </c>
      <c r="P15" s="522">
        <f>'FERC Accts by Customer Class'!H49</f>
        <v>83311.431488843547</v>
      </c>
      <c r="Q15" s="507"/>
      <c r="R15" s="653"/>
      <c r="S15" s="112">
        <v>170272.49</v>
      </c>
      <c r="T15" s="338"/>
      <c r="U15" s="381" t="s">
        <v>243</v>
      </c>
      <c r="V15" s="338"/>
      <c r="W15" s="112">
        <v>170272.49</v>
      </c>
      <c r="X15" s="648"/>
      <c r="Y15" s="112">
        <v>170272.49</v>
      </c>
      <c r="Z15" s="338"/>
      <c r="AA15" s="381" t="s">
        <v>243</v>
      </c>
      <c r="AB15" s="338"/>
      <c r="AC15" s="112">
        <v>170272.49</v>
      </c>
      <c r="AD15" s="648"/>
    </row>
    <row r="16" spans="1:35">
      <c r="A16" s="376">
        <v>9</v>
      </c>
      <c r="B16" s="376">
        <v>366.01</v>
      </c>
      <c r="C16" s="337" t="s">
        <v>129</v>
      </c>
      <c r="D16" s="380"/>
      <c r="E16" s="376" t="s">
        <v>243</v>
      </c>
      <c r="G16" s="112">
        <f>IF($AF$3=0,$S16,$Y16)</f>
        <v>8173.65</v>
      </c>
      <c r="H16" s="338"/>
      <c r="I16" s="381" t="s">
        <v>243</v>
      </c>
      <c r="J16" s="338"/>
      <c r="K16" s="112">
        <f>IF($AF$3=0,$W16,$AC16)</f>
        <v>8173.65</v>
      </c>
      <c r="N16" s="508">
        <f>IF(P16&lt;&gt;0,P16/K16," ")</f>
        <v>0.47718096127727649</v>
      </c>
      <c r="O16" s="517">
        <f>G16*N16</f>
        <v>3900.3101641440107</v>
      </c>
      <c r="P16" s="522">
        <f>'FERC Accts by Customer Class'!H50</f>
        <v>3900.3101641440107</v>
      </c>
      <c r="Q16" s="507"/>
      <c r="R16" s="653"/>
      <c r="S16" s="112">
        <v>8173.65</v>
      </c>
      <c r="T16" s="338"/>
      <c r="U16" s="381" t="s">
        <v>243</v>
      </c>
      <c r="V16" s="338"/>
      <c r="W16" s="112">
        <v>8173.65</v>
      </c>
      <c r="X16" s="648"/>
      <c r="Y16" s="112">
        <v>8173.65</v>
      </c>
      <c r="Z16" s="338"/>
      <c r="AA16" s="381" t="s">
        <v>243</v>
      </c>
      <c r="AB16" s="338"/>
      <c r="AC16" s="112">
        <v>8173.65</v>
      </c>
      <c r="AD16" s="648"/>
    </row>
    <row r="17" spans="1:32">
      <c r="A17" s="376">
        <v>10</v>
      </c>
      <c r="B17" s="376">
        <v>367</v>
      </c>
      <c r="C17" s="337" t="s">
        <v>250</v>
      </c>
      <c r="D17" s="380"/>
      <c r="E17" s="376" t="s">
        <v>243</v>
      </c>
      <c r="F17" s="380"/>
      <c r="G17" s="112">
        <f>IF($AF$3=0,$S17,$Y17)</f>
        <v>5361146.8400000008</v>
      </c>
      <c r="H17" s="6"/>
      <c r="I17" s="381" t="s">
        <v>243</v>
      </c>
      <c r="J17" s="6"/>
      <c r="K17" s="112">
        <f>IF($AF$3=0,$W17,$AC17)</f>
        <v>5361146.8400000008</v>
      </c>
      <c r="N17" s="508">
        <f>IF(P17&lt;&gt;0,P17/K17," ")</f>
        <v>0.55248182696507231</v>
      </c>
      <c r="O17" s="517">
        <f>G17*N17</f>
        <v>2961936.2007912248</v>
      </c>
      <c r="P17" s="522">
        <f>'FERC Accts by Customer Class'!H51</f>
        <v>2961936.2007912248</v>
      </c>
      <c r="Q17" s="507"/>
      <c r="R17" s="653"/>
      <c r="S17" s="112">
        <v>5361146.8400000008</v>
      </c>
      <c r="T17" s="6"/>
      <c r="U17" s="381" t="s">
        <v>243</v>
      </c>
      <c r="V17" s="6"/>
      <c r="W17" s="112">
        <v>5361146.8400000008</v>
      </c>
      <c r="X17" s="648"/>
      <c r="Y17" s="112">
        <v>5361146.8400000008</v>
      </c>
      <c r="Z17" s="6"/>
      <c r="AA17" s="381" t="s">
        <v>243</v>
      </c>
      <c r="AB17" s="6"/>
      <c r="AC17" s="112">
        <v>5361146.8400000008</v>
      </c>
      <c r="AD17" s="648"/>
    </row>
    <row r="18" spans="1:32">
      <c r="A18" s="376">
        <v>11</v>
      </c>
      <c r="B18" s="376">
        <v>369.03</v>
      </c>
      <c r="C18" s="337" t="s">
        <v>251</v>
      </c>
      <c r="D18" s="380"/>
      <c r="E18" s="376" t="s">
        <v>243</v>
      </c>
      <c r="F18" s="380"/>
      <c r="G18" s="112">
        <f>IF($AF$3=0,$S18,$Y18)</f>
        <v>624131.56999999995</v>
      </c>
      <c r="H18" s="6"/>
      <c r="I18" s="381" t="s">
        <v>243</v>
      </c>
      <c r="J18" s="6"/>
      <c r="K18" s="112">
        <f>IF($AF$3=0,$W18,$AC18)</f>
        <v>624131.56999999995</v>
      </c>
      <c r="N18" s="490">
        <f>IF(P18&lt;&gt;0,P18/K18," ")</f>
        <v>0.6142724322022145</v>
      </c>
      <c r="O18" s="518">
        <f>G18*N18</f>
        <v>383386.81751808664</v>
      </c>
      <c r="P18" s="524">
        <f>'FERC Accts by Customer Class'!H52</f>
        <v>383386.81751808664</v>
      </c>
      <c r="Q18" s="507"/>
      <c r="R18" s="653"/>
      <c r="S18" s="112">
        <v>624131.56999999995</v>
      </c>
      <c r="T18" s="6"/>
      <c r="U18" s="381" t="s">
        <v>243</v>
      </c>
      <c r="V18" s="6"/>
      <c r="W18" s="112">
        <v>624131.56999999995</v>
      </c>
      <c r="X18" s="648"/>
      <c r="Y18" s="112">
        <v>624131.56999999995</v>
      </c>
      <c r="Z18" s="6"/>
      <c r="AA18" s="381" t="s">
        <v>243</v>
      </c>
      <c r="AB18" s="6"/>
      <c r="AC18" s="112">
        <v>624131.56999999995</v>
      </c>
      <c r="AD18" s="648"/>
    </row>
    <row r="19" spans="1:32">
      <c r="A19" s="376">
        <v>12</v>
      </c>
      <c r="B19" s="376"/>
      <c r="C19" s="348" t="s">
        <v>139</v>
      </c>
      <c r="D19" s="380"/>
      <c r="E19" s="376" t="s">
        <v>246</v>
      </c>
      <c r="F19" s="380"/>
      <c r="G19" s="321">
        <f>IF($AF$3=0,$S19,$Y19)</f>
        <v>6163725</v>
      </c>
      <c r="H19" s="382"/>
      <c r="I19" s="376" t="s">
        <v>246</v>
      </c>
      <c r="J19" s="382"/>
      <c r="K19" s="321">
        <f>IF($AF$3=0,$W19,$AC19)</f>
        <v>6163725</v>
      </c>
      <c r="N19" s="508">
        <f>IF(P19&lt;&gt;0,P19/K19," ")</f>
        <v>0.5568929113421347</v>
      </c>
      <c r="O19" s="523">
        <f>SUM(O15:O18)</f>
        <v>3432534.7599622989</v>
      </c>
      <c r="P19" s="523">
        <f>SUM(P15:P18)</f>
        <v>3432534.7599622989</v>
      </c>
      <c r="Q19" s="507"/>
      <c r="R19" s="653"/>
      <c r="S19" s="321">
        <v>6163725</v>
      </c>
      <c r="T19" s="382"/>
      <c r="U19" s="376" t="s">
        <v>246</v>
      </c>
      <c r="V19" s="382"/>
      <c r="W19" s="321">
        <v>6163725</v>
      </c>
      <c r="X19" s="648"/>
      <c r="Y19" s="321">
        <v>6163725</v>
      </c>
      <c r="Z19" s="382"/>
      <c r="AA19" s="376" t="s">
        <v>246</v>
      </c>
      <c r="AB19" s="382"/>
      <c r="AC19" s="321">
        <v>6163725</v>
      </c>
      <c r="AD19" s="648"/>
    </row>
    <row r="20" spans="1:32">
      <c r="A20" s="376">
        <v>13</v>
      </c>
      <c r="B20" s="376"/>
      <c r="D20" s="380"/>
      <c r="O20" s="507"/>
      <c r="P20" s="507"/>
      <c r="Q20" s="507"/>
      <c r="R20" s="653"/>
      <c r="S20" s="320"/>
      <c r="U20" s="376"/>
      <c r="X20" s="648"/>
      <c r="Y20" s="320"/>
      <c r="AA20" s="376"/>
      <c r="AD20" s="648"/>
    </row>
    <row r="21" spans="1:32" ht="12.75" customHeight="1">
      <c r="A21" s="376">
        <v>14</v>
      </c>
      <c r="B21" s="376">
        <v>374.01</v>
      </c>
      <c r="C21" s="337" t="s">
        <v>252</v>
      </c>
      <c r="D21" s="380"/>
      <c r="E21" s="376" t="s">
        <v>243</v>
      </c>
      <c r="F21" s="380"/>
      <c r="G21" s="320">
        <f t="shared" ref="G21:G37" si="0">IF($AF$3=0,$S21,$Y21)</f>
        <v>1358867.6</v>
      </c>
      <c r="H21" s="6"/>
      <c r="I21" s="376" t="s">
        <v>243</v>
      </c>
      <c r="J21" s="6"/>
      <c r="K21" s="317">
        <f t="shared" ref="K21:K37" si="1">IF($AF$3=0,$W21,$AC21)</f>
        <v>608493.55000000005</v>
      </c>
      <c r="N21" s="508">
        <f t="shared" ref="N21:N37" si="2">IF(P21&lt;&gt;0,P21/K21," ")</f>
        <v>0.67411602428063488</v>
      </c>
      <c r="O21" s="517">
        <f t="shared" ref="O21:O36" si="3">G21*N21</f>
        <v>916034.42403576814</v>
      </c>
      <c r="P21" s="522">
        <f>'FERC Accts by Customer Class'!H56</f>
        <v>410195.25272640976</v>
      </c>
      <c r="Q21" s="507"/>
      <c r="R21" s="653"/>
      <c r="S21" s="320">
        <v>1358867.6</v>
      </c>
      <c r="T21" s="6"/>
      <c r="U21" s="376" t="s">
        <v>243</v>
      </c>
      <c r="V21" s="6"/>
      <c r="W21" s="317">
        <v>608493.55000000005</v>
      </c>
      <c r="X21" s="648"/>
      <c r="Y21" s="320">
        <v>1358867.6</v>
      </c>
      <c r="Z21" s="6"/>
      <c r="AA21" s="376" t="s">
        <v>243</v>
      </c>
      <c r="AB21" s="6"/>
      <c r="AC21" s="317">
        <v>608493.55000000005</v>
      </c>
      <c r="AD21" s="648"/>
      <c r="AE21" s="659"/>
      <c r="AF21" s="659"/>
    </row>
    <row r="22" spans="1:32" ht="12.75" customHeight="1">
      <c r="A22" s="376">
        <v>15</v>
      </c>
      <c r="B22" s="376">
        <v>374.02</v>
      </c>
      <c r="C22" s="337" t="s">
        <v>248</v>
      </c>
      <c r="D22" s="380"/>
      <c r="E22" s="376" t="s">
        <v>243</v>
      </c>
      <c r="F22" s="380"/>
      <c r="G22" s="112">
        <f t="shared" si="0"/>
        <v>176100</v>
      </c>
      <c r="H22" s="6"/>
      <c r="I22" s="381" t="s">
        <v>243</v>
      </c>
      <c r="J22" s="6"/>
      <c r="K22" s="112">
        <f t="shared" si="1"/>
        <v>1693103.5573682757</v>
      </c>
      <c r="N22" s="508">
        <f t="shared" si="2"/>
        <v>0.71236152179758516</v>
      </c>
      <c r="O22" s="517">
        <f t="shared" si="3"/>
        <v>125446.86398855475</v>
      </c>
      <c r="P22" s="522">
        <f>'FERC Accts by Customer Class'!H57</f>
        <v>1206101.82668777</v>
      </c>
      <c r="Q22" s="507"/>
      <c r="R22" s="653"/>
      <c r="S22" s="112">
        <v>176100</v>
      </c>
      <c r="T22" s="6"/>
      <c r="U22" s="381" t="s">
        <v>243</v>
      </c>
      <c r="V22" s="6"/>
      <c r="W22" s="112">
        <v>1724267.8962500002</v>
      </c>
      <c r="X22" s="648"/>
      <c r="Y22" s="112">
        <v>176100</v>
      </c>
      <c r="Z22" s="6"/>
      <c r="AA22" s="381" t="s">
        <v>243</v>
      </c>
      <c r="AB22" s="6"/>
      <c r="AC22" s="112">
        <v>1693103.5573682757</v>
      </c>
      <c r="AD22" s="648"/>
      <c r="AE22" s="659"/>
      <c r="AF22" s="659"/>
    </row>
    <row r="23" spans="1:32" ht="12.75" customHeight="1">
      <c r="A23" s="376">
        <v>16</v>
      </c>
      <c r="B23" s="376">
        <v>374.03</v>
      </c>
      <c r="C23" s="337" t="s">
        <v>543</v>
      </c>
      <c r="D23" s="380"/>
      <c r="E23" s="376" t="s">
        <v>243</v>
      </c>
      <c r="F23" s="380"/>
      <c r="G23" s="112">
        <f t="shared" si="0"/>
        <v>6797135.5700000003</v>
      </c>
      <c r="H23" s="6"/>
      <c r="I23" s="381" t="s">
        <v>243</v>
      </c>
      <c r="J23" s="6"/>
      <c r="K23" s="112">
        <f t="shared" si="1"/>
        <v>6797135.5700000003</v>
      </c>
      <c r="N23" s="508">
        <f t="shared" si="2"/>
        <v>0.71236152179758527</v>
      </c>
      <c r="O23" s="517">
        <f t="shared" si="3"/>
        <v>4842017.8385096975</v>
      </c>
      <c r="P23" s="522">
        <f>'FERC Accts by Customer Class'!H58</f>
        <v>4842017.8385096975</v>
      </c>
      <c r="Q23" s="507"/>
      <c r="R23" s="653"/>
      <c r="S23" s="112">
        <v>6797135.5700000003</v>
      </c>
      <c r="T23" s="6"/>
      <c r="U23" s="381" t="s">
        <v>243</v>
      </c>
      <c r="V23" s="6"/>
      <c r="W23" s="112">
        <v>6797135.5700000003</v>
      </c>
      <c r="X23" s="648"/>
      <c r="Y23" s="112">
        <v>6797135.5700000003</v>
      </c>
      <c r="Z23" s="6"/>
      <c r="AA23" s="381" t="s">
        <v>243</v>
      </c>
      <c r="AB23" s="6"/>
      <c r="AC23" s="112">
        <v>6797135.5700000003</v>
      </c>
      <c r="AD23" s="648"/>
      <c r="AE23" s="659"/>
      <c r="AF23" s="659"/>
    </row>
    <row r="24" spans="1:32" ht="12.75" customHeight="1">
      <c r="A24" s="376">
        <v>17</v>
      </c>
      <c r="B24" s="376">
        <v>375.01</v>
      </c>
      <c r="C24" s="337" t="s">
        <v>129</v>
      </c>
      <c r="D24" s="380"/>
      <c r="E24" s="376" t="s">
        <v>243</v>
      </c>
      <c r="F24" s="380"/>
      <c r="G24" s="112">
        <f t="shared" si="0"/>
        <v>4987056.08</v>
      </c>
      <c r="H24" s="6"/>
      <c r="I24" s="381" t="s">
        <v>243</v>
      </c>
      <c r="J24" s="6"/>
      <c r="K24" s="112">
        <f t="shared" si="1"/>
        <v>3462086.8492294252</v>
      </c>
      <c r="N24" s="508">
        <f t="shared" si="2"/>
        <v>0.67283756021124064</v>
      </c>
      <c r="O24" s="517">
        <f t="shared" si="3"/>
        <v>3355478.6455038339</v>
      </c>
      <c r="P24" s="522">
        <f>'FERC Accts by Customer Class'!H59</f>
        <v>2329422.0688749477</v>
      </c>
      <c r="Q24" s="507"/>
      <c r="R24" s="653"/>
      <c r="S24" s="112">
        <v>4987056.08</v>
      </c>
      <c r="T24" s="6"/>
      <c r="U24" s="381" t="s">
        <v>243</v>
      </c>
      <c r="V24" s="6"/>
      <c r="W24" s="112">
        <v>3412283.8900500005</v>
      </c>
      <c r="X24" s="648"/>
      <c r="Y24" s="112">
        <v>4987056.08</v>
      </c>
      <c r="Z24" s="6"/>
      <c r="AA24" s="381" t="s">
        <v>243</v>
      </c>
      <c r="AB24" s="6"/>
      <c r="AC24" s="112">
        <v>3462086.8492294252</v>
      </c>
      <c r="AD24" s="648"/>
      <c r="AE24" s="659"/>
      <c r="AF24" s="659"/>
    </row>
    <row r="25" spans="1:32" ht="12.75" customHeight="1">
      <c r="A25" s="376">
        <v>18</v>
      </c>
      <c r="B25" s="376">
        <v>375.2</v>
      </c>
      <c r="C25" s="337" t="s">
        <v>544</v>
      </c>
      <c r="D25" s="380"/>
      <c r="E25" s="376" t="s">
        <v>243</v>
      </c>
      <c r="F25" s="380"/>
      <c r="G25" s="112">
        <f t="shared" si="0"/>
        <v>12119.44</v>
      </c>
      <c r="H25" s="6"/>
      <c r="I25" s="381" t="s">
        <v>243</v>
      </c>
      <c r="J25" s="6"/>
      <c r="K25" s="112">
        <f t="shared" si="1"/>
        <v>12119.44</v>
      </c>
      <c r="N25" s="508">
        <f t="shared" si="2"/>
        <v>0.71236152179758538</v>
      </c>
      <c r="O25" s="517">
        <f t="shared" si="3"/>
        <v>8633.4227217345287</v>
      </c>
      <c r="P25" s="522">
        <f>'FERC Accts by Customer Class'!H60</f>
        <v>8633.4227217345287</v>
      </c>
      <c r="Q25" s="507"/>
      <c r="R25" s="653"/>
      <c r="S25" s="112">
        <v>12119.44</v>
      </c>
      <c r="T25" s="6"/>
      <c r="U25" s="381" t="s">
        <v>243</v>
      </c>
      <c r="V25" s="6"/>
      <c r="W25" s="112">
        <v>12119.44</v>
      </c>
      <c r="X25" s="648"/>
      <c r="Y25" s="112">
        <v>12119.44</v>
      </c>
      <c r="Z25" s="6"/>
      <c r="AA25" s="381" t="s">
        <v>243</v>
      </c>
      <c r="AB25" s="6"/>
      <c r="AC25" s="112">
        <v>12119.44</v>
      </c>
      <c r="AD25" s="648"/>
      <c r="AE25" s="659"/>
      <c r="AF25" s="659"/>
    </row>
    <row r="26" spans="1:32" ht="12.75" customHeight="1">
      <c r="A26" s="376">
        <v>19</v>
      </c>
      <c r="B26" s="376">
        <v>376</v>
      </c>
      <c r="C26" s="337" t="s">
        <v>254</v>
      </c>
      <c r="D26" s="380"/>
      <c r="E26" s="376" t="s">
        <v>243</v>
      </c>
      <c r="F26" s="380"/>
      <c r="G26" s="112">
        <f t="shared" si="0"/>
        <v>404011716.14999998</v>
      </c>
      <c r="H26" s="6"/>
      <c r="I26" s="381" t="s">
        <v>243</v>
      </c>
      <c r="J26" s="6"/>
      <c r="K26" s="112">
        <f t="shared" si="1"/>
        <v>444565701.90557998</v>
      </c>
      <c r="N26" s="508">
        <f t="shared" si="2"/>
        <v>0.82916459753308547</v>
      </c>
      <c r="O26" s="517">
        <f t="shared" si="3"/>
        <v>334992212.02016592</v>
      </c>
      <c r="P26" s="522">
        <f>'FERC Accts by Customer Class'!H61</f>
        <v>368618141.2975539</v>
      </c>
      <c r="Q26" s="507"/>
      <c r="R26" s="653"/>
      <c r="S26" s="112">
        <v>404011716.14999998</v>
      </c>
      <c r="T26" s="6"/>
      <c r="U26" s="381" t="s">
        <v>243</v>
      </c>
      <c r="V26" s="6"/>
      <c r="W26" s="112">
        <v>444506217.05339003</v>
      </c>
      <c r="X26" s="648"/>
      <c r="Y26" s="112">
        <v>404011716.14999998</v>
      </c>
      <c r="Z26" s="6"/>
      <c r="AA26" s="381" t="s">
        <v>243</v>
      </c>
      <c r="AB26" s="6"/>
      <c r="AC26" s="112">
        <v>444565701.90557998</v>
      </c>
      <c r="AD26" s="648"/>
      <c r="AE26" s="659"/>
      <c r="AF26" s="659"/>
    </row>
    <row r="27" spans="1:32" ht="12.75" customHeight="1">
      <c r="A27" s="376">
        <v>20</v>
      </c>
      <c r="B27" s="376">
        <v>378</v>
      </c>
      <c r="C27" s="337" t="s">
        <v>255</v>
      </c>
      <c r="D27" s="380"/>
      <c r="E27" s="376" t="s">
        <v>243</v>
      </c>
      <c r="F27" s="380"/>
      <c r="G27" s="112">
        <f t="shared" si="0"/>
        <v>23549301.310000002</v>
      </c>
      <c r="H27" s="6"/>
      <c r="I27" s="381" t="s">
        <v>243</v>
      </c>
      <c r="J27" s="6"/>
      <c r="K27" s="112">
        <f t="shared" si="1"/>
        <v>25439135.747249428</v>
      </c>
      <c r="N27" s="508">
        <f t="shared" si="2"/>
        <v>0.67057074627446445</v>
      </c>
      <c r="O27" s="517">
        <f t="shared" si="3"/>
        <v>15791472.553688925</v>
      </c>
      <c r="P27" s="522">
        <f>'FERC Accts by Customer Class'!H62</f>
        <v>17058740.242610455</v>
      </c>
      <c r="Q27" s="507"/>
      <c r="R27" s="653"/>
      <c r="S27" s="112">
        <v>23549301.310000002</v>
      </c>
      <c r="T27" s="6"/>
      <c r="U27" s="381" t="s">
        <v>243</v>
      </c>
      <c r="V27" s="6"/>
      <c r="W27" s="112">
        <v>25407196.844550002</v>
      </c>
      <c r="X27" s="648"/>
      <c r="Y27" s="112">
        <v>23549301.310000002</v>
      </c>
      <c r="Z27" s="6"/>
      <c r="AA27" s="381" t="s">
        <v>243</v>
      </c>
      <c r="AB27" s="6"/>
      <c r="AC27" s="112">
        <v>25439135.747249428</v>
      </c>
      <c r="AD27" s="648"/>
      <c r="AE27" s="659"/>
      <c r="AF27" s="659"/>
    </row>
    <row r="28" spans="1:32" ht="12.75" customHeight="1">
      <c r="A28" s="376">
        <v>21</v>
      </c>
      <c r="B28" s="376">
        <v>379</v>
      </c>
      <c r="C28" s="337" t="s">
        <v>545</v>
      </c>
      <c r="D28" s="380"/>
      <c r="E28" s="376" t="s">
        <v>243</v>
      </c>
      <c r="F28" s="380"/>
      <c r="G28" s="112">
        <f t="shared" si="0"/>
        <v>4504804.09</v>
      </c>
      <c r="H28" s="6"/>
      <c r="I28" s="381" t="s">
        <v>243</v>
      </c>
      <c r="J28" s="6"/>
      <c r="K28" s="112">
        <f t="shared" si="1"/>
        <v>5022045.0347600002</v>
      </c>
      <c r="N28" s="508">
        <f t="shared" si="2"/>
        <v>0.71236152179758527</v>
      </c>
      <c r="O28" s="517">
        <f t="shared" si="3"/>
        <v>3209049.0969523862</v>
      </c>
      <c r="P28" s="522">
        <f>'FERC Accts by Customer Class'!H63</f>
        <v>3577511.6434976407</v>
      </c>
      <c r="Q28" s="507"/>
      <c r="R28" s="653"/>
      <c r="S28" s="112">
        <v>4504804.09</v>
      </c>
      <c r="T28" s="6"/>
      <c r="U28" s="381" t="s">
        <v>243</v>
      </c>
      <c r="V28" s="6"/>
      <c r="W28" s="112">
        <v>5952374.1174499989</v>
      </c>
      <c r="X28" s="648"/>
      <c r="Y28" s="112">
        <v>4504804.09</v>
      </c>
      <c r="Z28" s="6"/>
      <c r="AA28" s="381" t="s">
        <v>243</v>
      </c>
      <c r="AB28" s="6"/>
      <c r="AC28" s="112">
        <v>5022045.0347600002</v>
      </c>
      <c r="AD28" s="648"/>
      <c r="AE28" s="659"/>
      <c r="AF28" s="659"/>
    </row>
    <row r="29" spans="1:32" ht="12.75" customHeight="1">
      <c r="A29" s="376">
        <v>22</v>
      </c>
      <c r="B29" s="376">
        <v>380</v>
      </c>
      <c r="C29" s="337" t="s">
        <v>256</v>
      </c>
      <c r="D29" s="380"/>
      <c r="E29" s="376" t="s">
        <v>243</v>
      </c>
      <c r="F29" s="380"/>
      <c r="G29" s="112">
        <f t="shared" si="0"/>
        <v>134854199.39999998</v>
      </c>
      <c r="H29" s="6"/>
      <c r="I29" s="381" t="s">
        <v>243</v>
      </c>
      <c r="J29" s="6"/>
      <c r="K29" s="112">
        <f t="shared" si="1"/>
        <v>159737814.73044708</v>
      </c>
      <c r="N29" s="508">
        <f t="shared" si="2"/>
        <v>0.9932156217360445</v>
      </c>
      <c r="O29" s="517">
        <f t="shared" si="3"/>
        <v>133939297.5007875</v>
      </c>
      <c r="P29" s="522">
        <f>'FERC Accts by Customer Class'!H64</f>
        <v>158654092.97225809</v>
      </c>
      <c r="Q29" s="507"/>
      <c r="R29" s="653"/>
      <c r="S29" s="112">
        <v>134854199.39999998</v>
      </c>
      <c r="T29" s="6"/>
      <c r="U29" s="381" t="s">
        <v>243</v>
      </c>
      <c r="V29" s="6"/>
      <c r="W29" s="112">
        <v>154387443.26430997</v>
      </c>
      <c r="X29" s="648"/>
      <c r="Y29" s="112">
        <v>134854199.39999998</v>
      </c>
      <c r="Z29" s="6"/>
      <c r="AA29" s="381" t="s">
        <v>243</v>
      </c>
      <c r="AB29" s="6"/>
      <c r="AC29" s="112">
        <v>159737814.73044708</v>
      </c>
      <c r="AD29" s="648"/>
      <c r="AE29" s="659"/>
      <c r="AF29" s="659"/>
    </row>
    <row r="30" spans="1:32" ht="12.75" customHeight="1">
      <c r="A30" s="376">
        <v>23</v>
      </c>
      <c r="B30" s="376">
        <v>381</v>
      </c>
      <c r="C30" s="337" t="s">
        <v>82</v>
      </c>
      <c r="D30" s="380"/>
      <c r="E30" s="376" t="s">
        <v>243</v>
      </c>
      <c r="F30" s="380"/>
      <c r="G30" s="112">
        <f t="shared" si="0"/>
        <v>42421416.420000002</v>
      </c>
      <c r="H30" s="6"/>
      <c r="I30" s="381" t="s">
        <v>243</v>
      </c>
      <c r="J30" s="6"/>
      <c r="K30" s="112">
        <f t="shared" si="1"/>
        <v>46888273.993909426</v>
      </c>
      <c r="N30" s="508">
        <f t="shared" si="2"/>
        <v>0.86903902691157919</v>
      </c>
      <c r="O30" s="517">
        <f t="shared" si="3"/>
        <v>36865866.44584769</v>
      </c>
      <c r="P30" s="522">
        <f>'FERC Accts by Customer Class'!H65</f>
        <v>40747740.005230553</v>
      </c>
      <c r="Q30" s="507"/>
      <c r="R30" s="653"/>
      <c r="S30" s="112">
        <v>42421416.420000002</v>
      </c>
      <c r="T30" s="6"/>
      <c r="U30" s="381" t="s">
        <v>243</v>
      </c>
      <c r="V30" s="6"/>
      <c r="W30" s="112">
        <v>45960614.733950004</v>
      </c>
      <c r="X30" s="648"/>
      <c r="Y30" s="112">
        <v>42421416.420000002</v>
      </c>
      <c r="Z30" s="6"/>
      <c r="AA30" s="381" t="s">
        <v>243</v>
      </c>
      <c r="AB30" s="6"/>
      <c r="AC30" s="112">
        <v>46888273.993909426</v>
      </c>
      <c r="AD30" s="648"/>
      <c r="AE30" s="659"/>
      <c r="AF30" s="659"/>
    </row>
    <row r="31" spans="1:32" ht="12.75" customHeight="1">
      <c r="A31" s="376">
        <v>24</v>
      </c>
      <c r="B31" s="376">
        <v>382.01</v>
      </c>
      <c r="C31" s="337" t="s">
        <v>141</v>
      </c>
      <c r="D31" s="380"/>
      <c r="E31" s="376" t="s">
        <v>243</v>
      </c>
      <c r="F31" s="380"/>
      <c r="G31" s="112">
        <f t="shared" si="0"/>
        <v>11094169.640000001</v>
      </c>
      <c r="H31" s="6"/>
      <c r="I31" s="381" t="s">
        <v>243</v>
      </c>
      <c r="J31" s="6"/>
      <c r="K31" s="112">
        <f t="shared" si="1"/>
        <v>12370833.00282</v>
      </c>
      <c r="N31" s="508">
        <f t="shared" si="2"/>
        <v>0.86903902691157919</v>
      </c>
      <c r="O31" s="517">
        <f t="shared" si="3"/>
        <v>9641266.3883375861</v>
      </c>
      <c r="P31" s="522">
        <f>'FERC Accts by Customer Class'!H66</f>
        <v>10750736.674856342</v>
      </c>
      <c r="Q31" s="507"/>
      <c r="R31" s="653"/>
      <c r="S31" s="112">
        <v>11094169.640000001</v>
      </c>
      <c r="T31" s="6"/>
      <c r="U31" s="381" t="s">
        <v>243</v>
      </c>
      <c r="V31" s="6"/>
      <c r="W31" s="112">
        <v>12295675.876500001</v>
      </c>
      <c r="X31" s="648"/>
      <c r="Y31" s="112">
        <v>11094169.640000001</v>
      </c>
      <c r="Z31" s="6"/>
      <c r="AA31" s="381" t="s">
        <v>243</v>
      </c>
      <c r="AB31" s="6"/>
      <c r="AC31" s="112">
        <v>12370833.00282</v>
      </c>
      <c r="AD31" s="648"/>
      <c r="AE31" s="659"/>
      <c r="AF31" s="659"/>
    </row>
    <row r="32" spans="1:32" ht="12.75" customHeight="1">
      <c r="A32" s="376">
        <v>25</v>
      </c>
      <c r="B32" s="376" t="s">
        <v>621</v>
      </c>
      <c r="C32" s="337" t="s">
        <v>257</v>
      </c>
      <c r="D32" s="380"/>
      <c r="E32" s="376" t="s">
        <v>243</v>
      </c>
      <c r="F32" s="380"/>
      <c r="G32" s="112">
        <f t="shared" si="0"/>
        <v>71695654.829999998</v>
      </c>
      <c r="H32" s="6"/>
      <c r="I32" s="381" t="s">
        <v>243</v>
      </c>
      <c r="J32" s="6"/>
      <c r="K32" s="112">
        <f t="shared" si="1"/>
        <v>75357179.16018942</v>
      </c>
      <c r="N32" s="508">
        <f t="shared" si="2"/>
        <v>0.8690390269115793</v>
      </c>
      <c r="O32" s="517">
        <f t="shared" si="3"/>
        <v>62306322.107251666</v>
      </c>
      <c r="P32" s="522">
        <f>'FERC Accts by Customer Class'!H67</f>
        <v>65488329.648172557</v>
      </c>
      <c r="Q32" s="507"/>
      <c r="R32" s="653"/>
      <c r="S32" s="112">
        <v>71695654.829999998</v>
      </c>
      <c r="T32" s="6"/>
      <c r="U32" s="381" t="s">
        <v>243</v>
      </c>
      <c r="V32" s="6"/>
      <c r="W32" s="112">
        <v>74644530.715450004</v>
      </c>
      <c r="X32" s="648"/>
      <c r="Y32" s="112">
        <v>71695654.829999998</v>
      </c>
      <c r="Z32" s="6"/>
      <c r="AA32" s="381" t="s">
        <v>243</v>
      </c>
      <c r="AB32" s="6"/>
      <c r="AC32" s="112">
        <v>75357179.16018942</v>
      </c>
      <c r="AD32" s="648"/>
      <c r="AE32" s="659"/>
      <c r="AF32" s="659"/>
    </row>
    <row r="33" spans="1:32" ht="12.75" customHeight="1">
      <c r="A33" s="376">
        <v>26</v>
      </c>
      <c r="B33" s="376">
        <v>384.01</v>
      </c>
      <c r="C33" s="337" t="s">
        <v>258</v>
      </c>
      <c r="D33" s="380"/>
      <c r="E33" s="376" t="s">
        <v>243</v>
      </c>
      <c r="F33" s="380"/>
      <c r="G33" s="112">
        <f t="shared" si="0"/>
        <v>1505149.15</v>
      </c>
      <c r="H33" s="6"/>
      <c r="I33" s="381" t="s">
        <v>243</v>
      </c>
      <c r="J33" s="6"/>
      <c r="K33" s="112">
        <f t="shared" si="1"/>
        <v>1557089.8189999999</v>
      </c>
      <c r="N33" s="508">
        <f t="shared" si="2"/>
        <v>0.8690390269115793</v>
      </c>
      <c r="O33" s="517">
        <f t="shared" si="3"/>
        <v>1308033.3526727906</v>
      </c>
      <c r="P33" s="522">
        <f>'FERC Accts by Customer Class'!H68</f>
        <v>1353171.821117687</v>
      </c>
      <c r="Q33" s="507"/>
      <c r="R33" s="653"/>
      <c r="S33" s="112">
        <v>1505149.15</v>
      </c>
      <c r="T33" s="6"/>
      <c r="U33" s="381" t="s">
        <v>243</v>
      </c>
      <c r="V33" s="6"/>
      <c r="W33" s="112">
        <v>1553792.8809999998</v>
      </c>
      <c r="X33" s="648"/>
      <c r="Y33" s="112">
        <v>1505149.15</v>
      </c>
      <c r="Z33" s="6"/>
      <c r="AA33" s="381" t="s">
        <v>243</v>
      </c>
      <c r="AB33" s="6"/>
      <c r="AC33" s="112">
        <v>1557089.8189999999</v>
      </c>
      <c r="AD33" s="648"/>
      <c r="AE33" s="659"/>
      <c r="AF33" s="659"/>
    </row>
    <row r="34" spans="1:32" ht="12.75" customHeight="1">
      <c r="A34" s="376">
        <v>27</v>
      </c>
      <c r="B34" s="376">
        <v>385</v>
      </c>
      <c r="C34" s="337" t="s">
        <v>548</v>
      </c>
      <c r="D34" s="380"/>
      <c r="E34" s="376" t="s">
        <v>243</v>
      </c>
      <c r="F34" s="380"/>
      <c r="G34" s="112">
        <f t="shared" si="0"/>
        <v>8058004.8199999984</v>
      </c>
      <c r="H34" s="6"/>
      <c r="I34" s="381" t="s">
        <v>243</v>
      </c>
      <c r="J34" s="6"/>
      <c r="K34" s="112">
        <f t="shared" si="1"/>
        <v>12527682.052389422</v>
      </c>
      <c r="N34" s="508">
        <f t="shared" si="2"/>
        <v>0.8690390269115793</v>
      </c>
      <c r="O34" s="517">
        <f t="shared" si="3"/>
        <v>7002720.6676216144</v>
      </c>
      <c r="P34" s="522">
        <f>'FERC Accts by Customer Class'!H69</f>
        <v>10887044.62026616</v>
      </c>
      <c r="Q34" s="507"/>
      <c r="R34" s="653"/>
      <c r="S34" s="112">
        <v>8058004.8199999984</v>
      </c>
      <c r="T34" s="6"/>
      <c r="U34" s="381" t="s">
        <v>243</v>
      </c>
      <c r="V34" s="6"/>
      <c r="W34" s="112">
        <v>13427611.302099999</v>
      </c>
      <c r="X34" s="648"/>
      <c r="Y34" s="112">
        <v>8058004.8199999984</v>
      </c>
      <c r="Z34" s="6"/>
      <c r="AA34" s="381" t="s">
        <v>243</v>
      </c>
      <c r="AB34" s="6"/>
      <c r="AC34" s="112">
        <v>12527682.052389422</v>
      </c>
      <c r="AD34" s="648"/>
      <c r="AE34" s="659"/>
      <c r="AF34" s="659"/>
    </row>
    <row r="35" spans="1:32" ht="12.75" customHeight="1">
      <c r="A35" s="376">
        <v>28</v>
      </c>
      <c r="B35" s="376">
        <v>386</v>
      </c>
      <c r="C35" s="337" t="s">
        <v>259</v>
      </c>
      <c r="D35" s="380"/>
      <c r="E35" s="376" t="s">
        <v>243</v>
      </c>
      <c r="F35" s="380"/>
      <c r="G35" s="112">
        <f t="shared" si="0"/>
        <v>35278.870000000003</v>
      </c>
      <c r="H35" s="6"/>
      <c r="I35" s="381" t="s">
        <v>243</v>
      </c>
      <c r="J35" s="6"/>
      <c r="K35" s="112">
        <f t="shared" si="1"/>
        <v>35278.870000000003</v>
      </c>
      <c r="N35" s="508">
        <f t="shared" si="2"/>
        <v>0.99321562173604472</v>
      </c>
      <c r="O35" s="517">
        <f t="shared" si="3"/>
        <v>35039.524801195097</v>
      </c>
      <c r="P35" s="522">
        <f>'FERC Accts by Customer Class'!H70</f>
        <v>35039.524801195097</v>
      </c>
      <c r="Q35" s="507"/>
      <c r="R35" s="653"/>
      <c r="S35" s="112">
        <v>35278.870000000003</v>
      </c>
      <c r="T35" s="6"/>
      <c r="U35" s="381" t="s">
        <v>243</v>
      </c>
      <c r="V35" s="6"/>
      <c r="W35" s="112">
        <v>35278.870000000003</v>
      </c>
      <c r="X35" s="648"/>
      <c r="Y35" s="112">
        <v>35278.870000000003</v>
      </c>
      <c r="Z35" s="6"/>
      <c r="AA35" s="381" t="s">
        <v>243</v>
      </c>
      <c r="AB35" s="6"/>
      <c r="AC35" s="112">
        <v>35278.870000000003</v>
      </c>
      <c r="AD35" s="648"/>
      <c r="AE35" s="659"/>
      <c r="AF35" s="659"/>
    </row>
    <row r="36" spans="1:32" ht="12.75" customHeight="1">
      <c r="A36" s="376">
        <v>29</v>
      </c>
      <c r="B36" s="376">
        <v>387</v>
      </c>
      <c r="C36" s="337" t="s">
        <v>138</v>
      </c>
      <c r="D36" s="380"/>
      <c r="E36" s="376" t="s">
        <v>243</v>
      </c>
      <c r="F36" s="380"/>
      <c r="G36" s="112">
        <f t="shared" si="0"/>
        <v>407724.66000000003</v>
      </c>
      <c r="H36" s="6"/>
      <c r="I36" s="381" t="s">
        <v>243</v>
      </c>
      <c r="J36" s="6"/>
      <c r="K36" s="112">
        <f t="shared" si="1"/>
        <v>407724.66000000003</v>
      </c>
      <c r="N36" s="490">
        <f t="shared" si="2"/>
        <v>0.86103937423841281</v>
      </c>
      <c r="O36" s="518">
        <f t="shared" si="3"/>
        <v>351066.98610796966</v>
      </c>
      <c r="P36" s="524">
        <f>'FERC Accts by Customer Class'!H71</f>
        <v>351066.98610796966</v>
      </c>
      <c r="Q36" s="507"/>
      <c r="R36" s="653"/>
      <c r="S36" s="112">
        <v>407724.66000000003</v>
      </c>
      <c r="T36" s="6"/>
      <c r="U36" s="381" t="s">
        <v>243</v>
      </c>
      <c r="V36" s="6"/>
      <c r="W36" s="112">
        <v>407724.66000000003</v>
      </c>
      <c r="X36" s="648"/>
      <c r="Y36" s="112">
        <v>407724.66000000003</v>
      </c>
      <c r="Z36" s="6"/>
      <c r="AA36" s="381" t="s">
        <v>243</v>
      </c>
      <c r="AB36" s="6"/>
      <c r="AC36" s="112">
        <v>407724.66000000003</v>
      </c>
      <c r="AD36" s="648"/>
      <c r="AE36" s="659"/>
      <c r="AF36" s="659"/>
    </row>
    <row r="37" spans="1:32">
      <c r="A37" s="376">
        <v>30</v>
      </c>
      <c r="B37" s="376"/>
      <c r="C37" s="348" t="s">
        <v>143</v>
      </c>
      <c r="D37" s="380"/>
      <c r="E37" s="376" t="s">
        <v>246</v>
      </c>
      <c r="F37" s="380"/>
      <c r="G37" s="321">
        <f t="shared" si="0"/>
        <v>715468698</v>
      </c>
      <c r="H37" s="6"/>
      <c r="I37" s="376" t="s">
        <v>246</v>
      </c>
      <c r="J37" s="6"/>
      <c r="K37" s="321">
        <f t="shared" si="1"/>
        <v>796481698</v>
      </c>
      <c r="N37" s="508">
        <f t="shared" si="2"/>
        <v>0.86168707651333021</v>
      </c>
      <c r="O37" s="523">
        <f>SUM(O21:O36)</f>
        <v>614689957.83899486</v>
      </c>
      <c r="P37" s="523">
        <f>SUM(P21:P36)</f>
        <v>686317985.84599316</v>
      </c>
      <c r="Q37" s="507"/>
      <c r="R37" s="653"/>
      <c r="S37" s="321">
        <v>715468698</v>
      </c>
      <c r="T37" s="6"/>
      <c r="U37" s="376" t="s">
        <v>246</v>
      </c>
      <c r="V37" s="6"/>
      <c r="W37" s="321">
        <v>791132761</v>
      </c>
      <c r="X37" s="648"/>
      <c r="Y37" s="321">
        <v>715468698</v>
      </c>
      <c r="Z37" s="6"/>
      <c r="AA37" s="376" t="s">
        <v>246</v>
      </c>
      <c r="AB37" s="6"/>
      <c r="AC37" s="321">
        <v>796481698</v>
      </c>
      <c r="AD37" s="648"/>
    </row>
    <row r="38" spans="1:32">
      <c r="A38" s="376">
        <v>31</v>
      </c>
      <c r="B38" s="376"/>
      <c r="D38" s="380"/>
      <c r="E38" s="376"/>
      <c r="F38" s="380"/>
      <c r="H38" s="6"/>
      <c r="J38" s="6"/>
      <c r="K38" s="7"/>
      <c r="O38" s="507"/>
      <c r="P38" s="507"/>
      <c r="Q38" s="507"/>
      <c r="R38" s="653"/>
      <c r="S38" s="320"/>
      <c r="T38" s="6"/>
      <c r="U38" s="376"/>
      <c r="V38" s="6"/>
      <c r="W38" s="7"/>
      <c r="X38" s="648"/>
      <c r="Y38" s="320"/>
      <c r="Z38" s="6"/>
      <c r="AA38" s="376"/>
      <c r="AB38" s="6"/>
      <c r="AC38" s="7"/>
      <c r="AD38" s="648"/>
    </row>
    <row r="39" spans="1:32" ht="12.75" customHeight="1">
      <c r="A39" s="376">
        <v>32</v>
      </c>
      <c r="B39" s="376">
        <v>389.01</v>
      </c>
      <c r="C39" s="337" t="s">
        <v>247</v>
      </c>
      <c r="D39" s="380"/>
      <c r="E39" s="376" t="s">
        <v>243</v>
      </c>
      <c r="F39" s="380"/>
      <c r="G39" s="320">
        <f t="shared" ref="G39:G62" si="4">IF($AF$3=0,$S39,$Y39)</f>
        <v>5210067.8100000005</v>
      </c>
      <c r="H39" s="6"/>
      <c r="I39" s="376" t="s">
        <v>243</v>
      </c>
      <c r="J39" s="6"/>
      <c r="K39" s="317">
        <f t="shared" ref="K39:K62" si="5">IF($AF$3=0,$W39,$AC39)</f>
        <v>6105836.9821000006</v>
      </c>
      <c r="N39" s="508">
        <f t="shared" ref="N39:N62" si="6">IF(P39&lt;&gt;0,P39/K39," ")</f>
        <v>0.87194347602411748</v>
      </c>
      <c r="O39" s="517">
        <f>G39*N39</f>
        <v>4542884.6365727615</v>
      </c>
      <c r="P39" s="522">
        <f>'FERC Accts by Customer Class'!H75</f>
        <v>5323944.7222088818</v>
      </c>
      <c r="Q39" s="507"/>
      <c r="R39" s="653"/>
      <c r="S39" s="320">
        <v>5210067.8100000005</v>
      </c>
      <c r="T39" s="6"/>
      <c r="U39" s="376" t="s">
        <v>243</v>
      </c>
      <c r="V39" s="6"/>
      <c r="W39" s="317">
        <v>5749204.5136000011</v>
      </c>
      <c r="X39" s="648"/>
      <c r="Y39" s="320">
        <v>5210067.8100000005</v>
      </c>
      <c r="Z39" s="6"/>
      <c r="AA39" s="376" t="s">
        <v>243</v>
      </c>
      <c r="AB39" s="6"/>
      <c r="AC39" s="317">
        <v>6105836.9821000006</v>
      </c>
      <c r="AD39" s="648"/>
      <c r="AE39" s="659"/>
      <c r="AF39" s="659"/>
    </row>
    <row r="40" spans="1:32" ht="12.75" customHeight="1">
      <c r="A40" s="376">
        <v>33</v>
      </c>
      <c r="B40" s="376">
        <v>389.02</v>
      </c>
      <c r="C40" s="337" t="s">
        <v>253</v>
      </c>
      <c r="D40" s="380"/>
      <c r="E40" s="376" t="s">
        <v>243</v>
      </c>
      <c r="F40" s="380"/>
      <c r="G40" s="320">
        <f t="shared" si="4"/>
        <v>1183494.1200000001</v>
      </c>
      <c r="H40" s="6"/>
      <c r="I40" s="376" t="s">
        <v>243</v>
      </c>
      <c r="J40" s="6"/>
      <c r="K40" s="317">
        <f t="shared" si="5"/>
        <v>1428870.5133</v>
      </c>
      <c r="N40" s="508">
        <f t="shared" si="6"/>
        <v>0.87194347602411737</v>
      </c>
      <c r="O40" s="517">
        <f>G40*N40</f>
        <v>1031939.976846904</v>
      </c>
      <c r="P40" s="522">
        <f>'FERC Accts by Customer Class'!H76</f>
        <v>1245894.3221551669</v>
      </c>
      <c r="Q40" s="507"/>
      <c r="R40" s="653"/>
      <c r="S40" s="320">
        <v>1183494.1200000001</v>
      </c>
      <c r="T40" s="6"/>
      <c r="U40" s="376" t="s">
        <v>243</v>
      </c>
      <c r="V40" s="6"/>
      <c r="W40" s="317">
        <v>1331607.1128000002</v>
      </c>
      <c r="X40" s="648"/>
      <c r="Y40" s="320">
        <v>1183494.1200000001</v>
      </c>
      <c r="Z40" s="6"/>
      <c r="AA40" s="376" t="s">
        <v>243</v>
      </c>
      <c r="AB40" s="6"/>
      <c r="AC40" s="317">
        <v>1428870.5133</v>
      </c>
      <c r="AD40" s="648"/>
      <c r="AE40" s="659"/>
      <c r="AF40" s="659"/>
    </row>
    <row r="41" spans="1:32" ht="12.75" customHeight="1">
      <c r="A41" s="376">
        <v>34</v>
      </c>
      <c r="B41" s="376">
        <v>390.01</v>
      </c>
      <c r="C41" s="337" t="s">
        <v>260</v>
      </c>
      <c r="D41" s="380"/>
      <c r="E41" s="376" t="s">
        <v>243</v>
      </c>
      <c r="F41" s="380"/>
      <c r="G41" s="112">
        <f t="shared" si="4"/>
        <v>38224610.969999999</v>
      </c>
      <c r="H41" s="6"/>
      <c r="I41" s="381" t="s">
        <v>243</v>
      </c>
      <c r="J41" s="6"/>
      <c r="K41" s="112">
        <f t="shared" si="5"/>
        <v>44604435.312399998</v>
      </c>
      <c r="N41" s="508">
        <f t="shared" si="6"/>
        <v>0.87194347602411748</v>
      </c>
      <c r="O41" s="517">
        <f>G41*N41</f>
        <v>33329700.158851411</v>
      </c>
      <c r="P41" s="522">
        <f>'FERC Accts by Customer Class'!H77</f>
        <v>38892546.372386947</v>
      </c>
      <c r="Q41" s="507"/>
      <c r="R41" s="653"/>
      <c r="S41" s="112">
        <v>38224610.969999999</v>
      </c>
      <c r="T41" s="6"/>
      <c r="U41" s="381" t="s">
        <v>243</v>
      </c>
      <c r="V41" s="6"/>
      <c r="W41" s="112">
        <v>41881060.098399997</v>
      </c>
      <c r="X41" s="648"/>
      <c r="Y41" s="112">
        <v>38224610.969999999</v>
      </c>
      <c r="Z41" s="6"/>
      <c r="AA41" s="381" t="s">
        <v>243</v>
      </c>
      <c r="AB41" s="6"/>
      <c r="AC41" s="112">
        <v>44604435.312399998</v>
      </c>
      <c r="AD41" s="648"/>
      <c r="AE41" s="659"/>
      <c r="AF41" s="659"/>
    </row>
    <row r="42" spans="1:32" ht="12.75" customHeight="1">
      <c r="A42" s="376">
        <v>35</v>
      </c>
      <c r="B42" s="376">
        <v>390.51</v>
      </c>
      <c r="C42" s="337" t="s">
        <v>549</v>
      </c>
      <c r="D42" s="380"/>
      <c r="E42" s="376" t="s">
        <v>243</v>
      </c>
      <c r="F42" s="380"/>
      <c r="G42" s="112">
        <f t="shared" si="4"/>
        <v>93091.32</v>
      </c>
      <c r="H42" s="6"/>
      <c r="I42" s="381" t="s">
        <v>243</v>
      </c>
      <c r="J42" s="6"/>
      <c r="K42" s="112">
        <f t="shared" si="5"/>
        <v>93091.32</v>
      </c>
      <c r="N42" s="508">
        <f t="shared" si="6"/>
        <v>0.87194347602411737</v>
      </c>
      <c r="O42" s="517">
        <f>G42*N42</f>
        <v>81170.369148473445</v>
      </c>
      <c r="P42" s="522">
        <f>'FERC Accts by Customer Class'!H78</f>
        <v>81170.369148473445</v>
      </c>
      <c r="Q42" s="507"/>
      <c r="R42" s="653"/>
      <c r="S42" s="112">
        <v>93091.32</v>
      </c>
      <c r="T42" s="6"/>
      <c r="U42" s="381" t="s">
        <v>243</v>
      </c>
      <c r="V42" s="6"/>
      <c r="W42" s="112">
        <v>93091.32</v>
      </c>
      <c r="X42" s="648"/>
      <c r="Y42" s="112">
        <v>93091.32</v>
      </c>
      <c r="Z42" s="6"/>
      <c r="AA42" s="381" t="s">
        <v>243</v>
      </c>
      <c r="AB42" s="6"/>
      <c r="AC42" s="112">
        <v>93091.32</v>
      </c>
      <c r="AD42" s="648"/>
      <c r="AE42" s="659"/>
      <c r="AF42" s="659"/>
    </row>
    <row r="43" spans="1:32" ht="12.75" customHeight="1">
      <c r="A43" s="376">
        <v>36</v>
      </c>
      <c r="B43" s="376">
        <v>391.01</v>
      </c>
      <c r="C43" s="337" t="s">
        <v>261</v>
      </c>
      <c r="D43" s="380"/>
      <c r="E43" s="376" t="s">
        <v>243</v>
      </c>
      <c r="F43" s="380"/>
      <c r="G43" s="112">
        <f t="shared" si="4"/>
        <v>425978.73</v>
      </c>
      <c r="H43" s="6"/>
      <c r="I43" s="381" t="s">
        <v>243</v>
      </c>
      <c r="J43" s="6"/>
      <c r="K43" s="112">
        <f t="shared" si="5"/>
        <v>507770.86109999998</v>
      </c>
      <c r="N43" s="508">
        <f t="shared" si="6"/>
        <v>0.87194347602411748</v>
      </c>
      <c r="O43" s="517">
        <f>G43*N43</f>
        <v>371429.374548539</v>
      </c>
      <c r="P43" s="522">
        <f>'FERC Accts by Customer Class'!H79</f>
        <v>442747.48965129332</v>
      </c>
      <c r="Q43" s="507"/>
      <c r="R43" s="653"/>
      <c r="S43" s="112">
        <v>425978.73</v>
      </c>
      <c r="T43" s="6"/>
      <c r="U43" s="381" t="s">
        <v>243</v>
      </c>
      <c r="V43" s="6"/>
      <c r="W43" s="112">
        <v>475349.72759999998</v>
      </c>
      <c r="X43" s="648"/>
      <c r="Y43" s="112">
        <v>425978.73</v>
      </c>
      <c r="Z43" s="6"/>
      <c r="AA43" s="381" t="s">
        <v>243</v>
      </c>
      <c r="AB43" s="6"/>
      <c r="AC43" s="112">
        <v>507770.86109999998</v>
      </c>
      <c r="AD43" s="648"/>
      <c r="AE43" s="659"/>
      <c r="AF43" s="659"/>
    </row>
    <row r="44" spans="1:32" ht="12.75" customHeight="1">
      <c r="A44" s="376">
        <v>37</v>
      </c>
      <c r="B44" s="376">
        <v>391.02</v>
      </c>
      <c r="C44" s="337" t="s">
        <v>262</v>
      </c>
      <c r="D44" s="380"/>
      <c r="E44" s="376" t="s">
        <v>243</v>
      </c>
      <c r="F44" s="380"/>
      <c r="G44" s="112">
        <f t="shared" si="4"/>
        <v>0</v>
      </c>
      <c r="H44" s="6"/>
      <c r="I44" s="381" t="s">
        <v>243</v>
      </c>
      <c r="J44" s="6"/>
      <c r="K44" s="112">
        <f t="shared" si="5"/>
        <v>0</v>
      </c>
      <c r="N44" s="508" t="str">
        <f t="shared" si="6"/>
        <v xml:space="preserve"> </v>
      </c>
      <c r="O44" s="517"/>
      <c r="P44" s="522">
        <f>'FERC Accts by Customer Class'!H80</f>
        <v>0</v>
      </c>
      <c r="Q44" s="507"/>
      <c r="R44" s="653"/>
      <c r="S44" s="112">
        <v>0</v>
      </c>
      <c r="T44" s="6"/>
      <c r="U44" s="381" t="s">
        <v>243</v>
      </c>
      <c r="V44" s="6"/>
      <c r="W44" s="112">
        <v>0</v>
      </c>
      <c r="X44" s="648"/>
      <c r="Y44" s="112">
        <v>0</v>
      </c>
      <c r="Z44" s="6"/>
      <c r="AA44" s="381" t="s">
        <v>243</v>
      </c>
      <c r="AB44" s="6"/>
      <c r="AC44" s="112">
        <v>0</v>
      </c>
      <c r="AD44" s="648"/>
      <c r="AE44" s="659"/>
      <c r="AF44" s="659"/>
    </row>
    <row r="45" spans="1:32" ht="12.75" customHeight="1">
      <c r="A45" s="376">
        <v>38</v>
      </c>
      <c r="B45" s="376">
        <v>391.03</v>
      </c>
      <c r="C45" s="337" t="s">
        <v>263</v>
      </c>
      <c r="D45" s="380"/>
      <c r="E45" s="376" t="s">
        <v>243</v>
      </c>
      <c r="F45" s="380"/>
      <c r="G45" s="112">
        <f t="shared" si="4"/>
        <v>558110.17999999993</v>
      </c>
      <c r="H45" s="6"/>
      <c r="I45" s="381" t="s">
        <v>243</v>
      </c>
      <c r="J45" s="6"/>
      <c r="K45" s="112">
        <f t="shared" si="5"/>
        <v>639902.31109999993</v>
      </c>
      <c r="N45" s="508">
        <f t="shared" si="6"/>
        <v>0.87194347602411737</v>
      </c>
      <c r="O45" s="517">
        <f>G45*N45</f>
        <v>486640.53035364579</v>
      </c>
      <c r="P45" s="522">
        <f>'FERC Accts by Customer Class'!H81</f>
        <v>557958.64545640012</v>
      </c>
      <c r="Q45" s="507"/>
      <c r="R45" s="653"/>
      <c r="S45" s="112">
        <v>558110.17999999993</v>
      </c>
      <c r="T45" s="6"/>
      <c r="U45" s="381" t="s">
        <v>243</v>
      </c>
      <c r="V45" s="6"/>
      <c r="W45" s="112">
        <v>607481.17759999994</v>
      </c>
      <c r="X45" s="648"/>
      <c r="Y45" s="112">
        <v>558110.17999999993</v>
      </c>
      <c r="Z45" s="6"/>
      <c r="AA45" s="381" t="s">
        <v>243</v>
      </c>
      <c r="AB45" s="6"/>
      <c r="AC45" s="112">
        <v>639902.31109999993</v>
      </c>
      <c r="AD45" s="648"/>
      <c r="AE45" s="659"/>
      <c r="AF45" s="659"/>
    </row>
    <row r="46" spans="1:32" ht="12.75" customHeight="1">
      <c r="A46" s="376">
        <v>39</v>
      </c>
      <c r="B46" s="376">
        <v>391.04</v>
      </c>
      <c r="C46" s="337" t="s">
        <v>264</v>
      </c>
      <c r="D46" s="380"/>
      <c r="E46" s="376" t="s">
        <v>243</v>
      </c>
      <c r="F46" s="380"/>
      <c r="G46" s="112">
        <f t="shared" si="4"/>
        <v>170100</v>
      </c>
      <c r="H46" s="6"/>
      <c r="I46" s="381" t="s">
        <v>243</v>
      </c>
      <c r="J46" s="6"/>
      <c r="K46" s="112">
        <f t="shared" si="5"/>
        <v>723580.82000000007</v>
      </c>
      <c r="N46" s="508">
        <f t="shared" si="6"/>
        <v>0.87194347602411737</v>
      </c>
      <c r="O46" s="517">
        <f>G46*N46</f>
        <v>148317.58527170235</v>
      </c>
      <c r="P46" s="522">
        <f>'FERC Accts by Customer Class'!H82</f>
        <v>630921.57537518127</v>
      </c>
      <c r="Q46" s="507"/>
      <c r="R46" s="653"/>
      <c r="S46" s="112">
        <v>170100</v>
      </c>
      <c r="T46" s="6"/>
      <c r="U46" s="381" t="s">
        <v>243</v>
      </c>
      <c r="V46" s="6"/>
      <c r="W46" s="112">
        <v>714846.52</v>
      </c>
      <c r="X46" s="648"/>
      <c r="Y46" s="112">
        <v>170100</v>
      </c>
      <c r="Z46" s="6"/>
      <c r="AA46" s="381" t="s">
        <v>243</v>
      </c>
      <c r="AB46" s="6"/>
      <c r="AC46" s="112">
        <v>723580.82000000007</v>
      </c>
      <c r="AD46" s="648"/>
      <c r="AE46" s="659"/>
      <c r="AF46" s="659"/>
    </row>
    <row r="47" spans="1:32" ht="12.75" customHeight="1">
      <c r="A47" s="376">
        <v>40</v>
      </c>
      <c r="B47" s="376">
        <v>391.05</v>
      </c>
      <c r="C47" s="337" t="s">
        <v>265</v>
      </c>
      <c r="D47" s="380"/>
      <c r="E47" s="376" t="s">
        <v>243</v>
      </c>
      <c r="F47" s="380"/>
      <c r="G47" s="112">
        <f t="shared" si="4"/>
        <v>0</v>
      </c>
      <c r="H47" s="6"/>
      <c r="I47" s="381" t="s">
        <v>243</v>
      </c>
      <c r="J47" s="6"/>
      <c r="K47" s="112">
        <f t="shared" si="5"/>
        <v>0</v>
      </c>
      <c r="N47" s="508" t="str">
        <f t="shared" si="6"/>
        <v xml:space="preserve"> </v>
      </c>
      <c r="O47" s="517"/>
      <c r="P47" s="522">
        <f>'FERC Accts by Customer Class'!H83</f>
        <v>0</v>
      </c>
      <c r="Q47" s="507"/>
      <c r="R47" s="653"/>
      <c r="S47" s="112">
        <v>0</v>
      </c>
      <c r="T47" s="6"/>
      <c r="U47" s="381" t="s">
        <v>243</v>
      </c>
      <c r="V47" s="6"/>
      <c r="W47" s="112">
        <v>0</v>
      </c>
      <c r="X47" s="648"/>
      <c r="Y47" s="112">
        <v>0</v>
      </c>
      <c r="Z47" s="6"/>
      <c r="AA47" s="381" t="s">
        <v>243</v>
      </c>
      <c r="AB47" s="6"/>
      <c r="AC47" s="112">
        <v>0</v>
      </c>
      <c r="AD47" s="648"/>
      <c r="AE47" s="659"/>
      <c r="AF47" s="659"/>
    </row>
    <row r="48" spans="1:32" ht="12.75" customHeight="1">
      <c r="A48" s="376">
        <v>41</v>
      </c>
      <c r="B48" s="376">
        <v>391.07</v>
      </c>
      <c r="C48" s="337" t="s">
        <v>266</v>
      </c>
      <c r="D48" s="380"/>
      <c r="E48" s="376" t="s">
        <v>243</v>
      </c>
      <c r="F48" s="380"/>
      <c r="G48" s="112">
        <f t="shared" si="4"/>
        <v>611478.77</v>
      </c>
      <c r="H48" s="6"/>
      <c r="I48" s="381" t="s">
        <v>243</v>
      </c>
      <c r="J48" s="6"/>
      <c r="K48" s="112">
        <f t="shared" si="5"/>
        <v>611478.77</v>
      </c>
      <c r="N48" s="508">
        <f t="shared" si="6"/>
        <v>0.87194347602411737</v>
      </c>
      <c r="O48" s="517">
        <f>G48*N48</f>
        <v>533174.9242287518</v>
      </c>
      <c r="P48" s="522">
        <f>'FERC Accts by Customer Class'!H84</f>
        <v>533174.9242287518</v>
      </c>
      <c r="Q48" s="507"/>
      <c r="R48" s="653"/>
      <c r="S48" s="112">
        <v>611478.77</v>
      </c>
      <c r="T48" s="6"/>
      <c r="U48" s="381" t="s">
        <v>243</v>
      </c>
      <c r="V48" s="6"/>
      <c r="W48" s="112">
        <v>611478.77</v>
      </c>
      <c r="X48" s="648"/>
      <c r="Y48" s="112">
        <v>611478.77</v>
      </c>
      <c r="Z48" s="6"/>
      <c r="AA48" s="381" t="s">
        <v>243</v>
      </c>
      <c r="AB48" s="6"/>
      <c r="AC48" s="112">
        <v>611478.77</v>
      </c>
      <c r="AD48" s="648"/>
      <c r="AE48" s="659"/>
      <c r="AF48" s="659"/>
    </row>
    <row r="49" spans="1:32" ht="12.75" customHeight="1">
      <c r="A49" s="376">
        <v>42</v>
      </c>
      <c r="B49" s="376">
        <v>392.01</v>
      </c>
      <c r="C49" s="337" t="s">
        <v>130</v>
      </c>
      <c r="D49" s="380"/>
      <c r="E49" s="376" t="s">
        <v>243</v>
      </c>
      <c r="F49" s="380"/>
      <c r="G49" s="112">
        <f t="shared" si="4"/>
        <v>0</v>
      </c>
      <c r="H49" s="6"/>
      <c r="I49" s="381" t="s">
        <v>243</v>
      </c>
      <c r="J49" s="6"/>
      <c r="K49" s="112">
        <f t="shared" si="5"/>
        <v>0</v>
      </c>
      <c r="N49" s="508" t="str">
        <f t="shared" si="6"/>
        <v xml:space="preserve"> </v>
      </c>
      <c r="O49" s="517"/>
      <c r="P49" s="522">
        <f>'FERC Accts by Customer Class'!H85</f>
        <v>0</v>
      </c>
      <c r="Q49" s="507"/>
      <c r="R49" s="653"/>
      <c r="S49" s="112">
        <v>0</v>
      </c>
      <c r="T49" s="6"/>
      <c r="U49" s="381" t="s">
        <v>243</v>
      </c>
      <c r="V49" s="6"/>
      <c r="W49" s="112">
        <v>0</v>
      </c>
      <c r="X49" s="648"/>
      <c r="Y49" s="112">
        <v>0</v>
      </c>
      <c r="Z49" s="6"/>
      <c r="AA49" s="381" t="s">
        <v>243</v>
      </c>
      <c r="AB49" s="6"/>
      <c r="AC49" s="112">
        <v>0</v>
      </c>
      <c r="AD49" s="648"/>
      <c r="AE49" s="659"/>
      <c r="AF49" s="659"/>
    </row>
    <row r="50" spans="1:32" ht="12.75" customHeight="1">
      <c r="A50" s="376">
        <v>43</v>
      </c>
      <c r="B50" s="376">
        <v>392.02</v>
      </c>
      <c r="C50" s="337" t="s">
        <v>267</v>
      </c>
      <c r="D50" s="380"/>
      <c r="E50" s="376" t="s">
        <v>243</v>
      </c>
      <c r="F50" s="380"/>
      <c r="G50" s="112">
        <f t="shared" si="4"/>
        <v>3878361.2199999997</v>
      </c>
      <c r="H50" s="6"/>
      <c r="I50" s="381" t="s">
        <v>243</v>
      </c>
      <c r="J50" s="6"/>
      <c r="K50" s="112">
        <f t="shared" si="5"/>
        <v>2919324.9899999998</v>
      </c>
      <c r="N50" s="508">
        <f t="shared" si="6"/>
        <v>0.87194347602411748</v>
      </c>
      <c r="O50" s="517">
        <f t="shared" ref="O50:O60" si="7">G50*N50</f>
        <v>3381711.7634439366</v>
      </c>
      <c r="P50" s="522">
        <f>'FERC Accts by Customer Class'!H86</f>
        <v>2545486.3794246716</v>
      </c>
      <c r="Q50" s="507"/>
      <c r="R50" s="653"/>
      <c r="S50" s="112">
        <v>3878361.2199999997</v>
      </c>
      <c r="T50" s="6"/>
      <c r="U50" s="381" t="s">
        <v>243</v>
      </c>
      <c r="V50" s="6"/>
      <c r="W50" s="112">
        <v>2919324.9899999998</v>
      </c>
      <c r="X50" s="648"/>
      <c r="Y50" s="112">
        <v>3878361.2199999997</v>
      </c>
      <c r="Z50" s="6"/>
      <c r="AA50" s="381" t="s">
        <v>243</v>
      </c>
      <c r="AB50" s="6"/>
      <c r="AC50" s="112">
        <v>2919324.9899999998</v>
      </c>
      <c r="AD50" s="648"/>
      <c r="AE50" s="659"/>
      <c r="AF50" s="659"/>
    </row>
    <row r="51" spans="1:32" ht="12.75" customHeight="1">
      <c r="A51" s="376">
        <v>44</v>
      </c>
      <c r="B51" s="376">
        <v>392.03</v>
      </c>
      <c r="C51" s="337" t="s">
        <v>268</v>
      </c>
      <c r="D51" s="380"/>
      <c r="E51" s="376" t="s">
        <v>243</v>
      </c>
      <c r="F51" s="380"/>
      <c r="G51" s="112">
        <f t="shared" si="4"/>
        <v>17570348.27</v>
      </c>
      <c r="H51" s="6"/>
      <c r="I51" s="381" t="s">
        <v>243</v>
      </c>
      <c r="J51" s="6"/>
      <c r="K51" s="112">
        <f t="shared" si="5"/>
        <v>20011029.188882001</v>
      </c>
      <c r="N51" s="508">
        <f t="shared" si="6"/>
        <v>0.87194347602411737</v>
      </c>
      <c r="O51" s="517">
        <f t="shared" si="7"/>
        <v>15320350.545498136</v>
      </c>
      <c r="P51" s="522">
        <f>'FERC Accts by Customer Class'!H87</f>
        <v>17448486.349773847</v>
      </c>
      <c r="Q51" s="507"/>
      <c r="R51" s="653"/>
      <c r="S51" s="112">
        <v>17570348.27</v>
      </c>
      <c r="T51" s="6"/>
      <c r="U51" s="381" t="s">
        <v>243</v>
      </c>
      <c r="V51" s="6"/>
      <c r="W51" s="112">
        <v>20337253.972182997</v>
      </c>
      <c r="X51" s="648"/>
      <c r="Y51" s="112">
        <v>17570348.27</v>
      </c>
      <c r="Z51" s="6"/>
      <c r="AA51" s="381" t="s">
        <v>243</v>
      </c>
      <c r="AB51" s="6"/>
      <c r="AC51" s="112">
        <v>20011029.188882001</v>
      </c>
      <c r="AD51" s="648"/>
      <c r="AE51" s="659"/>
      <c r="AF51" s="659"/>
    </row>
    <row r="52" spans="1:32" ht="12.75" customHeight="1">
      <c r="A52" s="376">
        <v>45</v>
      </c>
      <c r="B52" s="376">
        <v>392.04</v>
      </c>
      <c r="C52" s="337" t="s">
        <v>269</v>
      </c>
      <c r="D52" s="380"/>
      <c r="E52" s="376" t="s">
        <v>243</v>
      </c>
      <c r="F52" s="380"/>
      <c r="G52" s="112">
        <f t="shared" si="4"/>
        <v>199121.37</v>
      </c>
      <c r="H52" s="6"/>
      <c r="I52" s="381" t="s">
        <v>243</v>
      </c>
      <c r="J52" s="6"/>
      <c r="K52" s="112">
        <f t="shared" si="5"/>
        <v>1425880.7286699999</v>
      </c>
      <c r="N52" s="508">
        <f t="shared" si="6"/>
        <v>0.87194347602411726</v>
      </c>
      <c r="O52" s="517">
        <f t="shared" si="7"/>
        <v>173622.57950848437</v>
      </c>
      <c r="P52" s="522">
        <f>'FERC Accts by Customer Class'!H88</f>
        <v>1243287.3989523209</v>
      </c>
      <c r="Q52" s="507"/>
      <c r="R52" s="653"/>
      <c r="S52" s="112">
        <v>199121.37</v>
      </c>
      <c r="T52" s="6"/>
      <c r="U52" s="381" t="s">
        <v>243</v>
      </c>
      <c r="V52" s="6"/>
      <c r="W52" s="112">
        <v>1524754.5098010001</v>
      </c>
      <c r="X52" s="648"/>
      <c r="Y52" s="112">
        <v>199121.37</v>
      </c>
      <c r="Z52" s="6"/>
      <c r="AA52" s="381" t="s">
        <v>243</v>
      </c>
      <c r="AB52" s="6"/>
      <c r="AC52" s="112">
        <v>1425880.7286699999</v>
      </c>
      <c r="AD52" s="648"/>
      <c r="AE52" s="659"/>
      <c r="AF52" s="659"/>
    </row>
    <row r="53" spans="1:32" ht="12.75" customHeight="1">
      <c r="A53" s="376">
        <v>46</v>
      </c>
      <c r="B53" s="376">
        <v>392.05</v>
      </c>
      <c r="C53" s="337" t="s">
        <v>270</v>
      </c>
      <c r="D53" s="380"/>
      <c r="E53" s="376" t="s">
        <v>243</v>
      </c>
      <c r="F53" s="380"/>
      <c r="G53" s="112">
        <f t="shared" si="4"/>
        <v>3072012.1100000003</v>
      </c>
      <c r="H53" s="6"/>
      <c r="I53" s="381" t="s">
        <v>243</v>
      </c>
      <c r="J53" s="6"/>
      <c r="K53" s="112">
        <f t="shared" si="5"/>
        <v>3262358.4424480004</v>
      </c>
      <c r="N53" s="508">
        <f t="shared" si="6"/>
        <v>0.87194347602411748</v>
      </c>
      <c r="O53" s="517">
        <f t="shared" si="7"/>
        <v>2678620.9175815838</v>
      </c>
      <c r="P53" s="522">
        <f>'FERC Accts by Customer Class'!H89</f>
        <v>2844592.1603447353</v>
      </c>
      <c r="Q53" s="507"/>
      <c r="R53" s="653"/>
      <c r="S53" s="112">
        <v>3072012.1100000003</v>
      </c>
      <c r="T53" s="6"/>
      <c r="U53" s="381" t="s">
        <v>243</v>
      </c>
      <c r="V53" s="6"/>
      <c r="W53" s="112">
        <v>3274142.3280160003</v>
      </c>
      <c r="X53" s="648"/>
      <c r="Y53" s="112">
        <v>3072012.1100000003</v>
      </c>
      <c r="Z53" s="6"/>
      <c r="AA53" s="381" t="s">
        <v>243</v>
      </c>
      <c r="AB53" s="6"/>
      <c r="AC53" s="112">
        <v>3262358.4424480004</v>
      </c>
      <c r="AD53" s="648"/>
      <c r="AE53" s="659"/>
      <c r="AF53" s="659"/>
    </row>
    <row r="54" spans="1:32" ht="12.75" customHeight="1">
      <c r="A54" s="376">
        <v>47</v>
      </c>
      <c r="B54" s="376">
        <v>392.06</v>
      </c>
      <c r="C54" s="337" t="s">
        <v>271</v>
      </c>
      <c r="D54" s="380"/>
      <c r="E54" s="376" t="s">
        <v>243</v>
      </c>
      <c r="F54" s="380"/>
      <c r="G54" s="112">
        <f t="shared" si="4"/>
        <v>818273.64</v>
      </c>
      <c r="H54" s="6"/>
      <c r="I54" s="381" t="s">
        <v>243</v>
      </c>
      <c r="J54" s="6"/>
      <c r="K54" s="112">
        <f t="shared" si="5"/>
        <v>1027857.551008</v>
      </c>
      <c r="N54" s="508">
        <f t="shared" si="6"/>
        <v>0.87194347602411737</v>
      </c>
      <c r="O54" s="517">
        <f t="shared" si="7"/>
        <v>713488.3620005073</v>
      </c>
      <c r="P54" s="522">
        <f>'FERC Accts by Customer Class'!H90</f>
        <v>896233.68588355207</v>
      </c>
      <c r="Q54" s="507"/>
      <c r="R54" s="653"/>
      <c r="S54" s="112">
        <v>818273.64</v>
      </c>
      <c r="T54" s="6"/>
      <c r="U54" s="381" t="s">
        <v>243</v>
      </c>
      <c r="V54" s="6"/>
      <c r="W54" s="112">
        <v>1041429.145952</v>
      </c>
      <c r="X54" s="648"/>
      <c r="Y54" s="112">
        <v>818273.64</v>
      </c>
      <c r="Z54" s="6"/>
      <c r="AA54" s="381" t="s">
        <v>243</v>
      </c>
      <c r="AB54" s="6"/>
      <c r="AC54" s="112">
        <v>1027857.551008</v>
      </c>
      <c r="AD54" s="648"/>
      <c r="AE54" s="659"/>
      <c r="AF54" s="659"/>
    </row>
    <row r="55" spans="1:32" ht="12.75" customHeight="1">
      <c r="A55" s="376">
        <v>48</v>
      </c>
      <c r="B55" s="376">
        <v>393</v>
      </c>
      <c r="C55" s="337" t="s">
        <v>131</v>
      </c>
      <c r="D55" s="380"/>
      <c r="E55" s="376" t="s">
        <v>243</v>
      </c>
      <c r="F55" s="380"/>
      <c r="G55" s="112">
        <f t="shared" si="4"/>
        <v>28177.52</v>
      </c>
      <c r="H55" s="6"/>
      <c r="I55" s="381" t="s">
        <v>243</v>
      </c>
      <c r="J55" s="6"/>
      <c r="K55" s="112">
        <f t="shared" si="5"/>
        <v>28177.52</v>
      </c>
      <c r="N55" s="508">
        <f t="shared" si="6"/>
        <v>0.87194347602411737</v>
      </c>
      <c r="O55" s="517">
        <f t="shared" si="7"/>
        <v>24569.204734539089</v>
      </c>
      <c r="P55" s="522">
        <f>'FERC Accts by Customer Class'!H91</f>
        <v>24569.204734539089</v>
      </c>
      <c r="Q55" s="507"/>
      <c r="R55" s="653"/>
      <c r="S55" s="112">
        <v>28177.52</v>
      </c>
      <c r="T55" s="6"/>
      <c r="U55" s="381" t="s">
        <v>243</v>
      </c>
      <c r="V55" s="6"/>
      <c r="W55" s="112">
        <v>28177.52</v>
      </c>
      <c r="X55" s="648"/>
      <c r="Y55" s="112">
        <v>28177.52</v>
      </c>
      <c r="Z55" s="6"/>
      <c r="AA55" s="381" t="s">
        <v>243</v>
      </c>
      <c r="AB55" s="6"/>
      <c r="AC55" s="112">
        <v>28177.52</v>
      </c>
      <c r="AD55" s="648"/>
      <c r="AE55" s="659"/>
      <c r="AF55" s="659"/>
    </row>
    <row r="56" spans="1:32" ht="12.75" customHeight="1">
      <c r="A56" s="376">
        <v>49</v>
      </c>
      <c r="B56" s="376">
        <v>394</v>
      </c>
      <c r="C56" s="337" t="s">
        <v>272</v>
      </c>
      <c r="D56" s="380"/>
      <c r="E56" s="376" t="s">
        <v>243</v>
      </c>
      <c r="F56" s="380"/>
      <c r="G56" s="112">
        <f t="shared" si="4"/>
        <v>8876091.9399999995</v>
      </c>
      <c r="H56" s="6"/>
      <c r="I56" s="381" t="s">
        <v>243</v>
      </c>
      <c r="J56" s="6"/>
      <c r="K56" s="112">
        <f t="shared" si="5"/>
        <v>14026733.278991999</v>
      </c>
      <c r="N56" s="508">
        <f t="shared" si="6"/>
        <v>0.87194347602411737</v>
      </c>
      <c r="O56" s="517">
        <f t="shared" si="7"/>
        <v>7739450.459673251</v>
      </c>
      <c r="P56" s="522">
        <f>'FERC Accts by Customer Class'!H92</f>
        <v>12230518.572547449</v>
      </c>
      <c r="Q56" s="507"/>
      <c r="R56" s="653"/>
      <c r="S56" s="112">
        <v>8876091.9399999995</v>
      </c>
      <c r="T56" s="6"/>
      <c r="U56" s="381" t="s">
        <v>243</v>
      </c>
      <c r="V56" s="6"/>
      <c r="W56" s="112">
        <v>15338054.104048001</v>
      </c>
      <c r="X56" s="648"/>
      <c r="Y56" s="112">
        <v>8876091.9399999995</v>
      </c>
      <c r="Z56" s="6"/>
      <c r="AA56" s="381" t="s">
        <v>243</v>
      </c>
      <c r="AB56" s="6"/>
      <c r="AC56" s="112">
        <v>14026733.278991999</v>
      </c>
      <c r="AD56" s="648"/>
      <c r="AE56" s="659"/>
      <c r="AF56" s="659"/>
    </row>
    <row r="57" spans="1:32" ht="12.75" customHeight="1">
      <c r="A57" s="376">
        <v>50</v>
      </c>
      <c r="B57" s="376">
        <v>395</v>
      </c>
      <c r="C57" s="337" t="s">
        <v>132</v>
      </c>
      <c r="D57" s="380"/>
      <c r="E57" s="376" t="s">
        <v>243</v>
      </c>
      <c r="F57" s="380"/>
      <c r="G57" s="112">
        <f t="shared" si="4"/>
        <v>88802.52</v>
      </c>
      <c r="H57" s="6"/>
      <c r="I57" s="381" t="s">
        <v>243</v>
      </c>
      <c r="J57" s="6"/>
      <c r="K57" s="112">
        <f t="shared" si="5"/>
        <v>88802.52</v>
      </c>
      <c r="N57" s="508">
        <f t="shared" si="6"/>
        <v>0.87194347602411737</v>
      </c>
      <c r="O57" s="517">
        <f t="shared" si="7"/>
        <v>77430.777968501206</v>
      </c>
      <c r="P57" s="522">
        <f>'FERC Accts by Customer Class'!H93</f>
        <v>77430.777968501206</v>
      </c>
      <c r="Q57" s="507"/>
      <c r="R57" s="653"/>
      <c r="S57" s="112">
        <v>88802.52</v>
      </c>
      <c r="T57" s="6"/>
      <c r="U57" s="381" t="s">
        <v>243</v>
      </c>
      <c r="V57" s="6"/>
      <c r="W57" s="112">
        <v>88802.52</v>
      </c>
      <c r="X57" s="648"/>
      <c r="Y57" s="112">
        <v>88802.52</v>
      </c>
      <c r="Z57" s="6"/>
      <c r="AA57" s="381" t="s">
        <v>243</v>
      </c>
      <c r="AB57" s="6"/>
      <c r="AC57" s="112">
        <v>88802.52</v>
      </c>
      <c r="AD57" s="648"/>
      <c r="AE57" s="659"/>
      <c r="AF57" s="659"/>
    </row>
    <row r="58" spans="1:32" ht="12.75" customHeight="1">
      <c r="A58" s="376">
        <v>51</v>
      </c>
      <c r="B58" s="376">
        <v>396</v>
      </c>
      <c r="C58" s="337" t="s">
        <v>550</v>
      </c>
      <c r="D58" s="380"/>
      <c r="E58" s="376" t="s">
        <v>243</v>
      </c>
      <c r="F58" s="380"/>
      <c r="G58" s="112">
        <f t="shared" si="4"/>
        <v>5766088.7799999993</v>
      </c>
      <c r="H58" s="6"/>
      <c r="I58" s="381" t="s">
        <v>243</v>
      </c>
      <c r="J58" s="6"/>
      <c r="K58" s="112">
        <f t="shared" si="5"/>
        <v>5497463.7499999991</v>
      </c>
      <c r="N58" s="508">
        <f t="shared" si="6"/>
        <v>0.87194347602411737</v>
      </c>
      <c r="O58" s="517">
        <f t="shared" si="7"/>
        <v>5027703.4938968616</v>
      </c>
      <c r="P58" s="522">
        <f>'FERC Accts by Customer Class'!H94</f>
        <v>4793477.6514915787</v>
      </c>
      <c r="Q58" s="507"/>
      <c r="R58" s="653"/>
      <c r="S58" s="112">
        <v>5766088.7799999993</v>
      </c>
      <c r="T58" s="6"/>
      <c r="U58" s="381" t="s">
        <v>243</v>
      </c>
      <c r="V58" s="6"/>
      <c r="W58" s="112">
        <v>5497463.7499999991</v>
      </c>
      <c r="X58" s="648"/>
      <c r="Y58" s="112">
        <v>5766088.7799999993</v>
      </c>
      <c r="Z58" s="6"/>
      <c r="AA58" s="381" t="s">
        <v>243</v>
      </c>
      <c r="AB58" s="6"/>
      <c r="AC58" s="112">
        <v>5497463.7499999991</v>
      </c>
      <c r="AD58" s="648"/>
      <c r="AE58" s="659"/>
      <c r="AF58" s="659"/>
    </row>
    <row r="59" spans="1:32" ht="12.75" customHeight="1">
      <c r="A59" s="376">
        <v>52</v>
      </c>
      <c r="B59" s="376">
        <v>397</v>
      </c>
      <c r="C59" s="337" t="s">
        <v>133</v>
      </c>
      <c r="D59" s="380"/>
      <c r="E59" s="376" t="s">
        <v>243</v>
      </c>
      <c r="F59" s="380"/>
      <c r="G59" s="112">
        <f t="shared" si="4"/>
        <v>846080.4</v>
      </c>
      <c r="H59" s="6"/>
      <c r="I59" s="381" t="s">
        <v>243</v>
      </c>
      <c r="J59" s="6"/>
      <c r="K59" s="112">
        <f t="shared" si="5"/>
        <v>846080.4</v>
      </c>
      <c r="N59" s="508">
        <f t="shared" si="6"/>
        <v>0.87194347602411748</v>
      </c>
      <c r="O59" s="517">
        <f t="shared" si="7"/>
        <v>737734.28497187572</v>
      </c>
      <c r="P59" s="522">
        <f>'FERC Accts by Customer Class'!H95</f>
        <v>737734.28497187572</v>
      </c>
      <c r="Q59" s="507"/>
      <c r="R59" s="653"/>
      <c r="S59" s="112">
        <v>846080.4</v>
      </c>
      <c r="T59" s="6"/>
      <c r="U59" s="381" t="s">
        <v>243</v>
      </c>
      <c r="V59" s="6"/>
      <c r="W59" s="112">
        <v>846080.4</v>
      </c>
      <c r="X59" s="648"/>
      <c r="Y59" s="112">
        <v>846080.4</v>
      </c>
      <c r="Z59" s="6"/>
      <c r="AA59" s="381" t="s">
        <v>243</v>
      </c>
      <c r="AB59" s="6"/>
      <c r="AC59" s="112">
        <v>846080.4</v>
      </c>
      <c r="AD59" s="648"/>
      <c r="AE59" s="659"/>
      <c r="AF59" s="659"/>
    </row>
    <row r="60" spans="1:32" ht="12.75" customHeight="1">
      <c r="A60" s="376">
        <v>53</v>
      </c>
      <c r="B60" s="376">
        <v>398</v>
      </c>
      <c r="C60" s="337" t="s">
        <v>273</v>
      </c>
      <c r="D60" s="380"/>
      <c r="E60" s="376" t="s">
        <v>243</v>
      </c>
      <c r="F60" s="380"/>
      <c r="G60" s="112">
        <f t="shared" si="4"/>
        <v>177567.56999999998</v>
      </c>
      <c r="H60" s="6"/>
      <c r="I60" s="381" t="s">
        <v>243</v>
      </c>
      <c r="J60" s="6"/>
      <c r="K60" s="112">
        <f t="shared" si="5"/>
        <v>177567.56999999998</v>
      </c>
      <c r="N60" s="508">
        <f t="shared" si="6"/>
        <v>0.87194347602411737</v>
      </c>
      <c r="O60" s="517">
        <f t="shared" si="7"/>
        <v>154828.88421495576</v>
      </c>
      <c r="P60" s="522">
        <f>'FERC Accts by Customer Class'!H96</f>
        <v>154828.88421495576</v>
      </c>
      <c r="Q60" s="507"/>
      <c r="R60" s="653"/>
      <c r="S60" s="112">
        <v>177567.56999999998</v>
      </c>
      <c r="T60" s="6"/>
      <c r="U60" s="381" t="s">
        <v>243</v>
      </c>
      <c r="V60" s="6"/>
      <c r="W60" s="112">
        <v>177567.56999999998</v>
      </c>
      <c r="X60" s="648"/>
      <c r="Y60" s="112">
        <v>177567.56999999998</v>
      </c>
      <c r="Z60" s="6"/>
      <c r="AA60" s="381" t="s">
        <v>243</v>
      </c>
      <c r="AB60" s="6"/>
      <c r="AC60" s="112">
        <v>177567.56999999998</v>
      </c>
      <c r="AD60" s="648"/>
      <c r="AE60" s="659"/>
      <c r="AF60" s="659"/>
    </row>
    <row r="61" spans="1:32" ht="12.75" customHeight="1">
      <c r="A61" s="376">
        <v>54</v>
      </c>
      <c r="B61" s="376">
        <v>399</v>
      </c>
      <c r="C61" s="337" t="s">
        <v>198</v>
      </c>
      <c r="D61" s="380"/>
      <c r="E61" s="376" t="s">
        <v>243</v>
      </c>
      <c r="F61" s="380"/>
      <c r="G61" s="322">
        <f t="shared" si="4"/>
        <v>0</v>
      </c>
      <c r="H61" s="6"/>
      <c r="I61" s="381" t="s">
        <v>243</v>
      </c>
      <c r="J61" s="6"/>
      <c r="K61" s="322">
        <f t="shared" si="5"/>
        <v>0</v>
      </c>
      <c r="N61" s="490" t="str">
        <f t="shared" si="6"/>
        <v xml:space="preserve"> </v>
      </c>
      <c r="O61" s="518"/>
      <c r="P61" s="524">
        <f>'FERC Accts by Customer Class'!H97</f>
        <v>0</v>
      </c>
      <c r="Q61" s="507"/>
      <c r="R61" s="653"/>
      <c r="S61" s="322">
        <v>0</v>
      </c>
      <c r="T61" s="6"/>
      <c r="U61" s="381" t="s">
        <v>243</v>
      </c>
      <c r="V61" s="6"/>
      <c r="W61" s="322">
        <v>0</v>
      </c>
      <c r="X61" s="648"/>
      <c r="Y61" s="322">
        <v>0</v>
      </c>
      <c r="Z61" s="6"/>
      <c r="AA61" s="381" t="s">
        <v>243</v>
      </c>
      <c r="AB61" s="6"/>
      <c r="AC61" s="322">
        <v>0</v>
      </c>
      <c r="AD61" s="648"/>
      <c r="AE61" s="659"/>
      <c r="AF61" s="659"/>
    </row>
    <row r="62" spans="1:32">
      <c r="A62" s="376">
        <v>55</v>
      </c>
      <c r="B62" s="376"/>
      <c r="C62" s="348" t="s">
        <v>134</v>
      </c>
      <c r="D62" s="380"/>
      <c r="E62" s="376" t="s">
        <v>246</v>
      </c>
      <c r="F62" s="380"/>
      <c r="G62" s="320">
        <f t="shared" si="4"/>
        <v>87797857</v>
      </c>
      <c r="H62" s="6"/>
      <c r="I62" s="376" t="s">
        <v>246</v>
      </c>
      <c r="J62" s="6"/>
      <c r="K62" s="320">
        <f t="shared" si="5"/>
        <v>104026243</v>
      </c>
      <c r="N62" s="508">
        <f t="shared" si="6"/>
        <v>0.87194347459918464</v>
      </c>
      <c r="O62" s="523">
        <f>SUM(O39:O61)</f>
        <v>76554768.829314813</v>
      </c>
      <c r="P62" s="523">
        <f>SUM(P39:P61)</f>
        <v>90705003.770919114</v>
      </c>
      <c r="Q62" s="507"/>
      <c r="R62" s="653"/>
      <c r="S62" s="320">
        <v>87797857</v>
      </c>
      <c r="T62" s="6"/>
      <c r="U62" s="376" t="s">
        <v>246</v>
      </c>
      <c r="V62" s="6"/>
      <c r="W62" s="320">
        <v>102537170</v>
      </c>
      <c r="X62" s="648"/>
      <c r="Y62" s="320">
        <v>87797857</v>
      </c>
      <c r="Z62" s="6"/>
      <c r="AA62" s="376" t="s">
        <v>246</v>
      </c>
      <c r="AB62" s="6"/>
      <c r="AC62" s="320">
        <v>104026243</v>
      </c>
      <c r="AD62" s="648"/>
    </row>
    <row r="63" spans="1:32">
      <c r="A63" s="376">
        <v>56</v>
      </c>
      <c r="B63" s="376"/>
      <c r="C63" s="348"/>
      <c r="D63" s="380"/>
      <c r="E63" s="376"/>
      <c r="F63" s="380"/>
      <c r="H63" s="6"/>
      <c r="I63" s="658"/>
      <c r="J63" s="6"/>
      <c r="K63" s="320"/>
      <c r="O63" s="507"/>
      <c r="P63" s="507"/>
      <c r="Q63" s="507"/>
      <c r="R63" s="653"/>
      <c r="S63" s="320"/>
      <c r="T63" s="6"/>
      <c r="U63" s="376"/>
      <c r="V63" s="6"/>
      <c r="W63" s="320"/>
      <c r="X63" s="648"/>
      <c r="Y63" s="320"/>
      <c r="Z63" s="6"/>
      <c r="AA63" s="376"/>
      <c r="AB63" s="6"/>
      <c r="AC63" s="320"/>
      <c r="AD63" s="648"/>
      <c r="AE63" s="316"/>
      <c r="AF63" s="316"/>
    </row>
    <row r="64" spans="1:32">
      <c r="A64" s="376">
        <v>57</v>
      </c>
      <c r="B64" s="376">
        <v>118</v>
      </c>
      <c r="C64" s="155" t="s">
        <v>601</v>
      </c>
      <c r="D64" s="380"/>
      <c r="E64" s="376" t="s">
        <v>243</v>
      </c>
      <c r="F64" s="380"/>
      <c r="G64" s="112">
        <f>IF($AF$3=0,$S64,$Y64)</f>
        <v>28164424.752161484</v>
      </c>
      <c r="H64" s="6"/>
      <c r="I64" s="376" t="s">
        <v>243</v>
      </c>
      <c r="J64" s="6"/>
      <c r="K64" s="112">
        <f>IF($AF$3=0,$W64,$AC64)</f>
        <v>12965643.674929507</v>
      </c>
      <c r="M64" s="317"/>
      <c r="N64" s="508">
        <f>IF(P64&lt;&gt;0,P64/K64," ")</f>
        <v>0.94873241983789069</v>
      </c>
      <c r="O64" s="517">
        <f>G64*N64</f>
        <v>26720502.84846035</v>
      </c>
      <c r="P64" s="522">
        <f>'FERC Accts by Customer Class'!H100</f>
        <v>12300926.498471713</v>
      </c>
      <c r="Q64" s="507"/>
      <c r="R64" s="653"/>
      <c r="S64" s="112">
        <v>28164424.752161484</v>
      </c>
      <c r="T64" s="6"/>
      <c r="U64" s="376" t="s">
        <v>243</v>
      </c>
      <c r="V64" s="6"/>
      <c r="W64" s="112">
        <v>12499746.521456007</v>
      </c>
      <c r="X64" s="648"/>
      <c r="Y64" s="112">
        <v>28164424.752161484</v>
      </c>
      <c r="Z64" s="6"/>
      <c r="AA64" s="376" t="s">
        <v>243</v>
      </c>
      <c r="AB64" s="6"/>
      <c r="AC64" s="112">
        <v>12965643.674929507</v>
      </c>
      <c r="AD64" s="648"/>
    </row>
    <row r="65" spans="1:32">
      <c r="A65" s="376">
        <v>58</v>
      </c>
      <c r="B65" s="376">
        <v>118</v>
      </c>
      <c r="C65" s="155" t="s">
        <v>602</v>
      </c>
      <c r="D65" s="380"/>
      <c r="E65" s="376" t="s">
        <v>243</v>
      </c>
      <c r="F65" s="380"/>
      <c r="G65" s="322">
        <f>IF($AF$3=0,$S65,$Y65)</f>
        <v>17371047.343319073</v>
      </c>
      <c r="H65" s="6"/>
      <c r="I65" s="376" t="s">
        <v>243</v>
      </c>
      <c r="J65" s="6"/>
      <c r="K65" s="322">
        <f>IF($AF$3=0,$W65,$AC65)</f>
        <v>15939073.541234924</v>
      </c>
      <c r="M65" s="317"/>
      <c r="N65" s="490">
        <f>IF(P65&lt;&gt;0,P65/K65," ")</f>
        <v>0.87194347602411748</v>
      </c>
      <c r="O65" s="518">
        <f>G65*N65</f>
        <v>15146571.402713144</v>
      </c>
      <c r="P65" s="524">
        <f>'FERC Accts by Customer Class'!H101</f>
        <v>13897971.188148418</v>
      </c>
      <c r="Q65" s="507"/>
      <c r="R65" s="653"/>
      <c r="S65" s="322">
        <v>17371047.343319073</v>
      </c>
      <c r="T65" s="6"/>
      <c r="U65" s="376" t="s">
        <v>243</v>
      </c>
      <c r="V65" s="6"/>
      <c r="W65" s="322">
        <v>15274618.650178978</v>
      </c>
      <c r="X65" s="648"/>
      <c r="Y65" s="322">
        <v>17371047.343319073</v>
      </c>
      <c r="Z65" s="6"/>
      <c r="AA65" s="376" t="s">
        <v>243</v>
      </c>
      <c r="AB65" s="6"/>
      <c r="AC65" s="322">
        <v>15939073.541234924</v>
      </c>
      <c r="AD65" s="648"/>
    </row>
    <row r="66" spans="1:32">
      <c r="A66" s="376">
        <v>59</v>
      </c>
      <c r="C66" s="348" t="s">
        <v>274</v>
      </c>
      <c r="E66" s="376" t="s">
        <v>246</v>
      </c>
      <c r="F66" s="380"/>
      <c r="G66" s="320">
        <f>IF($AF$3=0,$S66,$Y66)</f>
        <v>45535472</v>
      </c>
      <c r="H66" s="6"/>
      <c r="I66" s="376" t="s">
        <v>246</v>
      </c>
      <c r="J66" s="6"/>
      <c r="K66" s="320">
        <f>IF($AF$3=0,$W66,$AC66)</f>
        <v>28904717</v>
      </c>
      <c r="N66" s="508">
        <f>IF(P66&lt;&gt;0,P66/K66," ")</f>
        <v>0.90638831325074487</v>
      </c>
      <c r="O66" s="523">
        <f>SUM(O64:O65)</f>
        <v>41867074.251173496</v>
      </c>
      <c r="P66" s="523">
        <f>SUM(P64:P65)</f>
        <v>26198897.686620131</v>
      </c>
      <c r="Q66" s="507"/>
      <c r="R66" s="653"/>
      <c r="S66" s="320">
        <v>45535472</v>
      </c>
      <c r="T66" s="6"/>
      <c r="U66" s="376" t="s">
        <v>246</v>
      </c>
      <c r="V66" s="6"/>
      <c r="W66" s="320">
        <v>27774365</v>
      </c>
      <c r="X66" s="648"/>
      <c r="Y66" s="320">
        <v>45535472</v>
      </c>
      <c r="Z66" s="6"/>
      <c r="AA66" s="376" t="s">
        <v>246</v>
      </c>
      <c r="AB66" s="6"/>
      <c r="AC66" s="320">
        <v>28904717</v>
      </c>
      <c r="AD66" s="648"/>
    </row>
    <row r="67" spans="1:32">
      <c r="A67" s="376">
        <v>60</v>
      </c>
      <c r="B67" s="376"/>
      <c r="E67" s="376"/>
      <c r="F67" s="380"/>
      <c r="H67" s="6"/>
      <c r="J67" s="6"/>
      <c r="K67" s="7"/>
      <c r="O67" s="507"/>
      <c r="P67" s="507"/>
      <c r="Q67" s="507"/>
      <c r="R67" s="653"/>
      <c r="S67" s="320"/>
      <c r="T67" s="6"/>
      <c r="U67" s="376"/>
      <c r="V67" s="6"/>
      <c r="W67" s="7"/>
      <c r="X67" s="648"/>
      <c r="Y67" s="320"/>
      <c r="Z67" s="6"/>
      <c r="AA67" s="376"/>
      <c r="AB67" s="6"/>
      <c r="AC67" s="7"/>
      <c r="AD67" s="648"/>
    </row>
    <row r="68" spans="1:32">
      <c r="A68" s="376">
        <v>61</v>
      </c>
      <c r="B68" s="376"/>
      <c r="C68" s="348" t="s">
        <v>275</v>
      </c>
      <c r="D68" s="380"/>
      <c r="E68" s="316"/>
      <c r="F68" s="380"/>
      <c r="G68" s="323">
        <f>IF($AF$3=0,$S68,$Y68)</f>
        <v>856329951</v>
      </c>
      <c r="H68" s="8"/>
      <c r="I68" s="9"/>
      <c r="J68" s="8"/>
      <c r="K68" s="323">
        <f>IF($AF$3=0,$W68,$AC68)</f>
        <v>936940582</v>
      </c>
      <c r="M68" s="337" t="s">
        <v>643</v>
      </c>
      <c r="N68" s="508">
        <f>IF(P68&lt;&gt;0,P68/K68," ")</f>
        <v>0.86221468295465398</v>
      </c>
      <c r="O68" s="519">
        <f>G68*N68</f>
        <v>738340257.20603943</v>
      </c>
      <c r="P68" s="519">
        <f>'FERC Accts by Customer Class'!H105</f>
        <v>807843926.85647893</v>
      </c>
      <c r="Q68" s="507"/>
      <c r="R68" s="653"/>
      <c r="S68" s="323">
        <v>856329951</v>
      </c>
      <c r="T68" s="8"/>
      <c r="U68" s="9"/>
      <c r="V68" s="8"/>
      <c r="W68" s="323">
        <v>928972220</v>
      </c>
      <c r="X68" s="648"/>
      <c r="Y68" s="323">
        <v>856329951</v>
      </c>
      <c r="Z68" s="8"/>
      <c r="AA68" s="9"/>
      <c r="AB68" s="8"/>
      <c r="AC68" s="323">
        <v>936940582</v>
      </c>
      <c r="AD68" s="648"/>
      <c r="AE68" s="317"/>
      <c r="AF68" s="317"/>
    </row>
    <row r="69" spans="1:32">
      <c r="A69" s="376">
        <v>62</v>
      </c>
      <c r="B69" s="376"/>
      <c r="D69" s="377"/>
      <c r="E69" s="376"/>
      <c r="F69" s="377"/>
      <c r="H69" s="6"/>
      <c r="I69" s="10"/>
      <c r="J69" s="6"/>
      <c r="K69" s="6"/>
      <c r="O69" s="507"/>
      <c r="P69" s="507"/>
      <c r="Q69" s="507"/>
      <c r="R69" s="653"/>
      <c r="S69" s="320"/>
      <c r="T69" s="6"/>
      <c r="U69" s="10"/>
      <c r="V69" s="6"/>
      <c r="W69" s="6">
        <f>W37+W62</f>
        <v>893669931</v>
      </c>
      <c r="X69" s="648"/>
      <c r="Y69" s="320"/>
      <c r="Z69" s="6"/>
      <c r="AA69" s="10"/>
      <c r="AB69" s="6"/>
      <c r="AC69" s="6"/>
      <c r="AD69" s="648"/>
    </row>
    <row r="70" spans="1:32">
      <c r="A70" s="376">
        <v>63</v>
      </c>
      <c r="B70" s="376"/>
      <c r="C70" s="348" t="s">
        <v>103</v>
      </c>
      <c r="D70" s="377"/>
      <c r="E70" s="376"/>
      <c r="F70" s="377"/>
      <c r="H70" s="6"/>
      <c r="I70" s="10"/>
      <c r="J70" s="6"/>
      <c r="K70" s="6"/>
      <c r="O70" s="507"/>
      <c r="P70" s="507"/>
      <c r="Q70" s="507"/>
      <c r="R70" s="653"/>
      <c r="S70" s="320"/>
      <c r="T70" s="6"/>
      <c r="U70" s="10"/>
      <c r="V70" s="6"/>
      <c r="W70" s="6">
        <f>W69*0.005016647</f>
        <v>4483226.5783413574</v>
      </c>
      <c r="X70" s="648"/>
      <c r="Y70" s="320"/>
      <c r="Z70" s="6"/>
      <c r="AA70" s="10"/>
      <c r="AB70" s="6"/>
      <c r="AC70" s="6"/>
      <c r="AD70" s="648"/>
    </row>
    <row r="71" spans="1:32">
      <c r="A71" s="376">
        <v>64</v>
      </c>
      <c r="B71" s="376"/>
      <c r="C71" s="349" t="s">
        <v>104</v>
      </c>
      <c r="D71" s="377"/>
      <c r="E71" s="10" t="s">
        <v>276</v>
      </c>
      <c r="F71" s="377"/>
      <c r="G71" s="320">
        <f t="shared" ref="G71:G79" si="8">IF($AF$3=0,$S71,$Y71)</f>
        <v>-988583.61</v>
      </c>
      <c r="H71" s="6"/>
      <c r="I71" s="10" t="s">
        <v>276</v>
      </c>
      <c r="J71" s="6"/>
      <c r="K71" s="320">
        <f t="shared" ref="K71:K79" si="9">IF($AF$3=0,$W71,$AC71)</f>
        <v>-1052017.6099999999</v>
      </c>
      <c r="N71" s="508">
        <f t="shared" ref="N71:N79" si="10">IF(P71&lt;&gt;0,P71/K71," ")</f>
        <v>0.87194347602411748</v>
      </c>
      <c r="O71" s="517">
        <f>G71*N71</f>
        <v>-861989.02924387052</v>
      </c>
      <c r="P71" s="522">
        <f>'FERC Accts by Customer Class'!H121</f>
        <v>-917299.89170198422</v>
      </c>
      <c r="Q71" s="507"/>
      <c r="R71" s="653"/>
      <c r="S71" s="320">
        <v>-988583.61</v>
      </c>
      <c r="T71" s="6"/>
      <c r="U71" s="10" t="s">
        <v>276</v>
      </c>
      <c r="V71" s="6"/>
      <c r="W71" s="320">
        <v>-1052017.6099999999</v>
      </c>
      <c r="X71" s="648"/>
      <c r="Y71" s="320">
        <v>-988583.61</v>
      </c>
      <c r="Z71" s="6"/>
      <c r="AA71" s="10" t="s">
        <v>276</v>
      </c>
      <c r="AB71" s="6"/>
      <c r="AC71" s="320">
        <v>-1052017.6099999999</v>
      </c>
      <c r="AD71" s="648"/>
    </row>
    <row r="72" spans="1:32">
      <c r="A72" s="376">
        <v>65</v>
      </c>
      <c r="B72" s="376"/>
      <c r="C72" s="349" t="s">
        <v>277</v>
      </c>
      <c r="D72" s="377"/>
      <c r="E72" s="10" t="s">
        <v>276</v>
      </c>
      <c r="F72" s="377"/>
      <c r="G72" s="112">
        <f t="shared" si="8"/>
        <v>18027.93</v>
      </c>
      <c r="H72" s="6"/>
      <c r="I72" s="10" t="s">
        <v>276</v>
      </c>
      <c r="J72" s="6"/>
      <c r="K72" s="112">
        <f t="shared" si="9"/>
        <v>0</v>
      </c>
      <c r="N72" s="508" t="str">
        <f t="shared" si="10"/>
        <v xml:space="preserve"> </v>
      </c>
      <c r="O72" s="517"/>
      <c r="P72" s="522"/>
      <c r="Q72" s="507"/>
      <c r="R72" s="653"/>
      <c r="S72" s="112">
        <v>18027.93</v>
      </c>
      <c r="T72" s="6"/>
      <c r="U72" s="10" t="s">
        <v>276</v>
      </c>
      <c r="V72" s="6"/>
      <c r="W72" s="112">
        <v>0</v>
      </c>
      <c r="X72" s="648"/>
      <c r="Y72" s="112">
        <v>18027.93</v>
      </c>
      <c r="Z72" s="6"/>
      <c r="AA72" s="10" t="s">
        <v>276</v>
      </c>
      <c r="AB72" s="6"/>
      <c r="AC72" s="112">
        <v>0</v>
      </c>
      <c r="AD72" s="648"/>
    </row>
    <row r="73" spans="1:32">
      <c r="A73" s="376">
        <v>66</v>
      </c>
      <c r="B73" s="376"/>
      <c r="C73" s="349" t="s">
        <v>278</v>
      </c>
      <c r="D73" s="377"/>
      <c r="E73" s="10" t="s">
        <v>276</v>
      </c>
      <c r="F73" s="377"/>
      <c r="G73" s="112">
        <f t="shared" si="8"/>
        <v>0</v>
      </c>
      <c r="H73" s="6"/>
      <c r="I73" s="10" t="s">
        <v>276</v>
      </c>
      <c r="J73" s="6"/>
      <c r="K73" s="112">
        <f t="shared" si="9"/>
        <v>0</v>
      </c>
      <c r="N73" s="508" t="str">
        <f t="shared" si="10"/>
        <v xml:space="preserve"> </v>
      </c>
      <c r="O73" s="517"/>
      <c r="P73" s="522"/>
      <c r="Q73" s="507"/>
      <c r="R73" s="653"/>
      <c r="S73" s="112">
        <v>0</v>
      </c>
      <c r="T73" s="6"/>
      <c r="U73" s="10" t="s">
        <v>276</v>
      </c>
      <c r="V73" s="6"/>
      <c r="W73" s="112">
        <v>0</v>
      </c>
      <c r="X73" s="648"/>
      <c r="Y73" s="112">
        <v>0</v>
      </c>
      <c r="Z73" s="6"/>
      <c r="AA73" s="10" t="s">
        <v>276</v>
      </c>
      <c r="AB73" s="6"/>
      <c r="AC73" s="112">
        <v>0</v>
      </c>
      <c r="AD73" s="648"/>
    </row>
    <row r="74" spans="1:32">
      <c r="A74" s="376">
        <v>67</v>
      </c>
      <c r="B74" s="376"/>
      <c r="C74" s="349" t="s">
        <v>551</v>
      </c>
      <c r="D74" s="377"/>
      <c r="E74" s="10" t="s">
        <v>276</v>
      </c>
      <c r="F74" s="377"/>
      <c r="G74" s="112">
        <f t="shared" si="8"/>
        <v>-4260643.18</v>
      </c>
      <c r="H74" s="6"/>
      <c r="I74" s="10" t="s">
        <v>276</v>
      </c>
      <c r="J74" s="6"/>
      <c r="K74" s="112">
        <f t="shared" si="9"/>
        <v>-4310806.18</v>
      </c>
      <c r="N74" s="508">
        <f t="shared" si="10"/>
        <v>0.55689295199966371</v>
      </c>
      <c r="O74" s="517">
        <f>G74*N74</f>
        <v>-2372722.1579274344</v>
      </c>
      <c r="P74" s="522">
        <f>'FERC Accts by Customer Class'!H122</f>
        <v>-2400657.5790785933</v>
      </c>
      <c r="Q74" s="507"/>
      <c r="R74" s="653"/>
      <c r="S74" s="112">
        <v>-4260643.18</v>
      </c>
      <c r="T74" s="6"/>
      <c r="U74" s="10" t="s">
        <v>276</v>
      </c>
      <c r="V74" s="6"/>
      <c r="W74" s="112">
        <v>-4310806.18</v>
      </c>
      <c r="X74" s="648"/>
      <c r="Y74" s="112">
        <v>-4260643.18</v>
      </c>
      <c r="Z74" s="6"/>
      <c r="AA74" s="10" t="s">
        <v>276</v>
      </c>
      <c r="AB74" s="6"/>
      <c r="AC74" s="112">
        <v>-4310806.18</v>
      </c>
      <c r="AD74" s="648"/>
    </row>
    <row r="75" spans="1:32">
      <c r="A75" s="376">
        <v>68</v>
      </c>
      <c r="C75" s="349" t="s">
        <v>552</v>
      </c>
      <c r="D75" s="377"/>
      <c r="E75" s="10" t="s">
        <v>276</v>
      </c>
      <c r="F75" s="377"/>
      <c r="G75" s="112">
        <f t="shared" si="8"/>
        <v>-249936085.19</v>
      </c>
      <c r="H75" s="6"/>
      <c r="I75" s="10" t="s">
        <v>276</v>
      </c>
      <c r="J75" s="6"/>
      <c r="K75" s="324">
        <f t="shared" si="9"/>
        <v>-265816114.47031307</v>
      </c>
      <c r="N75" s="508">
        <f t="shared" si="10"/>
        <v>0.86168707657505894</v>
      </c>
      <c r="O75" s="517">
        <f>G75*N75</f>
        <v>-215366694.57798597</v>
      </c>
      <c r="P75" s="522">
        <f>'FERC Accts by Customer Class'!H123</f>
        <v>-229050310.5844653</v>
      </c>
      <c r="Q75" s="507"/>
      <c r="R75" s="653"/>
      <c r="S75" s="112">
        <v>-249936085.19</v>
      </c>
      <c r="T75" s="6"/>
      <c r="U75" s="10" t="s">
        <v>276</v>
      </c>
      <c r="V75" s="6"/>
      <c r="W75" s="324">
        <v>-266471711.8893652</v>
      </c>
      <c r="X75" s="648"/>
      <c r="Y75" s="112">
        <v>-249936085.19</v>
      </c>
      <c r="Z75" s="6"/>
      <c r="AA75" s="10" t="s">
        <v>276</v>
      </c>
      <c r="AB75" s="6"/>
      <c r="AC75" s="324">
        <v>-265816114.47031307</v>
      </c>
      <c r="AD75" s="648"/>
    </row>
    <row r="76" spans="1:32">
      <c r="A76" s="376">
        <v>69</v>
      </c>
      <c r="B76" s="376"/>
      <c r="C76" s="349" t="s">
        <v>553</v>
      </c>
      <c r="D76" s="377"/>
      <c r="E76" s="10" t="s">
        <v>276</v>
      </c>
      <c r="F76" s="377"/>
      <c r="G76" s="112">
        <f t="shared" si="8"/>
        <v>-15862916.420000002</v>
      </c>
      <c r="H76" s="6"/>
      <c r="I76" s="10" t="s">
        <v>276</v>
      </c>
      <c r="J76" s="6"/>
      <c r="K76" s="324">
        <f t="shared" si="9"/>
        <v>-17439178.911993302</v>
      </c>
      <c r="N76" s="508">
        <f t="shared" si="10"/>
        <v>0.87943321418081033</v>
      </c>
      <c r="O76" s="517">
        <f>G76*N76</f>
        <v>-13950375.573522154</v>
      </c>
      <c r="P76" s="522">
        <f>'FERC Accts by Customer Class'!H124</f>
        <v>-15336593.163248478</v>
      </c>
      <c r="Q76" s="507"/>
      <c r="R76" s="653"/>
      <c r="S76" s="112">
        <v>-15862916.420000002</v>
      </c>
      <c r="T76" s="6"/>
      <c r="U76" s="10" t="s">
        <v>276</v>
      </c>
      <c r="V76" s="6"/>
      <c r="W76" s="324">
        <v>-17438834.012859419</v>
      </c>
      <c r="X76" s="648"/>
      <c r="Y76" s="112">
        <v>-15862916.420000002</v>
      </c>
      <c r="Z76" s="6"/>
      <c r="AA76" s="10" t="s">
        <v>276</v>
      </c>
      <c r="AB76" s="6"/>
      <c r="AC76" s="324">
        <v>-17439178.911993302</v>
      </c>
      <c r="AD76" s="648"/>
    </row>
    <row r="77" spans="1:32">
      <c r="A77" s="376">
        <v>70</v>
      </c>
      <c r="B77" s="376"/>
      <c r="C77" s="349" t="s">
        <v>601</v>
      </c>
      <c r="D77" s="377"/>
      <c r="E77" s="10" t="s">
        <v>276</v>
      </c>
      <c r="F77" s="377"/>
      <c r="G77" s="401">
        <f t="shared" si="8"/>
        <v>-11941735.653387455</v>
      </c>
      <c r="H77" s="6"/>
      <c r="I77" s="10" t="s">
        <v>276</v>
      </c>
      <c r="J77" s="6"/>
      <c r="K77" s="402">
        <f t="shared" si="9"/>
        <v>625655.50084761553</v>
      </c>
      <c r="N77" s="508">
        <f t="shared" si="10"/>
        <v>0.94873241983789069</v>
      </c>
      <c r="O77" s="517">
        <f>G77*N77</f>
        <v>-11329511.763502695</v>
      </c>
      <c r="P77" s="522">
        <f>'FERC Accts by Customer Class'!H125</f>
        <v>593579.65730404574</v>
      </c>
      <c r="Q77" s="507"/>
      <c r="R77" s="653"/>
      <c r="S77" s="401">
        <v>-11941735.653387455</v>
      </c>
      <c r="T77" s="6"/>
      <c r="U77" s="10" t="s">
        <v>276</v>
      </c>
      <c r="V77" s="6"/>
      <c r="W77" s="402">
        <v>640107.34359811386</v>
      </c>
      <c r="X77" s="648"/>
      <c r="Y77" s="401">
        <v>-11941735.653387455</v>
      </c>
      <c r="Z77" s="6"/>
      <c r="AA77" s="10" t="s">
        <v>276</v>
      </c>
      <c r="AB77" s="6"/>
      <c r="AC77" s="402">
        <v>625655.50084761553</v>
      </c>
      <c r="AD77" s="648"/>
    </row>
    <row r="78" spans="1:32">
      <c r="A78" s="376">
        <v>71</v>
      </c>
      <c r="B78" s="376"/>
      <c r="C78" s="349" t="s">
        <v>602</v>
      </c>
      <c r="D78" s="377"/>
      <c r="E78" s="10" t="s">
        <v>276</v>
      </c>
      <c r="F78" s="377"/>
      <c r="G78" s="322">
        <f t="shared" si="8"/>
        <v>-2921925.4502517935</v>
      </c>
      <c r="H78" s="6"/>
      <c r="I78" s="10" t="s">
        <v>276</v>
      </c>
      <c r="J78" s="6"/>
      <c r="K78" s="325">
        <f t="shared" si="9"/>
        <v>-438077.85316301603</v>
      </c>
      <c r="N78" s="490">
        <f t="shared" si="10"/>
        <v>0.87194347602411726</v>
      </c>
      <c r="O78" s="518">
        <f>G78*N78</f>
        <v>-2547753.8337758826</v>
      </c>
      <c r="P78" s="524">
        <f>'FERC Accts by Customer Class'!H126</f>
        <v>-381979.12605614302</v>
      </c>
      <c r="Q78" s="507"/>
      <c r="R78" s="653"/>
      <c r="S78" s="322">
        <v>-2921925.4502517935</v>
      </c>
      <c r="T78" s="6"/>
      <c r="U78" s="10" t="s">
        <v>276</v>
      </c>
      <c r="V78" s="6"/>
      <c r="W78" s="325">
        <v>-395688.45234655496</v>
      </c>
      <c r="X78" s="648"/>
      <c r="Y78" s="322">
        <v>-2921925.4502517935</v>
      </c>
      <c r="Z78" s="6"/>
      <c r="AA78" s="10" t="s">
        <v>276</v>
      </c>
      <c r="AB78" s="6"/>
      <c r="AC78" s="325">
        <v>-438077.85316301603</v>
      </c>
      <c r="AD78" s="648"/>
    </row>
    <row r="79" spans="1:32">
      <c r="A79" s="376">
        <v>72</v>
      </c>
      <c r="B79" s="376"/>
      <c r="C79" s="362" t="s">
        <v>554</v>
      </c>
      <c r="D79" s="377"/>
      <c r="E79" s="376" t="s">
        <v>276</v>
      </c>
      <c r="F79" s="377"/>
      <c r="G79" s="320">
        <f t="shared" si="8"/>
        <v>-285893861.57363927</v>
      </c>
      <c r="H79" s="6"/>
      <c r="I79" s="10"/>
      <c r="J79" s="6"/>
      <c r="K79" s="320">
        <f t="shared" si="9"/>
        <v>-288430539.52462178</v>
      </c>
      <c r="M79" s="338"/>
      <c r="N79" s="508">
        <f t="shared" si="10"/>
        <v>0.85806884768566349</v>
      </c>
      <c r="O79" s="523">
        <f>SUM(O71:O78)</f>
        <v>-246429046.935958</v>
      </c>
      <c r="P79" s="523">
        <f>SUM(P71:P78)</f>
        <v>-247493260.68724644</v>
      </c>
      <c r="Q79" s="507"/>
      <c r="R79" s="653"/>
      <c r="S79" s="320">
        <v>-285893861.57363927</v>
      </c>
      <c r="T79" s="6"/>
      <c r="U79" s="10"/>
      <c r="V79" s="6"/>
      <c r="W79" s="320">
        <v>-289028950.80097306</v>
      </c>
      <c r="X79" s="648"/>
      <c r="Y79" s="320">
        <v>-285893861.57363927</v>
      </c>
      <c r="Z79" s="6"/>
      <c r="AA79" s="10"/>
      <c r="AB79" s="6"/>
      <c r="AC79" s="320">
        <v>-288430539.52462178</v>
      </c>
      <c r="AD79" s="648"/>
    </row>
    <row r="80" spans="1:32">
      <c r="A80" s="376">
        <v>73</v>
      </c>
      <c r="B80" s="376"/>
      <c r="D80" s="377"/>
      <c r="E80" s="376"/>
      <c r="F80" s="377"/>
      <c r="H80" s="6"/>
      <c r="I80" s="10"/>
      <c r="J80" s="6"/>
      <c r="K80" s="7"/>
      <c r="O80" s="507"/>
      <c r="P80" s="507"/>
      <c r="Q80" s="507"/>
      <c r="R80" s="653"/>
      <c r="S80" s="320"/>
      <c r="T80" s="6"/>
      <c r="U80" s="10"/>
      <c r="V80" s="6"/>
      <c r="W80" s="7"/>
      <c r="X80" s="648"/>
      <c r="Y80" s="320"/>
      <c r="Z80" s="6"/>
      <c r="AA80" s="10"/>
      <c r="AB80" s="6"/>
      <c r="AC80" s="7"/>
      <c r="AD80" s="648"/>
    </row>
    <row r="81" spans="1:30">
      <c r="A81" s="376">
        <v>74</v>
      </c>
      <c r="B81" s="376"/>
      <c r="C81" s="348" t="s">
        <v>279</v>
      </c>
      <c r="D81" s="380"/>
      <c r="E81" s="316"/>
      <c r="F81" s="380"/>
      <c r="G81" s="323">
        <f>IF($AF$3=0,$S81,$Y81)</f>
        <v>570436089.42636073</v>
      </c>
      <c r="H81" s="8"/>
      <c r="I81" s="9"/>
      <c r="J81" s="8"/>
      <c r="K81" s="11">
        <f>IF($AF$3=0,$W81,$AC81)</f>
        <v>648510042.47537827</v>
      </c>
      <c r="N81" s="508">
        <f>IF(P81&lt;&gt;0,P81/K81," ")</f>
        <v>0.86405857961792021</v>
      </c>
      <c r="O81" s="520">
        <f>G81*N81</f>
        <v>492890197.19254214</v>
      </c>
      <c r="P81" s="520">
        <f>'FERC Accts by Customer Class'!H129</f>
        <v>560350666.16923249</v>
      </c>
      <c r="Q81" s="507"/>
      <c r="R81" s="653"/>
      <c r="S81" s="323">
        <v>570436089.42636073</v>
      </c>
      <c r="T81" s="8"/>
      <c r="U81" s="9"/>
      <c r="V81" s="8"/>
      <c r="W81" s="11">
        <v>639943269.19902694</v>
      </c>
      <c r="X81" s="648"/>
      <c r="Y81" s="323">
        <v>570436089.42636073</v>
      </c>
      <c r="Z81" s="8"/>
      <c r="AA81" s="9"/>
      <c r="AB81" s="8"/>
      <c r="AC81" s="11">
        <v>648510042.47537827</v>
      </c>
      <c r="AD81" s="648"/>
    </row>
    <row r="82" spans="1:30">
      <c r="A82" s="376">
        <v>75</v>
      </c>
      <c r="B82" s="376"/>
      <c r="D82" s="377"/>
      <c r="E82" s="376"/>
      <c r="F82" s="377"/>
      <c r="H82" s="6"/>
      <c r="I82" s="10"/>
      <c r="J82" s="6"/>
      <c r="K82" s="7"/>
      <c r="O82" s="507"/>
      <c r="P82" s="507"/>
      <c r="Q82" s="507"/>
      <c r="R82" s="653"/>
      <c r="S82" s="320"/>
      <c r="T82" s="6"/>
      <c r="U82" s="10"/>
      <c r="V82" s="6"/>
      <c r="W82" s="7"/>
      <c r="X82" s="648"/>
      <c r="Y82" s="320"/>
      <c r="Z82" s="6"/>
      <c r="AA82" s="10"/>
      <c r="AB82" s="6"/>
      <c r="AC82" s="7"/>
      <c r="AD82" s="648"/>
    </row>
    <row r="83" spans="1:30">
      <c r="A83" s="376">
        <v>76</v>
      </c>
      <c r="B83" s="376"/>
      <c r="C83" s="348" t="s">
        <v>280</v>
      </c>
      <c r="D83" s="377"/>
      <c r="E83" s="376"/>
      <c r="F83" s="377"/>
      <c r="H83" s="6"/>
      <c r="I83" s="10"/>
      <c r="J83" s="6"/>
      <c r="K83" s="7"/>
      <c r="O83" s="507"/>
      <c r="P83" s="507"/>
      <c r="Q83" s="507"/>
      <c r="R83" s="653"/>
      <c r="S83" s="320"/>
      <c r="T83" s="6"/>
      <c r="U83" s="10"/>
      <c r="V83" s="6"/>
      <c r="W83" s="7"/>
      <c r="X83" s="648"/>
      <c r="Y83" s="320"/>
      <c r="Z83" s="6"/>
      <c r="AA83" s="10"/>
      <c r="AB83" s="6"/>
      <c r="AC83" s="7"/>
      <c r="AD83" s="648"/>
    </row>
    <row r="84" spans="1:30">
      <c r="A84" s="376">
        <v>77</v>
      </c>
      <c r="B84" s="376"/>
      <c r="C84" s="349" t="s">
        <v>555</v>
      </c>
      <c r="D84" s="377"/>
      <c r="E84" s="376" t="s">
        <v>281</v>
      </c>
      <c r="F84" s="377"/>
      <c r="G84" s="320">
        <f t="shared" ref="G84:G89" si="11">IF($AF$3=0,$S84,$Y84)</f>
        <v>1282220.2394626469</v>
      </c>
      <c r="H84" s="6"/>
      <c r="I84" s="10" t="s">
        <v>281</v>
      </c>
      <c r="J84" s="6"/>
      <c r="K84" s="320">
        <f t="shared" ref="K84:K89" si="12">IF($AF$3=0,$W84,$AC84)</f>
        <v>1282220.2394626469</v>
      </c>
      <c r="N84" s="508">
        <f t="shared" ref="N84:N89" si="13">IF(P84&lt;&gt;0,P84/K84," ")</f>
        <v>0.99565189628963457</v>
      </c>
      <c r="O84" s="517">
        <f>G84*N84</f>
        <v>1276645.0128819337</v>
      </c>
      <c r="P84" s="522">
        <f>'FERC Accts by Customer Class'!H133</f>
        <v>1276645.0128819337</v>
      </c>
      <c r="Q84" s="507"/>
      <c r="R84" s="653"/>
      <c r="S84" s="320">
        <v>1282220.2394626469</v>
      </c>
      <c r="T84" s="6"/>
      <c r="U84" s="10" t="s">
        <v>281</v>
      </c>
      <c r="V84" s="6"/>
      <c r="W84" s="320">
        <v>1282220.2394626469</v>
      </c>
      <c r="X84" s="648"/>
      <c r="Y84" s="320">
        <v>1282220.2394626469</v>
      </c>
      <c r="Z84" s="6"/>
      <c r="AA84" s="10" t="s">
        <v>281</v>
      </c>
      <c r="AB84" s="6"/>
      <c r="AC84" s="320">
        <v>1282220.2394626469</v>
      </c>
      <c r="AD84" s="648"/>
    </row>
    <row r="85" spans="1:30">
      <c r="A85" s="376">
        <v>78</v>
      </c>
      <c r="B85" s="376"/>
      <c r="C85" s="349" t="s">
        <v>556</v>
      </c>
      <c r="D85" s="377"/>
      <c r="E85" s="376" t="s">
        <v>281</v>
      </c>
      <c r="F85" s="377"/>
      <c r="G85" s="112">
        <f t="shared" si="11"/>
        <v>-3192743.2112407363</v>
      </c>
      <c r="H85" s="6"/>
      <c r="I85" s="10" t="s">
        <v>281</v>
      </c>
      <c r="J85" s="6"/>
      <c r="K85" s="324">
        <f t="shared" si="12"/>
        <v>-3838072.9862808832</v>
      </c>
      <c r="N85" s="508">
        <f t="shared" si="13"/>
        <v>0.86405857965908184</v>
      </c>
      <c r="O85" s="517">
        <f>G85*N85</f>
        <v>-2758717.1643208466</v>
      </c>
      <c r="P85" s="522">
        <f>'FERC Accts by Customer Class'!H134</f>
        <v>-3316319.8931537508</v>
      </c>
      <c r="Q85" s="507"/>
      <c r="R85" s="653"/>
      <c r="S85" s="112">
        <v>-3192743.2112407363</v>
      </c>
      <c r="T85" s="6"/>
      <c r="U85" s="10" t="s">
        <v>281</v>
      </c>
      <c r="V85" s="6"/>
      <c r="W85" s="324">
        <v>-3806239.420086646</v>
      </c>
      <c r="X85" s="648"/>
      <c r="Y85" s="112">
        <v>-3192743.2112407363</v>
      </c>
      <c r="Z85" s="6"/>
      <c r="AA85" s="10" t="s">
        <v>281</v>
      </c>
      <c r="AB85" s="6"/>
      <c r="AC85" s="324">
        <v>-3838072.9862808832</v>
      </c>
      <c r="AD85" s="648"/>
    </row>
    <row r="86" spans="1:30">
      <c r="A86" s="376">
        <v>79</v>
      </c>
      <c r="B86" s="376"/>
      <c r="C86" s="349" t="s">
        <v>557</v>
      </c>
      <c r="D86" s="377"/>
      <c r="E86" s="376" t="s">
        <v>282</v>
      </c>
      <c r="F86" s="377"/>
      <c r="G86" s="112">
        <f t="shared" si="11"/>
        <v>233494.00835658959</v>
      </c>
      <c r="H86" s="6"/>
      <c r="I86" s="10" t="s">
        <v>282</v>
      </c>
      <c r="J86" s="6"/>
      <c r="K86" s="324">
        <f t="shared" si="12"/>
        <v>329739.79002712434</v>
      </c>
      <c r="N86" s="508">
        <f t="shared" si="13"/>
        <v>0.87194347602411726</v>
      </c>
      <c r="O86" s="517">
        <f>G86*N86</f>
        <v>203593.57727724902</v>
      </c>
      <c r="P86" s="522">
        <f>'FERC Accts by Customer Class'!H135</f>
        <v>287514.45869971334</v>
      </c>
      <c r="Q86" s="507"/>
      <c r="R86" s="653"/>
      <c r="S86" s="112">
        <v>233494.00835658959</v>
      </c>
      <c r="T86" s="6"/>
      <c r="U86" s="10" t="s">
        <v>282</v>
      </c>
      <c r="V86" s="6"/>
      <c r="W86" s="324">
        <v>337870.74171686126</v>
      </c>
      <c r="X86" s="648"/>
      <c r="Y86" s="112">
        <v>233494.00835658959</v>
      </c>
      <c r="Z86" s="6"/>
      <c r="AA86" s="10" t="s">
        <v>282</v>
      </c>
      <c r="AB86" s="6"/>
      <c r="AC86" s="324">
        <v>329739.79002712434</v>
      </c>
      <c r="AD86" s="648"/>
    </row>
    <row r="87" spans="1:30">
      <c r="A87" s="376">
        <v>80</v>
      </c>
      <c r="B87" s="376"/>
      <c r="C87" s="349" t="s">
        <v>558</v>
      </c>
      <c r="D87" s="377"/>
      <c r="E87" s="376" t="s">
        <v>282</v>
      </c>
      <c r="F87" s="377"/>
      <c r="G87" s="112">
        <f t="shared" si="11"/>
        <v>5398698.3969999999</v>
      </c>
      <c r="H87" s="6"/>
      <c r="I87" s="10" t="s">
        <v>282</v>
      </c>
      <c r="J87" s="6"/>
      <c r="K87" s="324">
        <f t="shared" si="12"/>
        <v>5048023</v>
      </c>
      <c r="N87" s="508">
        <f t="shared" si="13"/>
        <v>0.86221468298308324</v>
      </c>
      <c r="O87" s="517">
        <f>G87*N87</f>
        <v>4654837.0268906346</v>
      </c>
      <c r="P87" s="522">
        <f>'FERC Accts by Customer Class'!H136</f>
        <v>4352479.5506363129</v>
      </c>
      <c r="Q87" s="507"/>
      <c r="R87" s="653"/>
      <c r="S87" s="112">
        <v>5398698.3969999999</v>
      </c>
      <c r="T87" s="6"/>
      <c r="U87" s="10" t="s">
        <v>282</v>
      </c>
      <c r="V87" s="6"/>
      <c r="W87" s="324">
        <v>5048023</v>
      </c>
      <c r="X87" s="648"/>
      <c r="Y87" s="112">
        <v>5398698.3969999999</v>
      </c>
      <c r="Z87" s="6"/>
      <c r="AA87" s="10" t="s">
        <v>282</v>
      </c>
      <c r="AB87" s="6"/>
      <c r="AC87" s="324">
        <v>5048023</v>
      </c>
      <c r="AD87" s="648"/>
    </row>
    <row r="88" spans="1:30">
      <c r="A88" s="376">
        <v>81</v>
      </c>
      <c r="B88" s="376"/>
      <c r="C88" s="364" t="s">
        <v>559</v>
      </c>
      <c r="D88" s="377"/>
      <c r="E88" s="376" t="s">
        <v>282</v>
      </c>
      <c r="F88" s="377"/>
      <c r="G88" s="322">
        <f t="shared" si="11"/>
        <v>488585.88000000012</v>
      </c>
      <c r="H88" s="6"/>
      <c r="I88" s="10" t="s">
        <v>282</v>
      </c>
      <c r="J88" s="6"/>
      <c r="K88" s="325">
        <f t="shared" si="12"/>
        <v>394283</v>
      </c>
      <c r="N88" s="490">
        <f t="shared" si="13"/>
        <v>0.86405857965908184</v>
      </c>
      <c r="O88" s="518">
        <f>G88*N88</f>
        <v>422166.82151428272</v>
      </c>
      <c r="P88" s="524">
        <f>'FERC Accts by Customer Class'!H137</f>
        <v>340683.60896372178</v>
      </c>
      <c r="Q88" s="507"/>
      <c r="R88" s="653"/>
      <c r="S88" s="322">
        <v>488585.88000000012</v>
      </c>
      <c r="T88" s="6"/>
      <c r="U88" s="10" t="s">
        <v>282</v>
      </c>
      <c r="V88" s="6"/>
      <c r="W88" s="325">
        <v>394283</v>
      </c>
      <c r="X88" s="648"/>
      <c r="Y88" s="322">
        <v>488585.88000000012</v>
      </c>
      <c r="Z88" s="6"/>
      <c r="AA88" s="10" t="s">
        <v>282</v>
      </c>
      <c r="AB88" s="6"/>
      <c r="AC88" s="325">
        <v>394283</v>
      </c>
      <c r="AD88" s="648"/>
    </row>
    <row r="89" spans="1:30">
      <c r="A89" s="376">
        <v>82</v>
      </c>
      <c r="B89" s="376"/>
      <c r="C89" s="363" t="s">
        <v>283</v>
      </c>
      <c r="D89" s="380"/>
      <c r="E89" s="316"/>
      <c r="F89" s="380"/>
      <c r="G89" s="323">
        <f t="shared" si="11"/>
        <v>4210255.3135785004</v>
      </c>
      <c r="H89" s="8"/>
      <c r="I89" s="9"/>
      <c r="J89" s="8"/>
      <c r="K89" s="323">
        <f t="shared" si="12"/>
        <v>3216193.0432088883</v>
      </c>
      <c r="N89" s="508">
        <f t="shared" si="13"/>
        <v>0.91443601130783125</v>
      </c>
      <c r="O89" s="523">
        <f>SUM(O84:O88)</f>
        <v>3798525.2742432537</v>
      </c>
      <c r="P89" s="523">
        <f>SUM(P84:P88)</f>
        <v>2941002.7380279312</v>
      </c>
      <c r="Q89" s="507"/>
      <c r="R89" s="653"/>
      <c r="S89" s="323">
        <v>4210255.3135785004</v>
      </c>
      <c r="T89" s="8"/>
      <c r="U89" s="9"/>
      <c r="V89" s="8"/>
      <c r="W89" s="323">
        <v>3256157.5610928624</v>
      </c>
      <c r="X89" s="648"/>
      <c r="Y89" s="323">
        <v>4210255.3135785004</v>
      </c>
      <c r="Z89" s="8"/>
      <c r="AA89" s="9"/>
      <c r="AB89" s="8"/>
      <c r="AC89" s="323">
        <v>3216193.0432088883</v>
      </c>
      <c r="AD89" s="648"/>
    </row>
    <row r="90" spans="1:30">
      <c r="A90" s="376">
        <v>83</v>
      </c>
      <c r="B90" s="376"/>
      <c r="D90" s="377"/>
      <c r="E90" s="376"/>
      <c r="F90" s="377"/>
      <c r="H90" s="6"/>
      <c r="I90" s="10"/>
      <c r="J90" s="6"/>
      <c r="K90" s="7"/>
      <c r="O90" s="507"/>
      <c r="P90" s="507"/>
      <c r="Q90" s="507"/>
      <c r="R90" s="653"/>
      <c r="S90" s="320"/>
      <c r="T90" s="6"/>
      <c r="U90" s="10"/>
      <c r="V90" s="6"/>
      <c r="W90" s="7"/>
      <c r="X90" s="648"/>
      <c r="Y90" s="320"/>
      <c r="Z90" s="6"/>
      <c r="AA90" s="10"/>
      <c r="AB90" s="6"/>
      <c r="AC90" s="7"/>
      <c r="AD90" s="648"/>
    </row>
    <row r="91" spans="1:30">
      <c r="A91" s="376">
        <v>84</v>
      </c>
      <c r="B91" s="376"/>
      <c r="C91" s="351" t="s">
        <v>108</v>
      </c>
      <c r="D91" s="377"/>
      <c r="E91" s="376"/>
      <c r="F91" s="377"/>
      <c r="H91" s="6"/>
      <c r="I91" s="10"/>
      <c r="J91" s="6"/>
      <c r="K91" s="7"/>
      <c r="O91" s="507"/>
      <c r="P91" s="507"/>
      <c r="Q91" s="507"/>
      <c r="R91" s="653"/>
      <c r="S91" s="320"/>
      <c r="T91" s="6"/>
      <c r="U91" s="10"/>
      <c r="V91" s="6"/>
      <c r="W91" s="7"/>
      <c r="X91" s="648"/>
      <c r="Y91" s="320"/>
      <c r="Z91" s="6"/>
      <c r="AA91" s="10"/>
      <c r="AB91" s="6"/>
      <c r="AC91" s="7"/>
      <c r="AD91" s="648"/>
    </row>
    <row r="92" spans="1:30">
      <c r="A92" s="376">
        <v>85</v>
      </c>
      <c r="B92" s="376"/>
      <c r="C92" s="337" t="s">
        <v>284</v>
      </c>
      <c r="D92" s="377"/>
      <c r="E92" s="376" t="s">
        <v>285</v>
      </c>
      <c r="F92" s="377"/>
      <c r="G92" s="320">
        <f>IF($AF$3=0,$S92,$Y92)</f>
        <v>-3518846</v>
      </c>
      <c r="H92" s="6"/>
      <c r="I92" s="10" t="s">
        <v>285</v>
      </c>
      <c r="J92" s="6"/>
      <c r="K92" s="320">
        <f>IF($AF$3=0,$W92,$AC92)</f>
        <v>-3518846</v>
      </c>
      <c r="N92" s="508">
        <f>IF(P92&lt;&gt;0,P92/K92," ")</f>
        <v>0.94873241983789069</v>
      </c>
      <c r="O92" s="517">
        <f>G92*N92</f>
        <v>-3338443.2806168823</v>
      </c>
      <c r="P92" s="522">
        <f>'FERC Accts by Customer Class'!H138</f>
        <v>-3338443.2806168823</v>
      </c>
      <c r="Q92" s="507"/>
      <c r="R92" s="653"/>
      <c r="S92" s="320">
        <v>-3518846</v>
      </c>
      <c r="T92" s="6"/>
      <c r="U92" s="10" t="s">
        <v>285</v>
      </c>
      <c r="V92" s="6"/>
      <c r="W92" s="320">
        <v>-3518846</v>
      </c>
      <c r="X92" s="648"/>
      <c r="Y92" s="320">
        <v>-3518846</v>
      </c>
      <c r="Z92" s="6"/>
      <c r="AA92" s="10" t="s">
        <v>285</v>
      </c>
      <c r="AB92" s="6"/>
      <c r="AC92" s="320">
        <v>-3518846</v>
      </c>
      <c r="AD92" s="648"/>
    </row>
    <row r="93" spans="1:30">
      <c r="A93" s="376">
        <v>86</v>
      </c>
      <c r="B93" s="376"/>
      <c r="C93" s="337" t="s">
        <v>286</v>
      </c>
      <c r="D93" s="377"/>
      <c r="E93" s="376" t="s">
        <v>285</v>
      </c>
      <c r="F93" s="377"/>
      <c r="G93" s="112">
        <f>IF($AF$3=0,$S93,$Y93)</f>
        <v>0</v>
      </c>
      <c r="H93" s="6"/>
      <c r="I93" s="10" t="s">
        <v>285</v>
      </c>
      <c r="J93" s="6"/>
      <c r="K93" s="112">
        <f>IF($AF$3=0,$W93,$AC93)</f>
        <v>0</v>
      </c>
      <c r="N93" s="508" t="str">
        <f>IF(P93&lt;&gt;0,P93/K93," ")</f>
        <v xml:space="preserve"> </v>
      </c>
      <c r="O93" s="517"/>
      <c r="P93" s="522">
        <v>0</v>
      </c>
      <c r="Q93" s="507"/>
      <c r="R93" s="653"/>
      <c r="S93" s="112">
        <v>0</v>
      </c>
      <c r="T93" s="6"/>
      <c r="U93" s="10" t="s">
        <v>285</v>
      </c>
      <c r="V93" s="6"/>
      <c r="W93" s="112">
        <v>0</v>
      </c>
      <c r="X93" s="648"/>
      <c r="Y93" s="112">
        <v>0</v>
      </c>
      <c r="Z93" s="6"/>
      <c r="AA93" s="10" t="s">
        <v>285</v>
      </c>
      <c r="AB93" s="6"/>
      <c r="AC93" s="112">
        <v>0</v>
      </c>
      <c r="AD93" s="648"/>
    </row>
    <row r="94" spans="1:30">
      <c r="A94" s="376">
        <v>87</v>
      </c>
      <c r="B94" s="376"/>
      <c r="C94" s="352" t="s">
        <v>641</v>
      </c>
      <c r="D94" s="377"/>
      <c r="E94" s="383" t="s">
        <v>285</v>
      </c>
      <c r="F94" s="377"/>
      <c r="G94" s="112">
        <f>IF($AF$3=0,$S94,$Y94)</f>
        <v>-26682756.688000005</v>
      </c>
      <c r="H94" s="6"/>
      <c r="I94" s="12" t="s">
        <v>285</v>
      </c>
      <c r="J94" s="6"/>
      <c r="K94" s="112">
        <f>IF($AF$3=0,$W94,$AC94)</f>
        <v>-46644274.728433244</v>
      </c>
      <c r="N94" s="508">
        <f>IF(P94&lt;&gt;0,P94/K94," ")</f>
        <v>0.86405857965908184</v>
      </c>
      <c r="O94" s="517">
        <f>G94*N94</f>
        <v>-23055464.845222149</v>
      </c>
      <c r="P94" s="522">
        <f>'FERC Accts by Customer Class'!H139</f>
        <v>-40303385.771078035</v>
      </c>
      <c r="Q94" s="507"/>
      <c r="R94" s="653"/>
      <c r="S94" s="112">
        <v>-26682756.688000005</v>
      </c>
      <c r="T94" s="6"/>
      <c r="U94" s="12" t="s">
        <v>285</v>
      </c>
      <c r="V94" s="6"/>
      <c r="W94" s="112">
        <v>-38218760.058510363</v>
      </c>
      <c r="X94" s="648"/>
      <c r="Y94" s="112">
        <v>-26682756.688000005</v>
      </c>
      <c r="Z94" s="6"/>
      <c r="AA94" s="12" t="s">
        <v>285</v>
      </c>
      <c r="AB94" s="6"/>
      <c r="AC94" s="112">
        <v>-46644274.728433244</v>
      </c>
      <c r="AD94" s="648"/>
    </row>
    <row r="95" spans="1:30" ht="12" customHeight="1">
      <c r="A95" s="376">
        <v>88</v>
      </c>
      <c r="B95" s="376"/>
      <c r="C95" s="352" t="s">
        <v>642</v>
      </c>
      <c r="D95" s="377"/>
      <c r="E95" s="383" t="s">
        <v>285</v>
      </c>
      <c r="F95" s="377"/>
      <c r="G95" s="112">
        <f>IF($AF$3=0,$S95,$Y95)</f>
        <v>-18577132.669999998</v>
      </c>
      <c r="H95" s="6"/>
      <c r="I95" s="12" t="s">
        <v>285</v>
      </c>
      <c r="J95" s="6"/>
      <c r="K95" s="112">
        <f>IF($AF$3=0,$W95,$AC95)</f>
        <v>-15464912.93187424</v>
      </c>
      <c r="N95" s="490">
        <f>IF(P95&lt;&gt;0,P95/K95," ")</f>
        <v>0.99999999999999989</v>
      </c>
      <c r="O95" s="518">
        <f>G95*N95</f>
        <v>-18577132.669999994</v>
      </c>
      <c r="P95" s="524">
        <f>'FERC Accts by Customer Class'!H140</f>
        <v>-15464912.931874238</v>
      </c>
      <c r="Q95" s="507"/>
      <c r="R95" s="653"/>
      <c r="S95" s="112">
        <v>-18577132.669999998</v>
      </c>
      <c r="T95" s="6"/>
      <c r="U95" s="12" t="s">
        <v>285</v>
      </c>
      <c r="V95" s="6"/>
      <c r="W95" s="112">
        <v>-15301342.633378096</v>
      </c>
      <c r="X95" s="648"/>
      <c r="Y95" s="112">
        <v>-18577132.669999998</v>
      </c>
      <c r="Z95" s="6"/>
      <c r="AA95" s="12" t="s">
        <v>285</v>
      </c>
      <c r="AB95" s="6"/>
      <c r="AC95" s="112">
        <v>-15464912.93187424</v>
      </c>
      <c r="AD95" s="648"/>
    </row>
    <row r="96" spans="1:30">
      <c r="A96" s="376">
        <v>89</v>
      </c>
      <c r="B96" s="376"/>
      <c r="C96" s="365" t="s">
        <v>112</v>
      </c>
      <c r="D96" s="377"/>
      <c r="E96" s="376" t="s">
        <v>285</v>
      </c>
      <c r="F96" s="377"/>
      <c r="G96" s="326">
        <f>IF($AF$3=0,$S96,$Y96)</f>
        <v>-48778735.358000003</v>
      </c>
      <c r="H96" s="6"/>
      <c r="I96" s="10" t="s">
        <v>285</v>
      </c>
      <c r="J96" s="6"/>
      <c r="K96" s="326">
        <f>IF($AF$3=0,$W96,$AC96)</f>
        <v>-65628033.660307489</v>
      </c>
      <c r="N96" s="508">
        <f>IF(P96&lt;&gt;0,P96/K96," ")</f>
        <v>0.90063252983484587</v>
      </c>
      <c r="O96" s="523">
        <f>SUM(O92:O95)</f>
        <v>-44971040.795839027</v>
      </c>
      <c r="P96" s="523">
        <f>SUM(P92:P95)</f>
        <v>-59106741.983569153</v>
      </c>
      <c r="Q96" s="507"/>
      <c r="R96" s="653"/>
      <c r="S96" s="326">
        <v>-48778735.358000003</v>
      </c>
      <c r="T96" s="6"/>
      <c r="U96" s="10" t="s">
        <v>285</v>
      </c>
      <c r="V96" s="6"/>
      <c r="W96" s="326">
        <v>-57038948.691888459</v>
      </c>
      <c r="X96" s="648"/>
      <c r="Y96" s="326">
        <v>-48778735.358000003</v>
      </c>
      <c r="Z96" s="6"/>
      <c r="AA96" s="10" t="s">
        <v>285</v>
      </c>
      <c r="AB96" s="6"/>
      <c r="AC96" s="326">
        <v>-65628033.660307489</v>
      </c>
      <c r="AD96" s="648"/>
    </row>
    <row r="97" spans="1:30">
      <c r="A97" s="376">
        <v>90</v>
      </c>
      <c r="B97" s="376"/>
      <c r="D97" s="377"/>
      <c r="E97" s="376"/>
      <c r="F97" s="377"/>
      <c r="H97" s="6"/>
      <c r="I97" s="10"/>
      <c r="J97" s="6"/>
      <c r="K97" s="7"/>
      <c r="O97" s="507"/>
      <c r="P97" s="507"/>
      <c r="Q97" s="507"/>
      <c r="R97" s="653"/>
      <c r="S97" s="320"/>
      <c r="T97" s="6"/>
      <c r="U97" s="10"/>
      <c r="V97" s="6"/>
      <c r="W97" s="7"/>
      <c r="X97" s="648"/>
      <c r="Y97" s="320"/>
      <c r="Z97" s="6"/>
      <c r="AA97" s="10"/>
      <c r="AB97" s="6"/>
      <c r="AC97" s="7"/>
      <c r="AD97" s="648"/>
    </row>
    <row r="98" spans="1:30">
      <c r="A98" s="376">
        <v>91</v>
      </c>
      <c r="B98" s="376"/>
      <c r="C98" s="348" t="s">
        <v>287</v>
      </c>
      <c r="D98" s="380"/>
      <c r="E98" s="316"/>
      <c r="F98" s="380"/>
      <c r="G98" s="323">
        <f>IF($AF$3=0,$S98,$Y98)</f>
        <v>525867609.38193923</v>
      </c>
      <c r="H98" s="13"/>
      <c r="I98" s="14"/>
      <c r="J98" s="13"/>
      <c r="K98" s="15">
        <f>IF($AF$3=0,$W98,$AC98)</f>
        <v>586098201.85827959</v>
      </c>
      <c r="M98" s="337" t="s">
        <v>644</v>
      </c>
      <c r="N98" s="508">
        <f>IF(P98&lt;&gt;0,P98/K98," ")</f>
        <v>0.86023967540785051</v>
      </c>
      <c r="O98" s="521">
        <f>G98*N98</f>
        <v>452372181.60222173</v>
      </c>
      <c r="P98" s="521">
        <f>'FERC Accts by Customer Class'!H143</f>
        <v>504184926.92369127</v>
      </c>
      <c r="Q98" s="507"/>
      <c r="R98" s="653"/>
      <c r="S98" s="323">
        <v>525867609.38193923</v>
      </c>
      <c r="T98" s="13"/>
      <c r="U98" s="14"/>
      <c r="V98" s="13"/>
      <c r="W98" s="15">
        <v>586160478.06823134</v>
      </c>
      <c r="X98" s="648"/>
      <c r="Y98" s="323">
        <v>525867609.38193923</v>
      </c>
      <c r="Z98" s="13"/>
      <c r="AA98" s="14"/>
      <c r="AB98" s="13"/>
      <c r="AC98" s="15">
        <v>586098201.85827959</v>
      </c>
      <c r="AD98" s="648"/>
    </row>
    <row r="99" spans="1:30">
      <c r="A99" s="376">
        <v>92</v>
      </c>
      <c r="B99" s="376"/>
      <c r="D99" s="377"/>
      <c r="E99" s="376"/>
      <c r="F99" s="377"/>
      <c r="H99" s="6"/>
      <c r="I99" s="10"/>
      <c r="J99" s="6"/>
      <c r="K99" s="6"/>
      <c r="O99" s="507"/>
      <c r="P99" s="507"/>
      <c r="Q99" s="507"/>
      <c r="R99" s="653"/>
      <c r="S99" s="320"/>
      <c r="T99" s="6"/>
      <c r="U99" s="10"/>
      <c r="V99" s="6"/>
      <c r="W99" s="6"/>
      <c r="X99" s="648"/>
      <c r="Y99" s="320"/>
      <c r="Z99" s="6"/>
      <c r="AA99" s="10"/>
      <c r="AB99" s="6"/>
      <c r="AC99" s="6"/>
      <c r="AD99" s="648"/>
    </row>
    <row r="100" spans="1:30">
      <c r="A100" s="376">
        <v>93</v>
      </c>
      <c r="B100" s="376"/>
      <c r="C100" s="348" t="s">
        <v>288</v>
      </c>
      <c r="D100" s="377"/>
      <c r="E100" s="376"/>
      <c r="F100" s="377"/>
      <c r="H100" s="6"/>
      <c r="I100" s="10"/>
      <c r="J100" s="6"/>
      <c r="K100" s="6"/>
      <c r="O100" s="507"/>
      <c r="P100" s="507"/>
      <c r="Q100" s="507"/>
      <c r="R100" s="653"/>
      <c r="S100" s="320"/>
      <c r="T100" s="6"/>
      <c r="U100" s="10"/>
      <c r="V100" s="6"/>
      <c r="W100" s="6"/>
      <c r="X100" s="648"/>
      <c r="Y100" s="320"/>
      <c r="Z100" s="6"/>
      <c r="AA100" s="10"/>
      <c r="AB100" s="6"/>
      <c r="AC100" s="6"/>
      <c r="AD100" s="648"/>
    </row>
    <row r="101" spans="1:30">
      <c r="A101" s="376">
        <v>94</v>
      </c>
      <c r="B101" s="376"/>
      <c r="D101" s="377"/>
      <c r="E101" s="376"/>
      <c r="F101" s="377"/>
      <c r="H101" s="6"/>
      <c r="I101" s="10"/>
      <c r="J101" s="6"/>
      <c r="K101" s="6"/>
      <c r="O101" s="507"/>
      <c r="P101" s="507"/>
      <c r="Q101" s="507"/>
      <c r="R101" s="653"/>
      <c r="S101" s="320"/>
      <c r="T101" s="6"/>
      <c r="U101" s="10"/>
      <c r="V101" s="6"/>
      <c r="W101" s="6"/>
      <c r="X101" s="648"/>
      <c r="Y101" s="320"/>
      <c r="Z101" s="6"/>
      <c r="AA101" s="10"/>
      <c r="AB101" s="6"/>
      <c r="AC101" s="6"/>
      <c r="AD101" s="648"/>
    </row>
    <row r="102" spans="1:30">
      <c r="A102" s="376">
        <v>95</v>
      </c>
      <c r="C102" s="353" t="s">
        <v>289</v>
      </c>
      <c r="D102" s="377"/>
      <c r="E102" s="376"/>
      <c r="F102" s="377"/>
      <c r="H102" s="6"/>
      <c r="I102" s="10"/>
      <c r="J102" s="6"/>
      <c r="K102" s="6"/>
      <c r="O102" s="507"/>
      <c r="P102" s="507"/>
      <c r="Q102" s="507"/>
      <c r="R102" s="653"/>
      <c r="S102" s="320"/>
      <c r="T102" s="6"/>
      <c r="U102" s="10"/>
      <c r="V102" s="6"/>
      <c r="W102" s="6"/>
      <c r="X102" s="648"/>
      <c r="Y102" s="320"/>
      <c r="Z102" s="6"/>
      <c r="AA102" s="10"/>
      <c r="AB102" s="6"/>
      <c r="AC102" s="6"/>
      <c r="AD102" s="648"/>
    </row>
    <row r="103" spans="1:30" ht="13.5">
      <c r="A103" s="376">
        <v>96</v>
      </c>
      <c r="B103" s="353"/>
      <c r="C103" s="354" t="s">
        <v>144</v>
      </c>
      <c r="D103" s="377"/>
      <c r="E103" s="376"/>
      <c r="F103" s="377"/>
      <c r="H103" s="6"/>
      <c r="I103" s="10"/>
      <c r="J103" s="6"/>
      <c r="K103" s="6"/>
      <c r="O103" s="507"/>
      <c r="P103" s="507"/>
      <c r="Q103" s="507"/>
      <c r="R103" s="653"/>
      <c r="S103" s="320"/>
      <c r="T103" s="6"/>
      <c r="U103" s="10"/>
      <c r="V103" s="6"/>
      <c r="W103" s="6"/>
      <c r="X103" s="648"/>
      <c r="Y103" s="320"/>
      <c r="Z103" s="6"/>
      <c r="AA103" s="10"/>
      <c r="AB103" s="6"/>
      <c r="AC103" s="6"/>
      <c r="AD103" s="648"/>
    </row>
    <row r="104" spans="1:30">
      <c r="A104" s="376">
        <v>97</v>
      </c>
      <c r="B104" s="376">
        <v>750</v>
      </c>
      <c r="C104" s="337" t="s">
        <v>290</v>
      </c>
      <c r="D104" s="377"/>
      <c r="E104" s="376" t="s">
        <v>291</v>
      </c>
      <c r="F104" s="377"/>
      <c r="G104" s="320">
        <f t="shared" ref="G104:G114" si="14">IF($AF$3=0,$S104,$Y104)</f>
        <v>0</v>
      </c>
      <c r="H104" s="6"/>
      <c r="I104" s="376" t="s">
        <v>291</v>
      </c>
      <c r="J104" s="6"/>
      <c r="K104" s="327">
        <f t="shared" ref="K104:K114" si="15">IF($AF$3=0,$W104,$AC104)</f>
        <v>0</v>
      </c>
      <c r="N104" s="508" t="str">
        <f t="shared" ref="N104:N113" si="16">IF(P104&lt;&gt;0,P104/K104," ")</f>
        <v xml:space="preserve"> </v>
      </c>
      <c r="O104" s="529"/>
      <c r="P104" s="530"/>
      <c r="Q104" s="507"/>
      <c r="R104" s="653"/>
      <c r="S104" s="320">
        <v>0</v>
      </c>
      <c r="T104" s="6"/>
      <c r="U104" s="376" t="s">
        <v>291</v>
      </c>
      <c r="V104" s="6"/>
      <c r="W104" s="327">
        <v>0</v>
      </c>
      <c r="X104" s="648"/>
      <c r="Y104" s="320">
        <v>0</v>
      </c>
      <c r="Z104" s="6"/>
      <c r="AA104" s="376" t="s">
        <v>291</v>
      </c>
      <c r="AB104" s="6"/>
      <c r="AC104" s="327">
        <v>0</v>
      </c>
      <c r="AD104" s="648"/>
    </row>
    <row r="105" spans="1:30">
      <c r="A105" s="376">
        <v>98</v>
      </c>
      <c r="B105" s="376">
        <v>752</v>
      </c>
      <c r="C105" s="337" t="s">
        <v>560</v>
      </c>
      <c r="D105" s="377"/>
      <c r="E105" s="376" t="s">
        <v>291</v>
      </c>
      <c r="F105" s="377"/>
      <c r="G105" s="112">
        <f t="shared" si="14"/>
        <v>0</v>
      </c>
      <c r="H105" s="6"/>
      <c r="I105" s="376" t="s">
        <v>291</v>
      </c>
      <c r="J105" s="6"/>
      <c r="K105" s="112">
        <f t="shared" si="15"/>
        <v>0</v>
      </c>
      <c r="N105" s="508" t="str">
        <f t="shared" si="16"/>
        <v xml:space="preserve"> </v>
      </c>
      <c r="O105" s="135"/>
      <c r="P105" s="531"/>
      <c r="Q105" s="507"/>
      <c r="R105" s="653"/>
      <c r="S105" s="112">
        <v>0</v>
      </c>
      <c r="T105" s="6"/>
      <c r="U105" s="376" t="s">
        <v>291</v>
      </c>
      <c r="V105" s="6"/>
      <c r="W105" s="112">
        <v>0</v>
      </c>
      <c r="X105" s="648"/>
      <c r="Y105" s="112">
        <v>0</v>
      </c>
      <c r="Z105" s="6"/>
      <c r="AA105" s="376" t="s">
        <v>291</v>
      </c>
      <c r="AB105" s="6"/>
      <c r="AC105" s="112">
        <v>0</v>
      </c>
      <c r="AD105" s="648"/>
    </row>
    <row r="106" spans="1:30">
      <c r="A106" s="376">
        <v>99</v>
      </c>
      <c r="B106" s="376">
        <v>753</v>
      </c>
      <c r="C106" s="337" t="s">
        <v>561</v>
      </c>
      <c r="D106" s="377"/>
      <c r="E106" s="376" t="s">
        <v>291</v>
      </c>
      <c r="F106" s="377"/>
      <c r="G106" s="112">
        <f t="shared" si="14"/>
        <v>0</v>
      </c>
      <c r="H106" s="6"/>
      <c r="I106" s="376" t="s">
        <v>291</v>
      </c>
      <c r="J106" s="6"/>
      <c r="K106" s="112">
        <f t="shared" si="15"/>
        <v>0</v>
      </c>
      <c r="N106" s="508" t="str">
        <f t="shared" si="16"/>
        <v xml:space="preserve"> </v>
      </c>
      <c r="O106" s="135"/>
      <c r="P106" s="531"/>
      <c r="Q106" s="507"/>
      <c r="R106" s="653"/>
      <c r="S106" s="112">
        <v>0</v>
      </c>
      <c r="T106" s="6"/>
      <c r="U106" s="376" t="s">
        <v>291</v>
      </c>
      <c r="V106" s="6"/>
      <c r="W106" s="112">
        <v>0</v>
      </c>
      <c r="X106" s="648"/>
      <c r="Y106" s="112">
        <v>0</v>
      </c>
      <c r="Z106" s="6"/>
      <c r="AA106" s="376" t="s">
        <v>291</v>
      </c>
      <c r="AB106" s="6"/>
      <c r="AC106" s="112">
        <v>0</v>
      </c>
      <c r="AD106" s="648"/>
    </row>
    <row r="107" spans="1:30">
      <c r="A107" s="376">
        <v>100</v>
      </c>
      <c r="B107" s="376">
        <v>754</v>
      </c>
      <c r="C107" s="337" t="s">
        <v>562</v>
      </c>
      <c r="D107" s="377"/>
      <c r="E107" s="376" t="s">
        <v>291</v>
      </c>
      <c r="F107" s="377"/>
      <c r="G107" s="112">
        <f t="shared" si="14"/>
        <v>0</v>
      </c>
      <c r="H107" s="6"/>
      <c r="I107" s="376" t="s">
        <v>291</v>
      </c>
      <c r="J107" s="6"/>
      <c r="K107" s="112">
        <f t="shared" si="15"/>
        <v>0</v>
      </c>
      <c r="N107" s="508" t="str">
        <f t="shared" si="16"/>
        <v xml:space="preserve"> </v>
      </c>
      <c r="O107" s="135"/>
      <c r="P107" s="531"/>
      <c r="Q107" s="507"/>
      <c r="R107" s="653"/>
      <c r="S107" s="112">
        <v>0</v>
      </c>
      <c r="T107" s="6"/>
      <c r="U107" s="376" t="s">
        <v>291</v>
      </c>
      <c r="V107" s="6"/>
      <c r="W107" s="112">
        <v>0</v>
      </c>
      <c r="X107" s="648"/>
      <c r="Y107" s="112">
        <v>0</v>
      </c>
      <c r="Z107" s="6"/>
      <c r="AA107" s="376" t="s">
        <v>291</v>
      </c>
      <c r="AB107" s="6"/>
      <c r="AC107" s="112">
        <v>0</v>
      </c>
      <c r="AD107" s="648"/>
    </row>
    <row r="108" spans="1:30">
      <c r="A108" s="376">
        <v>101</v>
      </c>
      <c r="B108" s="376">
        <v>755</v>
      </c>
      <c r="C108" s="337" t="s">
        <v>563</v>
      </c>
      <c r="D108" s="377"/>
      <c r="E108" s="376" t="s">
        <v>291</v>
      </c>
      <c r="F108" s="377"/>
      <c r="G108" s="112">
        <f t="shared" si="14"/>
        <v>0</v>
      </c>
      <c r="H108" s="6"/>
      <c r="I108" s="376" t="s">
        <v>291</v>
      </c>
      <c r="J108" s="6"/>
      <c r="K108" s="112">
        <f t="shared" si="15"/>
        <v>0</v>
      </c>
      <c r="N108" s="508" t="str">
        <f t="shared" si="16"/>
        <v xml:space="preserve"> </v>
      </c>
      <c r="O108" s="135"/>
      <c r="P108" s="531"/>
      <c r="Q108" s="507"/>
      <c r="R108" s="653"/>
      <c r="S108" s="112">
        <v>0</v>
      </c>
      <c r="T108" s="6"/>
      <c r="U108" s="376" t="s">
        <v>291</v>
      </c>
      <c r="V108" s="6"/>
      <c r="W108" s="112">
        <v>0</v>
      </c>
      <c r="X108" s="648"/>
      <c r="Y108" s="112">
        <v>0</v>
      </c>
      <c r="Z108" s="6"/>
      <c r="AA108" s="376" t="s">
        <v>291</v>
      </c>
      <c r="AB108" s="6"/>
      <c r="AC108" s="112">
        <v>0</v>
      </c>
      <c r="AD108" s="648"/>
    </row>
    <row r="109" spans="1:30">
      <c r="A109" s="376">
        <v>102</v>
      </c>
      <c r="B109" s="376">
        <v>756</v>
      </c>
      <c r="C109" s="337" t="s">
        <v>564</v>
      </c>
      <c r="D109" s="377"/>
      <c r="E109" s="376" t="s">
        <v>291</v>
      </c>
      <c r="F109" s="377"/>
      <c r="G109" s="112">
        <f t="shared" si="14"/>
        <v>0</v>
      </c>
      <c r="H109" s="6"/>
      <c r="I109" s="376" t="s">
        <v>291</v>
      </c>
      <c r="J109" s="6"/>
      <c r="K109" s="112">
        <f t="shared" si="15"/>
        <v>0</v>
      </c>
      <c r="N109" s="508" t="str">
        <f t="shared" si="16"/>
        <v xml:space="preserve"> </v>
      </c>
      <c r="O109" s="135"/>
      <c r="P109" s="531"/>
      <c r="Q109" s="507"/>
      <c r="R109" s="653"/>
      <c r="S109" s="112">
        <v>0</v>
      </c>
      <c r="T109" s="6"/>
      <c r="U109" s="376" t="s">
        <v>291</v>
      </c>
      <c r="V109" s="6"/>
      <c r="W109" s="112">
        <v>0</v>
      </c>
      <c r="X109" s="648"/>
      <c r="Y109" s="112">
        <v>0</v>
      </c>
      <c r="Z109" s="6"/>
      <c r="AA109" s="376" t="s">
        <v>291</v>
      </c>
      <c r="AB109" s="6"/>
      <c r="AC109" s="112">
        <v>0</v>
      </c>
      <c r="AD109" s="648"/>
    </row>
    <row r="110" spans="1:30">
      <c r="A110" s="376">
        <v>103</v>
      </c>
      <c r="B110" s="376">
        <v>757</v>
      </c>
      <c r="C110" s="337" t="s">
        <v>317</v>
      </c>
      <c r="D110" s="377"/>
      <c r="E110" s="376" t="s">
        <v>291</v>
      </c>
      <c r="F110" s="377"/>
      <c r="G110" s="112">
        <f t="shared" si="14"/>
        <v>0</v>
      </c>
      <c r="H110" s="6"/>
      <c r="I110" s="376" t="s">
        <v>291</v>
      </c>
      <c r="J110" s="6"/>
      <c r="K110" s="112">
        <f t="shared" si="15"/>
        <v>0</v>
      </c>
      <c r="N110" s="508" t="str">
        <f t="shared" si="16"/>
        <v xml:space="preserve"> </v>
      </c>
      <c r="O110" s="135"/>
      <c r="P110" s="531"/>
      <c r="Q110" s="507"/>
      <c r="R110" s="653"/>
      <c r="S110" s="112">
        <v>0</v>
      </c>
      <c r="T110" s="6"/>
      <c r="U110" s="376" t="s">
        <v>291</v>
      </c>
      <c r="V110" s="6"/>
      <c r="W110" s="112">
        <v>0</v>
      </c>
      <c r="X110" s="648"/>
      <c r="Y110" s="112">
        <v>0</v>
      </c>
      <c r="Z110" s="6"/>
      <c r="AA110" s="376" t="s">
        <v>291</v>
      </c>
      <c r="AB110" s="6"/>
      <c r="AC110" s="112">
        <v>0</v>
      </c>
      <c r="AD110" s="648"/>
    </row>
    <row r="111" spans="1:30">
      <c r="A111" s="376">
        <v>104</v>
      </c>
      <c r="B111" s="376">
        <v>758</v>
      </c>
      <c r="C111" s="337" t="s">
        <v>565</v>
      </c>
      <c r="D111" s="377"/>
      <c r="E111" s="376" t="s">
        <v>291</v>
      </c>
      <c r="F111" s="377"/>
      <c r="G111" s="112">
        <f t="shared" si="14"/>
        <v>0</v>
      </c>
      <c r="H111" s="6"/>
      <c r="I111" s="376" t="s">
        <v>291</v>
      </c>
      <c r="J111" s="6"/>
      <c r="K111" s="112">
        <f t="shared" si="15"/>
        <v>0</v>
      </c>
      <c r="N111" s="508" t="str">
        <f t="shared" si="16"/>
        <v xml:space="preserve"> </v>
      </c>
      <c r="O111" s="135"/>
      <c r="P111" s="531"/>
      <c r="Q111" s="507"/>
      <c r="R111" s="653"/>
      <c r="S111" s="112">
        <v>0</v>
      </c>
      <c r="T111" s="6"/>
      <c r="U111" s="376" t="s">
        <v>291</v>
      </c>
      <c r="V111" s="6"/>
      <c r="W111" s="112">
        <v>0</v>
      </c>
      <c r="X111" s="648"/>
      <c r="Y111" s="112">
        <v>0</v>
      </c>
      <c r="Z111" s="6"/>
      <c r="AA111" s="376" t="s">
        <v>291</v>
      </c>
      <c r="AB111" s="6"/>
      <c r="AC111" s="112">
        <v>0</v>
      </c>
      <c r="AD111" s="648"/>
    </row>
    <row r="112" spans="1:30">
      <c r="A112" s="376">
        <v>105</v>
      </c>
      <c r="B112" s="376">
        <v>759</v>
      </c>
      <c r="C112" s="337" t="s">
        <v>146</v>
      </c>
      <c r="D112" s="377"/>
      <c r="E112" s="376" t="s">
        <v>291</v>
      </c>
      <c r="F112" s="377"/>
      <c r="G112" s="112">
        <f t="shared" si="14"/>
        <v>0</v>
      </c>
      <c r="H112" s="6"/>
      <c r="I112" s="376" t="s">
        <v>291</v>
      </c>
      <c r="J112" s="6"/>
      <c r="K112" s="112">
        <f t="shared" si="15"/>
        <v>0</v>
      </c>
      <c r="N112" s="508" t="str">
        <f t="shared" si="16"/>
        <v xml:space="preserve"> </v>
      </c>
      <c r="O112" s="135"/>
      <c r="P112" s="531"/>
      <c r="Q112" s="507"/>
      <c r="R112" s="653"/>
      <c r="S112" s="112">
        <v>0</v>
      </c>
      <c r="T112" s="6"/>
      <c r="U112" s="376" t="s">
        <v>291</v>
      </c>
      <c r="V112" s="6"/>
      <c r="W112" s="112">
        <v>0</v>
      </c>
      <c r="X112" s="648"/>
      <c r="Y112" s="112">
        <v>0</v>
      </c>
      <c r="Z112" s="6"/>
      <c r="AA112" s="376" t="s">
        <v>291</v>
      </c>
      <c r="AB112" s="6"/>
      <c r="AC112" s="112">
        <v>0</v>
      </c>
      <c r="AD112" s="648"/>
    </row>
    <row r="113" spans="1:30">
      <c r="A113" s="376">
        <v>106</v>
      </c>
      <c r="B113" s="376">
        <v>760</v>
      </c>
      <c r="C113" s="337" t="s">
        <v>156</v>
      </c>
      <c r="D113" s="377"/>
      <c r="E113" s="376" t="s">
        <v>291</v>
      </c>
      <c r="F113" s="377"/>
      <c r="G113" s="322">
        <f t="shared" si="14"/>
        <v>0</v>
      </c>
      <c r="H113" s="6"/>
      <c r="I113" s="376" t="s">
        <v>291</v>
      </c>
      <c r="J113" s="6"/>
      <c r="K113" s="322">
        <f t="shared" si="15"/>
        <v>0</v>
      </c>
      <c r="N113" s="508" t="str">
        <f t="shared" si="16"/>
        <v xml:space="preserve"> </v>
      </c>
      <c r="O113" s="298"/>
      <c r="P113" s="532"/>
      <c r="Q113" s="507"/>
      <c r="R113" s="653"/>
      <c r="S113" s="322">
        <v>0</v>
      </c>
      <c r="T113" s="6"/>
      <c r="U113" s="376" t="s">
        <v>291</v>
      </c>
      <c r="V113" s="6"/>
      <c r="W113" s="322">
        <v>0</v>
      </c>
      <c r="X113" s="648"/>
      <c r="Y113" s="322">
        <v>0</v>
      </c>
      <c r="Z113" s="6"/>
      <c r="AA113" s="376" t="s">
        <v>291</v>
      </c>
      <c r="AB113" s="6"/>
      <c r="AC113" s="322">
        <v>0</v>
      </c>
      <c r="AD113" s="648"/>
    </row>
    <row r="114" spans="1:30">
      <c r="A114" s="376">
        <v>107</v>
      </c>
      <c r="B114" s="376"/>
      <c r="C114" s="353" t="s">
        <v>292</v>
      </c>
      <c r="D114" s="377"/>
      <c r="E114" s="376" t="s">
        <v>291</v>
      </c>
      <c r="F114" s="377"/>
      <c r="G114" s="320">
        <f t="shared" si="14"/>
        <v>0</v>
      </c>
      <c r="H114" s="6"/>
      <c r="I114" s="10" t="s">
        <v>291</v>
      </c>
      <c r="J114" s="6"/>
      <c r="K114" s="327">
        <f t="shared" si="15"/>
        <v>0</v>
      </c>
      <c r="O114" s="527">
        <f>SUM(O104:O113)</f>
        <v>0</v>
      </c>
      <c r="P114" s="527">
        <f>SUM(P104:P113)</f>
        <v>0</v>
      </c>
      <c r="Q114" s="507"/>
      <c r="R114" s="653"/>
      <c r="S114" s="320">
        <v>0</v>
      </c>
      <c r="T114" s="6"/>
      <c r="U114" s="10" t="s">
        <v>291</v>
      </c>
      <c r="V114" s="6"/>
      <c r="W114" s="327">
        <v>0</v>
      </c>
      <c r="X114" s="648"/>
      <c r="Y114" s="320">
        <v>0</v>
      </c>
      <c r="Z114" s="6"/>
      <c r="AA114" s="10" t="s">
        <v>291</v>
      </c>
      <c r="AB114" s="6"/>
      <c r="AC114" s="327">
        <v>0</v>
      </c>
      <c r="AD114" s="648"/>
    </row>
    <row r="115" spans="1:30">
      <c r="A115" s="376">
        <v>108</v>
      </c>
      <c r="B115" s="376"/>
      <c r="D115" s="377"/>
      <c r="E115" s="376"/>
      <c r="F115" s="377"/>
      <c r="H115" s="6"/>
      <c r="I115" s="10"/>
      <c r="J115" s="6"/>
      <c r="K115" s="6"/>
      <c r="O115" s="529"/>
      <c r="P115" s="529"/>
      <c r="Q115" s="507"/>
      <c r="R115" s="653"/>
      <c r="S115" s="320"/>
      <c r="T115" s="6"/>
      <c r="U115" s="10"/>
      <c r="V115" s="6"/>
      <c r="W115" s="6"/>
      <c r="X115" s="648"/>
      <c r="Y115" s="320"/>
      <c r="Z115" s="6"/>
      <c r="AA115" s="10"/>
      <c r="AB115" s="6"/>
      <c r="AC115" s="6"/>
      <c r="AD115" s="648"/>
    </row>
    <row r="116" spans="1:30">
      <c r="A116" s="376">
        <v>109</v>
      </c>
      <c r="B116" s="376"/>
      <c r="C116" s="355" t="s">
        <v>148</v>
      </c>
      <c r="D116" s="377"/>
      <c r="E116" s="376"/>
      <c r="F116" s="377"/>
      <c r="H116" s="6"/>
      <c r="I116" s="10"/>
      <c r="J116" s="6"/>
      <c r="K116" s="6"/>
      <c r="O116" s="529"/>
      <c r="P116" s="529"/>
      <c r="Q116" s="507"/>
      <c r="R116" s="653"/>
      <c r="S116" s="320"/>
      <c r="T116" s="6"/>
      <c r="U116" s="10"/>
      <c r="V116" s="6"/>
      <c r="W116" s="6"/>
      <c r="X116" s="648"/>
      <c r="Y116" s="320"/>
      <c r="Z116" s="6"/>
      <c r="AA116" s="10"/>
      <c r="AB116" s="6"/>
      <c r="AC116" s="6"/>
      <c r="AD116" s="648"/>
    </row>
    <row r="117" spans="1:30">
      <c r="A117" s="376">
        <v>110</v>
      </c>
      <c r="B117" s="376">
        <v>761</v>
      </c>
      <c r="C117" s="337" t="s">
        <v>293</v>
      </c>
      <c r="D117" s="377"/>
      <c r="E117" s="376" t="s">
        <v>291</v>
      </c>
      <c r="F117" s="377"/>
      <c r="G117" s="320">
        <f t="shared" ref="G117:G124" si="17">IF($AF$3=0,$S117,$Y117)</f>
        <v>0</v>
      </c>
      <c r="H117" s="6"/>
      <c r="I117" s="376" t="s">
        <v>291</v>
      </c>
      <c r="J117" s="6"/>
      <c r="K117" s="327">
        <f t="shared" ref="K117:K124" si="18">IF($AF$3=0,$W117,$AC117)</f>
        <v>0</v>
      </c>
      <c r="N117" s="508" t="str">
        <f t="shared" ref="N117:N123" si="19">IF(P117&lt;&gt;0,P117/K117," ")</f>
        <v xml:space="preserve"> </v>
      </c>
      <c r="O117" s="529"/>
      <c r="P117" s="530"/>
      <c r="Q117" s="507"/>
      <c r="R117" s="653"/>
      <c r="S117" s="320">
        <v>0</v>
      </c>
      <c r="T117" s="6"/>
      <c r="U117" s="376" t="s">
        <v>291</v>
      </c>
      <c r="V117" s="6"/>
      <c r="W117" s="327">
        <v>0</v>
      </c>
      <c r="X117" s="648"/>
      <c r="Y117" s="320">
        <v>0</v>
      </c>
      <c r="Z117" s="6"/>
      <c r="AA117" s="376" t="s">
        <v>291</v>
      </c>
      <c r="AB117" s="6"/>
      <c r="AC117" s="327">
        <v>0</v>
      </c>
      <c r="AD117" s="648"/>
    </row>
    <row r="118" spans="1:30">
      <c r="A118" s="376">
        <v>111</v>
      </c>
      <c r="B118" s="376">
        <v>762</v>
      </c>
      <c r="C118" s="337" t="s">
        <v>294</v>
      </c>
      <c r="D118" s="377"/>
      <c r="E118" s="376" t="s">
        <v>291</v>
      </c>
      <c r="F118" s="377"/>
      <c r="G118" s="112">
        <f t="shared" si="17"/>
        <v>0</v>
      </c>
      <c r="H118" s="6"/>
      <c r="I118" s="376" t="s">
        <v>291</v>
      </c>
      <c r="J118" s="6"/>
      <c r="K118" s="112">
        <f t="shared" si="18"/>
        <v>0</v>
      </c>
      <c r="N118" s="508" t="str">
        <f t="shared" si="19"/>
        <v xml:space="preserve"> </v>
      </c>
      <c r="O118" s="135"/>
      <c r="P118" s="531"/>
      <c r="Q118" s="507"/>
      <c r="R118" s="653"/>
      <c r="S118" s="112">
        <v>0</v>
      </c>
      <c r="T118" s="6"/>
      <c r="U118" s="376" t="s">
        <v>291</v>
      </c>
      <c r="V118" s="6"/>
      <c r="W118" s="112">
        <v>0</v>
      </c>
      <c r="X118" s="648"/>
      <c r="Y118" s="112">
        <v>0</v>
      </c>
      <c r="Z118" s="6"/>
      <c r="AA118" s="376" t="s">
        <v>291</v>
      </c>
      <c r="AB118" s="6"/>
      <c r="AC118" s="112">
        <v>0</v>
      </c>
      <c r="AD118" s="648"/>
    </row>
    <row r="119" spans="1:30">
      <c r="A119" s="376">
        <v>112</v>
      </c>
      <c r="B119" s="376">
        <v>763</v>
      </c>
      <c r="C119" s="337" t="s">
        <v>295</v>
      </c>
      <c r="D119" s="377"/>
      <c r="E119" s="376" t="s">
        <v>291</v>
      </c>
      <c r="F119" s="377"/>
      <c r="G119" s="112">
        <f t="shared" si="17"/>
        <v>0</v>
      </c>
      <c r="H119" s="6"/>
      <c r="I119" s="376" t="s">
        <v>291</v>
      </c>
      <c r="J119" s="6"/>
      <c r="K119" s="112">
        <f t="shared" si="18"/>
        <v>0</v>
      </c>
      <c r="N119" s="508" t="str">
        <f t="shared" si="19"/>
        <v xml:space="preserve"> </v>
      </c>
      <c r="O119" s="135"/>
      <c r="P119" s="531"/>
      <c r="Q119" s="507"/>
      <c r="R119" s="653"/>
      <c r="S119" s="112">
        <v>0</v>
      </c>
      <c r="T119" s="6"/>
      <c r="U119" s="376" t="s">
        <v>291</v>
      </c>
      <c r="V119" s="6"/>
      <c r="W119" s="112">
        <v>0</v>
      </c>
      <c r="X119" s="648"/>
      <c r="Y119" s="112">
        <v>0</v>
      </c>
      <c r="Z119" s="6"/>
      <c r="AA119" s="376" t="s">
        <v>291</v>
      </c>
      <c r="AB119" s="6"/>
      <c r="AC119" s="112">
        <v>0</v>
      </c>
      <c r="AD119" s="648"/>
    </row>
    <row r="120" spans="1:30">
      <c r="A120" s="376">
        <v>113</v>
      </c>
      <c r="B120" s="376">
        <v>764</v>
      </c>
      <c r="C120" s="337" t="s">
        <v>296</v>
      </c>
      <c r="D120" s="377"/>
      <c r="E120" s="376" t="s">
        <v>291</v>
      </c>
      <c r="F120" s="377"/>
      <c r="G120" s="112">
        <f t="shared" si="17"/>
        <v>0</v>
      </c>
      <c r="H120" s="6"/>
      <c r="I120" s="376" t="s">
        <v>291</v>
      </c>
      <c r="J120" s="6"/>
      <c r="K120" s="112">
        <f t="shared" si="18"/>
        <v>0</v>
      </c>
      <c r="N120" s="508" t="str">
        <f t="shared" si="19"/>
        <v xml:space="preserve"> </v>
      </c>
      <c r="O120" s="135"/>
      <c r="P120" s="531"/>
      <c r="Q120" s="507"/>
      <c r="R120" s="653"/>
      <c r="S120" s="112">
        <v>0</v>
      </c>
      <c r="T120" s="6"/>
      <c r="U120" s="376" t="s">
        <v>291</v>
      </c>
      <c r="V120" s="6"/>
      <c r="W120" s="112">
        <v>0</v>
      </c>
      <c r="X120" s="648"/>
      <c r="Y120" s="112">
        <v>0</v>
      </c>
      <c r="Z120" s="6"/>
      <c r="AA120" s="376" t="s">
        <v>291</v>
      </c>
      <c r="AB120" s="6"/>
      <c r="AC120" s="112">
        <v>0</v>
      </c>
      <c r="AD120" s="648"/>
    </row>
    <row r="121" spans="1:30">
      <c r="A121" s="376">
        <v>114</v>
      </c>
      <c r="B121" s="376">
        <v>765</v>
      </c>
      <c r="C121" s="337" t="s">
        <v>297</v>
      </c>
      <c r="D121" s="377"/>
      <c r="E121" s="376" t="s">
        <v>291</v>
      </c>
      <c r="F121" s="377"/>
      <c r="G121" s="112">
        <f t="shared" si="17"/>
        <v>0</v>
      </c>
      <c r="H121" s="6"/>
      <c r="I121" s="376" t="s">
        <v>291</v>
      </c>
      <c r="J121" s="6"/>
      <c r="K121" s="112">
        <f t="shared" si="18"/>
        <v>0</v>
      </c>
      <c r="N121" s="508" t="str">
        <f t="shared" si="19"/>
        <v xml:space="preserve"> </v>
      </c>
      <c r="O121" s="135"/>
      <c r="P121" s="531"/>
      <c r="Q121" s="507"/>
      <c r="R121" s="653"/>
      <c r="S121" s="112">
        <v>0</v>
      </c>
      <c r="T121" s="6"/>
      <c r="U121" s="376" t="s">
        <v>291</v>
      </c>
      <c r="V121" s="6"/>
      <c r="W121" s="112">
        <v>0</v>
      </c>
      <c r="X121" s="648"/>
      <c r="Y121" s="112">
        <v>0</v>
      </c>
      <c r="Z121" s="6"/>
      <c r="AA121" s="376" t="s">
        <v>291</v>
      </c>
      <c r="AB121" s="6"/>
      <c r="AC121" s="112">
        <v>0</v>
      </c>
      <c r="AD121" s="648"/>
    </row>
    <row r="122" spans="1:30">
      <c r="A122" s="376">
        <v>115</v>
      </c>
      <c r="B122" s="376">
        <v>766</v>
      </c>
      <c r="C122" s="337" t="s">
        <v>298</v>
      </c>
      <c r="D122" s="377"/>
      <c r="E122" s="376" t="s">
        <v>291</v>
      </c>
      <c r="F122" s="377"/>
      <c r="G122" s="112">
        <f t="shared" si="17"/>
        <v>0</v>
      </c>
      <c r="H122" s="6"/>
      <c r="I122" s="376" t="s">
        <v>291</v>
      </c>
      <c r="J122" s="6"/>
      <c r="K122" s="112">
        <f t="shared" si="18"/>
        <v>0</v>
      </c>
      <c r="N122" s="508" t="str">
        <f t="shared" si="19"/>
        <v xml:space="preserve"> </v>
      </c>
      <c r="O122" s="135"/>
      <c r="P122" s="531"/>
      <c r="Q122" s="507"/>
      <c r="R122" s="653"/>
      <c r="S122" s="112">
        <v>0</v>
      </c>
      <c r="T122" s="6"/>
      <c r="U122" s="376" t="s">
        <v>291</v>
      </c>
      <c r="V122" s="6"/>
      <c r="W122" s="112">
        <v>0</v>
      </c>
      <c r="X122" s="648"/>
      <c r="Y122" s="112">
        <v>0</v>
      </c>
      <c r="Z122" s="6"/>
      <c r="AA122" s="376" t="s">
        <v>291</v>
      </c>
      <c r="AB122" s="6"/>
      <c r="AC122" s="112">
        <v>0</v>
      </c>
      <c r="AD122" s="648"/>
    </row>
    <row r="123" spans="1:30">
      <c r="A123" s="376">
        <v>116</v>
      </c>
      <c r="B123" s="376">
        <v>767</v>
      </c>
      <c r="C123" s="337" t="s">
        <v>299</v>
      </c>
      <c r="D123" s="377"/>
      <c r="E123" s="376" t="s">
        <v>291</v>
      </c>
      <c r="F123" s="377"/>
      <c r="G123" s="322">
        <f t="shared" si="17"/>
        <v>0</v>
      </c>
      <c r="H123" s="6"/>
      <c r="I123" s="376" t="s">
        <v>291</v>
      </c>
      <c r="J123" s="6"/>
      <c r="K123" s="322">
        <f t="shared" si="18"/>
        <v>0</v>
      </c>
      <c r="N123" s="508" t="str">
        <f t="shared" si="19"/>
        <v xml:space="preserve"> </v>
      </c>
      <c r="O123" s="298"/>
      <c r="P123" s="532"/>
      <c r="Q123" s="507"/>
      <c r="R123" s="653"/>
      <c r="S123" s="322">
        <v>0</v>
      </c>
      <c r="T123" s="6"/>
      <c r="U123" s="376" t="s">
        <v>291</v>
      </c>
      <c r="V123" s="6"/>
      <c r="W123" s="322">
        <v>0</v>
      </c>
      <c r="X123" s="648"/>
      <c r="Y123" s="322">
        <v>0</v>
      </c>
      <c r="Z123" s="6"/>
      <c r="AA123" s="376" t="s">
        <v>291</v>
      </c>
      <c r="AB123" s="6"/>
      <c r="AC123" s="322">
        <v>0</v>
      </c>
      <c r="AD123" s="648"/>
    </row>
    <row r="124" spans="1:30">
      <c r="A124" s="376">
        <v>117</v>
      </c>
      <c r="B124" s="376"/>
      <c r="C124" s="355" t="s">
        <v>300</v>
      </c>
      <c r="D124" s="377"/>
      <c r="E124" s="376" t="s">
        <v>291</v>
      </c>
      <c r="F124" s="377"/>
      <c r="G124" s="320">
        <f t="shared" si="17"/>
        <v>0</v>
      </c>
      <c r="H124" s="6"/>
      <c r="I124" s="10" t="s">
        <v>291</v>
      </c>
      <c r="J124" s="6"/>
      <c r="K124" s="327">
        <f t="shared" si="18"/>
        <v>0</v>
      </c>
      <c r="O124" s="527">
        <f>SUM(O117:O123)</f>
        <v>0</v>
      </c>
      <c r="P124" s="527">
        <f>SUM(P117:P123)</f>
        <v>0</v>
      </c>
      <c r="Q124" s="507"/>
      <c r="R124" s="653"/>
      <c r="S124" s="320">
        <v>0</v>
      </c>
      <c r="T124" s="6"/>
      <c r="U124" s="10" t="s">
        <v>291</v>
      </c>
      <c r="V124" s="6"/>
      <c r="W124" s="327">
        <v>0</v>
      </c>
      <c r="X124" s="648"/>
      <c r="Y124" s="320">
        <v>0</v>
      </c>
      <c r="Z124" s="6"/>
      <c r="AA124" s="10" t="s">
        <v>291</v>
      </c>
      <c r="AB124" s="6"/>
      <c r="AC124" s="327">
        <v>0</v>
      </c>
      <c r="AD124" s="648"/>
    </row>
    <row r="125" spans="1:30">
      <c r="A125" s="376">
        <v>118</v>
      </c>
      <c r="B125" s="376"/>
      <c r="D125" s="377"/>
      <c r="E125" s="376"/>
      <c r="F125" s="377"/>
      <c r="H125" s="6"/>
      <c r="I125" s="10"/>
      <c r="J125" s="6"/>
      <c r="K125" s="6"/>
      <c r="O125" s="529"/>
      <c r="P125" s="529"/>
      <c r="Q125" s="507"/>
      <c r="R125" s="653"/>
      <c r="S125" s="320"/>
      <c r="T125" s="6"/>
      <c r="U125" s="10"/>
      <c r="V125" s="6"/>
      <c r="W125" s="6"/>
      <c r="X125" s="648"/>
      <c r="Y125" s="320"/>
      <c r="Z125" s="6"/>
      <c r="AA125" s="10"/>
      <c r="AB125" s="6"/>
      <c r="AC125" s="6"/>
      <c r="AD125" s="648"/>
    </row>
    <row r="126" spans="1:30">
      <c r="A126" s="376">
        <v>119</v>
      </c>
      <c r="B126" s="376"/>
      <c r="C126" s="353" t="s">
        <v>301</v>
      </c>
      <c r="D126" s="377"/>
      <c r="E126" s="376"/>
      <c r="F126" s="377"/>
      <c r="G126" s="323"/>
      <c r="H126" s="6"/>
      <c r="I126" s="10"/>
      <c r="J126" s="6"/>
      <c r="K126" s="11"/>
      <c r="O126" s="525"/>
      <c r="P126" s="525"/>
      <c r="Q126" s="507"/>
      <c r="R126" s="653"/>
      <c r="S126" s="323"/>
      <c r="T126" s="6"/>
      <c r="U126" s="10"/>
      <c r="V126" s="6"/>
      <c r="W126" s="11"/>
      <c r="X126" s="648"/>
      <c r="Y126" s="323"/>
      <c r="Z126" s="6"/>
      <c r="AA126" s="10"/>
      <c r="AB126" s="6"/>
      <c r="AC126" s="11"/>
      <c r="AD126" s="648"/>
    </row>
    <row r="127" spans="1:30" ht="13.5">
      <c r="A127" s="376">
        <v>120</v>
      </c>
      <c r="B127" s="376"/>
      <c r="C127" s="354" t="s">
        <v>302</v>
      </c>
      <c r="D127" s="377"/>
      <c r="E127" s="376"/>
      <c r="F127" s="377"/>
      <c r="G127" s="323"/>
      <c r="H127" s="6"/>
      <c r="I127" s="10"/>
      <c r="J127" s="6"/>
      <c r="K127" s="11"/>
      <c r="O127" s="525"/>
      <c r="P127" s="525"/>
      <c r="Q127" s="507"/>
      <c r="R127" s="653"/>
      <c r="S127" s="323"/>
      <c r="T127" s="6"/>
      <c r="U127" s="10"/>
      <c r="V127" s="6"/>
      <c r="W127" s="11"/>
      <c r="X127" s="648"/>
      <c r="Y127" s="323"/>
      <c r="Z127" s="6"/>
      <c r="AA127" s="10"/>
      <c r="AB127" s="6"/>
      <c r="AC127" s="11"/>
      <c r="AD127" s="648"/>
    </row>
    <row r="128" spans="1:30">
      <c r="A128" s="376">
        <v>121</v>
      </c>
      <c r="B128" s="16">
        <v>804</v>
      </c>
      <c r="C128" s="356" t="s">
        <v>303</v>
      </c>
      <c r="D128" s="377"/>
      <c r="E128" s="376" t="s">
        <v>291</v>
      </c>
      <c r="F128" s="377"/>
      <c r="G128" s="320">
        <f t="shared" ref="G128:G137" si="20">IF($AF$3=0,$S128,$Y128)</f>
        <v>70953809.859999999</v>
      </c>
      <c r="H128" s="6"/>
      <c r="I128" s="376" t="s">
        <v>291</v>
      </c>
      <c r="J128" s="6"/>
      <c r="K128" s="327">
        <f t="shared" ref="K128:K137" si="21">IF($AF$3=0,$W128,$AC128)</f>
        <v>0</v>
      </c>
      <c r="N128" s="508" t="str">
        <f t="shared" ref="N128:N136" si="22">IF(P128&lt;&gt;0,P128/K128," ")</f>
        <v xml:space="preserve"> </v>
      </c>
      <c r="O128" s="529"/>
      <c r="P128" s="530"/>
      <c r="Q128" s="507"/>
      <c r="R128" s="653"/>
      <c r="S128" s="320">
        <v>70953809.859999999</v>
      </c>
      <c r="T128" s="6"/>
      <c r="U128" s="376" t="s">
        <v>291</v>
      </c>
      <c r="V128" s="6"/>
      <c r="W128" s="327">
        <v>0</v>
      </c>
      <c r="X128" s="648"/>
      <c r="Y128" s="320">
        <v>70953809.859999999</v>
      </c>
      <c r="Z128" s="6"/>
      <c r="AA128" s="376" t="s">
        <v>291</v>
      </c>
      <c r="AB128" s="6"/>
      <c r="AC128" s="327">
        <v>0</v>
      </c>
      <c r="AD128" s="648"/>
    </row>
    <row r="129" spans="1:30">
      <c r="A129" s="376">
        <v>122</v>
      </c>
      <c r="B129" s="16">
        <v>805</v>
      </c>
      <c r="C129" s="356" t="s">
        <v>304</v>
      </c>
      <c r="D129" s="377"/>
      <c r="E129" s="376" t="s">
        <v>291</v>
      </c>
      <c r="F129" s="377"/>
      <c r="G129" s="112">
        <f t="shared" si="20"/>
        <v>-2419037.3400000003</v>
      </c>
      <c r="H129" s="6"/>
      <c r="I129" s="381" t="s">
        <v>291</v>
      </c>
      <c r="J129" s="6"/>
      <c r="K129" s="324">
        <f t="shared" si="21"/>
        <v>0</v>
      </c>
      <c r="N129" s="508" t="str">
        <f t="shared" si="22"/>
        <v xml:space="preserve"> </v>
      </c>
      <c r="O129" s="135"/>
      <c r="P129" s="531"/>
      <c r="Q129" s="507"/>
      <c r="R129" s="653"/>
      <c r="S129" s="112">
        <v>-2419037.3400000003</v>
      </c>
      <c r="T129" s="6"/>
      <c r="U129" s="381" t="s">
        <v>291</v>
      </c>
      <c r="V129" s="6"/>
      <c r="W129" s="324">
        <v>0</v>
      </c>
      <c r="X129" s="648"/>
      <c r="Y129" s="112">
        <v>-2419037.3400000003</v>
      </c>
      <c r="Z129" s="6"/>
      <c r="AA129" s="381" t="s">
        <v>291</v>
      </c>
      <c r="AB129" s="6"/>
      <c r="AC129" s="324">
        <v>0</v>
      </c>
      <c r="AD129" s="648"/>
    </row>
    <row r="130" spans="1:30">
      <c r="A130" s="376">
        <v>123</v>
      </c>
      <c r="B130" s="16">
        <v>805.1</v>
      </c>
      <c r="C130" s="356" t="s">
        <v>305</v>
      </c>
      <c r="D130" s="377"/>
      <c r="E130" s="376" t="s">
        <v>291</v>
      </c>
      <c r="F130" s="377"/>
      <c r="G130" s="112">
        <f t="shared" si="20"/>
        <v>5499379.8300000001</v>
      </c>
      <c r="H130" s="6"/>
      <c r="I130" s="381" t="s">
        <v>291</v>
      </c>
      <c r="J130" s="6"/>
      <c r="K130" s="324">
        <f t="shared" si="21"/>
        <v>0</v>
      </c>
      <c r="N130" s="508" t="str">
        <f t="shared" si="22"/>
        <v xml:space="preserve"> </v>
      </c>
      <c r="O130" s="135"/>
      <c r="P130" s="531"/>
      <c r="Q130" s="507"/>
      <c r="R130" s="653"/>
      <c r="S130" s="112">
        <v>5499379.8300000001</v>
      </c>
      <c r="T130" s="6"/>
      <c r="U130" s="381" t="s">
        <v>291</v>
      </c>
      <c r="V130" s="6"/>
      <c r="W130" s="324">
        <v>0</v>
      </c>
      <c r="X130" s="648"/>
      <c r="Y130" s="112">
        <v>5499379.8300000001</v>
      </c>
      <c r="Z130" s="6"/>
      <c r="AA130" s="381" t="s">
        <v>291</v>
      </c>
      <c r="AB130" s="6"/>
      <c r="AC130" s="324">
        <v>0</v>
      </c>
      <c r="AD130" s="648"/>
    </row>
    <row r="131" spans="1:30">
      <c r="A131" s="376">
        <v>124</v>
      </c>
      <c r="B131" s="16">
        <v>806</v>
      </c>
      <c r="C131" s="356" t="s">
        <v>306</v>
      </c>
      <c r="D131" s="377"/>
      <c r="E131" s="376" t="s">
        <v>291</v>
      </c>
      <c r="F131" s="377"/>
      <c r="G131" s="112">
        <f t="shared" si="20"/>
        <v>0</v>
      </c>
      <c r="H131" s="6"/>
      <c r="I131" s="381" t="s">
        <v>291</v>
      </c>
      <c r="J131" s="6"/>
      <c r="K131" s="324">
        <f t="shared" si="21"/>
        <v>0</v>
      </c>
      <c r="N131" s="508" t="str">
        <f t="shared" si="22"/>
        <v xml:space="preserve"> </v>
      </c>
      <c r="O131" s="135"/>
      <c r="P131" s="531"/>
      <c r="Q131" s="507"/>
      <c r="R131" s="653"/>
      <c r="S131" s="112">
        <v>0</v>
      </c>
      <c r="T131" s="6"/>
      <c r="U131" s="381" t="s">
        <v>291</v>
      </c>
      <c r="V131" s="6"/>
      <c r="W131" s="324">
        <v>0</v>
      </c>
      <c r="X131" s="648"/>
      <c r="Y131" s="112">
        <v>0</v>
      </c>
      <c r="Z131" s="6"/>
      <c r="AA131" s="381" t="s">
        <v>291</v>
      </c>
      <c r="AB131" s="6"/>
      <c r="AC131" s="324">
        <v>0</v>
      </c>
      <c r="AD131" s="648"/>
    </row>
    <row r="132" spans="1:30">
      <c r="A132" s="376">
        <v>125</v>
      </c>
      <c r="B132" s="16">
        <v>808</v>
      </c>
      <c r="C132" s="17" t="s">
        <v>307</v>
      </c>
      <c r="D132" s="377"/>
      <c r="E132" s="376" t="s">
        <v>291</v>
      </c>
      <c r="F132" s="377"/>
      <c r="G132" s="112">
        <f t="shared" si="20"/>
        <v>0</v>
      </c>
      <c r="H132" s="6"/>
      <c r="I132" s="381" t="s">
        <v>291</v>
      </c>
      <c r="J132" s="6"/>
      <c r="K132" s="324">
        <f t="shared" si="21"/>
        <v>0</v>
      </c>
      <c r="N132" s="508" t="str">
        <f t="shared" si="22"/>
        <v xml:space="preserve"> </v>
      </c>
      <c r="O132" s="135"/>
      <c r="P132" s="531"/>
      <c r="Q132" s="507"/>
      <c r="R132" s="653"/>
      <c r="S132" s="112">
        <v>0</v>
      </c>
      <c r="T132" s="6"/>
      <c r="U132" s="381" t="s">
        <v>291</v>
      </c>
      <c r="V132" s="6"/>
      <c r="W132" s="324">
        <v>0</v>
      </c>
      <c r="X132" s="648"/>
      <c r="Y132" s="112">
        <v>0</v>
      </c>
      <c r="Z132" s="6"/>
      <c r="AA132" s="381" t="s">
        <v>291</v>
      </c>
      <c r="AB132" s="6"/>
      <c r="AC132" s="324">
        <v>0</v>
      </c>
      <c r="AD132" s="648"/>
    </row>
    <row r="133" spans="1:30">
      <c r="A133" s="376">
        <v>126</v>
      </c>
      <c r="B133" s="16">
        <v>808.1</v>
      </c>
      <c r="C133" s="356" t="s">
        <v>308</v>
      </c>
      <c r="D133" s="377"/>
      <c r="E133" s="376" t="s">
        <v>291</v>
      </c>
      <c r="F133" s="377"/>
      <c r="G133" s="112">
        <f t="shared" si="20"/>
        <v>10881933.35</v>
      </c>
      <c r="H133" s="6"/>
      <c r="I133" s="381" t="s">
        <v>291</v>
      </c>
      <c r="J133" s="6"/>
      <c r="K133" s="324">
        <f t="shared" si="21"/>
        <v>0</v>
      </c>
      <c r="N133" s="508" t="str">
        <f t="shared" si="22"/>
        <v xml:space="preserve"> </v>
      </c>
      <c r="O133" s="135"/>
      <c r="P133" s="531"/>
      <c r="Q133" s="507"/>
      <c r="R133" s="653"/>
      <c r="S133" s="112">
        <v>10881933.35</v>
      </c>
      <c r="T133" s="6"/>
      <c r="U133" s="381" t="s">
        <v>291</v>
      </c>
      <c r="V133" s="6"/>
      <c r="W133" s="324">
        <v>0</v>
      </c>
      <c r="X133" s="648"/>
      <c r="Y133" s="112">
        <v>10881933.35</v>
      </c>
      <c r="Z133" s="6"/>
      <c r="AA133" s="381" t="s">
        <v>291</v>
      </c>
      <c r="AB133" s="6"/>
      <c r="AC133" s="324">
        <v>0</v>
      </c>
      <c r="AD133" s="648"/>
    </row>
    <row r="134" spans="1:30">
      <c r="A134" s="376">
        <v>127</v>
      </c>
      <c r="B134" s="16">
        <v>808.2</v>
      </c>
      <c r="C134" s="356" t="s">
        <v>309</v>
      </c>
      <c r="D134" s="377"/>
      <c r="E134" s="376" t="s">
        <v>291</v>
      </c>
      <c r="F134" s="377"/>
      <c r="G134" s="112">
        <f t="shared" si="20"/>
        <v>-9373034.5299999975</v>
      </c>
      <c r="H134" s="6"/>
      <c r="I134" s="381" t="s">
        <v>291</v>
      </c>
      <c r="J134" s="6"/>
      <c r="K134" s="324">
        <f t="shared" si="21"/>
        <v>0</v>
      </c>
      <c r="N134" s="508" t="str">
        <f t="shared" si="22"/>
        <v xml:space="preserve"> </v>
      </c>
      <c r="O134" s="135"/>
      <c r="P134" s="531"/>
      <c r="Q134" s="507"/>
      <c r="R134" s="653"/>
      <c r="S134" s="112">
        <v>-9373034.5299999975</v>
      </c>
      <c r="T134" s="6"/>
      <c r="U134" s="381" t="s">
        <v>291</v>
      </c>
      <c r="V134" s="6"/>
      <c r="W134" s="324">
        <v>0</v>
      </c>
      <c r="X134" s="648"/>
      <c r="Y134" s="112">
        <v>-9373034.5299999975</v>
      </c>
      <c r="Z134" s="6"/>
      <c r="AA134" s="381" t="s">
        <v>291</v>
      </c>
      <c r="AB134" s="6"/>
      <c r="AC134" s="324">
        <v>0</v>
      </c>
      <c r="AD134" s="648"/>
    </row>
    <row r="135" spans="1:30">
      <c r="A135" s="376">
        <v>128</v>
      </c>
      <c r="B135" s="16">
        <v>812</v>
      </c>
      <c r="C135" s="356" t="s">
        <v>310</v>
      </c>
      <c r="D135" s="377"/>
      <c r="E135" s="376" t="s">
        <v>291</v>
      </c>
      <c r="F135" s="377"/>
      <c r="G135" s="112">
        <f t="shared" si="20"/>
        <v>-17200.079999999998</v>
      </c>
      <c r="H135" s="6"/>
      <c r="I135" s="381" t="s">
        <v>291</v>
      </c>
      <c r="J135" s="6"/>
      <c r="K135" s="324">
        <f t="shared" si="21"/>
        <v>0</v>
      </c>
      <c r="N135" s="508" t="str">
        <f t="shared" si="22"/>
        <v xml:space="preserve"> </v>
      </c>
      <c r="O135" s="135"/>
      <c r="P135" s="531"/>
      <c r="Q135" s="507"/>
      <c r="R135" s="653"/>
      <c r="S135" s="112">
        <v>-17200.079999999998</v>
      </c>
      <c r="T135" s="6"/>
      <c r="U135" s="381" t="s">
        <v>291</v>
      </c>
      <c r="V135" s="6"/>
      <c r="W135" s="324">
        <v>0</v>
      </c>
      <c r="X135" s="648"/>
      <c r="Y135" s="112">
        <v>-17200.079999999998</v>
      </c>
      <c r="Z135" s="6"/>
      <c r="AA135" s="381" t="s">
        <v>291</v>
      </c>
      <c r="AB135" s="6"/>
      <c r="AC135" s="324">
        <v>0</v>
      </c>
      <c r="AD135" s="648"/>
    </row>
    <row r="136" spans="1:30">
      <c r="A136" s="376">
        <v>129</v>
      </c>
      <c r="B136" s="16">
        <v>813</v>
      </c>
      <c r="C136" s="356" t="s">
        <v>301</v>
      </c>
      <c r="D136" s="377"/>
      <c r="E136" s="376" t="s">
        <v>291</v>
      </c>
      <c r="F136" s="377"/>
      <c r="G136" s="322">
        <f t="shared" si="20"/>
        <v>0</v>
      </c>
      <c r="H136" s="6"/>
      <c r="I136" s="381" t="s">
        <v>291</v>
      </c>
      <c r="J136" s="6"/>
      <c r="K136" s="324">
        <f t="shared" si="21"/>
        <v>0</v>
      </c>
      <c r="N136" s="508" t="str">
        <f t="shared" si="22"/>
        <v xml:space="preserve"> </v>
      </c>
      <c r="O136" s="298"/>
      <c r="P136" s="532"/>
      <c r="Q136" s="507"/>
      <c r="R136" s="653"/>
      <c r="S136" s="322">
        <v>0</v>
      </c>
      <c r="T136" s="6"/>
      <c r="U136" s="381" t="s">
        <v>291</v>
      </c>
      <c r="V136" s="6"/>
      <c r="W136" s="324">
        <v>0</v>
      </c>
      <c r="X136" s="648"/>
      <c r="Y136" s="322">
        <v>0</v>
      </c>
      <c r="Z136" s="6"/>
      <c r="AA136" s="381" t="s">
        <v>291</v>
      </c>
      <c r="AB136" s="6"/>
      <c r="AC136" s="324">
        <v>0</v>
      </c>
      <c r="AD136" s="648"/>
    </row>
    <row r="137" spans="1:30">
      <c r="A137" s="376">
        <v>130</v>
      </c>
      <c r="B137" s="16"/>
      <c r="C137" s="353" t="s">
        <v>311</v>
      </c>
      <c r="D137" s="377"/>
      <c r="E137" s="376"/>
      <c r="F137" s="377"/>
      <c r="G137" s="328">
        <f t="shared" si="20"/>
        <v>75525851.089999989</v>
      </c>
      <c r="H137" s="6"/>
      <c r="I137" s="10"/>
      <c r="J137" s="6"/>
      <c r="K137" s="328">
        <f t="shared" si="21"/>
        <v>0</v>
      </c>
      <c r="O137" s="527">
        <f>SUM(O128:O136)</f>
        <v>0</v>
      </c>
      <c r="P137" s="527">
        <f>SUM(P128:P136)</f>
        <v>0</v>
      </c>
      <c r="Q137" s="507"/>
      <c r="R137" s="653"/>
      <c r="S137" s="328">
        <v>75525851.089999989</v>
      </c>
      <c r="T137" s="6"/>
      <c r="U137" s="10"/>
      <c r="V137" s="6"/>
      <c r="W137" s="328">
        <v>0</v>
      </c>
      <c r="X137" s="648"/>
      <c r="Y137" s="328">
        <v>75525851.089999989</v>
      </c>
      <c r="Z137" s="6"/>
      <c r="AA137" s="10"/>
      <c r="AB137" s="6"/>
      <c r="AC137" s="328">
        <v>0</v>
      </c>
      <c r="AD137" s="648"/>
    </row>
    <row r="138" spans="1:30">
      <c r="A138" s="376">
        <v>131</v>
      </c>
      <c r="B138" s="16"/>
      <c r="C138" s="353"/>
      <c r="D138" s="377"/>
      <c r="E138" s="376"/>
      <c r="F138" s="377"/>
      <c r="G138" s="323"/>
      <c r="H138" s="6"/>
      <c r="I138" s="10"/>
      <c r="J138" s="6"/>
      <c r="K138" s="329"/>
      <c r="O138" s="525"/>
      <c r="P138" s="525"/>
      <c r="Q138" s="507"/>
      <c r="R138" s="653"/>
      <c r="S138" s="323"/>
      <c r="T138" s="6"/>
      <c r="U138" s="10"/>
      <c r="V138" s="6"/>
      <c r="W138" s="329"/>
      <c r="X138" s="648"/>
      <c r="Y138" s="323"/>
      <c r="Z138" s="6"/>
      <c r="AA138" s="10"/>
      <c r="AB138" s="6"/>
      <c r="AC138" s="329"/>
      <c r="AD138" s="648"/>
    </row>
    <row r="139" spans="1:30">
      <c r="A139" s="376">
        <v>132</v>
      </c>
      <c r="C139" s="355" t="s">
        <v>312</v>
      </c>
      <c r="D139" s="377"/>
      <c r="E139" s="376"/>
      <c r="F139" s="377"/>
      <c r="G139" s="323"/>
      <c r="H139" s="6"/>
      <c r="I139" s="10"/>
      <c r="J139" s="6"/>
      <c r="K139" s="329"/>
      <c r="O139" s="525"/>
      <c r="P139" s="525"/>
      <c r="Q139" s="507"/>
      <c r="R139" s="653"/>
      <c r="S139" s="323"/>
      <c r="T139" s="6"/>
      <c r="U139" s="10"/>
      <c r="V139" s="6"/>
      <c r="W139" s="329"/>
      <c r="X139" s="648"/>
      <c r="Y139" s="323"/>
      <c r="Z139" s="6"/>
      <c r="AA139" s="10"/>
      <c r="AB139" s="6"/>
      <c r="AC139" s="329"/>
      <c r="AD139" s="648"/>
    </row>
    <row r="140" spans="1:30" ht="13.5">
      <c r="A140" s="376">
        <v>133</v>
      </c>
      <c r="B140" s="355"/>
      <c r="C140" s="357" t="s">
        <v>144</v>
      </c>
      <c r="D140" s="377"/>
      <c r="E140" s="376"/>
      <c r="F140" s="377"/>
      <c r="G140" s="323"/>
      <c r="H140" s="6"/>
      <c r="I140" s="10"/>
      <c r="J140" s="6"/>
      <c r="K140" s="329"/>
      <c r="O140" s="525"/>
      <c r="P140" s="525"/>
      <c r="Q140" s="507"/>
      <c r="R140" s="653"/>
      <c r="S140" s="323"/>
      <c r="T140" s="6"/>
      <c r="U140" s="10"/>
      <c r="V140" s="6"/>
      <c r="W140" s="329"/>
      <c r="X140" s="648"/>
      <c r="Y140" s="323"/>
      <c r="Z140" s="6"/>
      <c r="AA140" s="10"/>
      <c r="AB140" s="6"/>
      <c r="AC140" s="329"/>
      <c r="AD140" s="648"/>
    </row>
    <row r="141" spans="1:30">
      <c r="A141" s="376">
        <v>134</v>
      </c>
      <c r="B141" s="16">
        <v>814</v>
      </c>
      <c r="C141" s="17" t="s">
        <v>290</v>
      </c>
      <c r="D141" s="377"/>
      <c r="E141" s="376" t="s">
        <v>291</v>
      </c>
      <c r="F141" s="377"/>
      <c r="G141" s="320">
        <f t="shared" ref="G141:G150" si="23">IF($AF$3=0,$S141,$Y141)</f>
        <v>0</v>
      </c>
      <c r="H141" s="6"/>
      <c r="I141" s="376" t="s">
        <v>291</v>
      </c>
      <c r="J141" s="6"/>
      <c r="K141" s="320">
        <f t="shared" ref="K141:K150" si="24">IF($AF$3=0,$W141,$AC141)</f>
        <v>0</v>
      </c>
      <c r="N141" s="337" t="str">
        <f t="shared" ref="N141:N149" si="25">IF(P141&lt;&gt;0,P141/K141," ")</f>
        <v xml:space="preserve"> </v>
      </c>
      <c r="O141" s="529"/>
      <c r="P141" s="530"/>
      <c r="Q141" s="507"/>
      <c r="R141" s="653"/>
      <c r="S141" s="320">
        <v>0</v>
      </c>
      <c r="T141" s="6"/>
      <c r="U141" s="376" t="s">
        <v>291</v>
      </c>
      <c r="V141" s="6"/>
      <c r="W141" s="320">
        <v>0</v>
      </c>
      <c r="X141" s="648"/>
      <c r="Y141" s="320">
        <v>0</v>
      </c>
      <c r="Z141" s="6"/>
      <c r="AA141" s="376" t="s">
        <v>291</v>
      </c>
      <c r="AB141" s="6"/>
      <c r="AC141" s="320">
        <v>0</v>
      </c>
      <c r="AD141" s="648"/>
    </row>
    <row r="142" spans="1:30">
      <c r="A142" s="376">
        <v>135</v>
      </c>
      <c r="B142" s="16">
        <v>816</v>
      </c>
      <c r="C142" s="17" t="s">
        <v>313</v>
      </c>
      <c r="D142" s="377"/>
      <c r="E142" s="376" t="s">
        <v>291</v>
      </c>
      <c r="F142" s="377"/>
      <c r="G142" s="112">
        <f t="shared" si="23"/>
        <v>0</v>
      </c>
      <c r="H142" s="6"/>
      <c r="I142" s="376" t="s">
        <v>291</v>
      </c>
      <c r="J142" s="6"/>
      <c r="K142" s="324">
        <f t="shared" si="24"/>
        <v>0</v>
      </c>
      <c r="N142" s="337" t="str">
        <f t="shared" si="25"/>
        <v xml:space="preserve"> </v>
      </c>
      <c r="O142" s="135"/>
      <c r="P142" s="531"/>
      <c r="Q142" s="507"/>
      <c r="R142" s="653"/>
      <c r="S142" s="112">
        <v>0</v>
      </c>
      <c r="T142" s="6"/>
      <c r="U142" s="376" t="s">
        <v>291</v>
      </c>
      <c r="V142" s="6"/>
      <c r="W142" s="324">
        <v>0</v>
      </c>
      <c r="X142" s="648"/>
      <c r="Y142" s="112">
        <v>0</v>
      </c>
      <c r="Z142" s="6"/>
      <c r="AA142" s="376" t="s">
        <v>291</v>
      </c>
      <c r="AB142" s="6"/>
      <c r="AC142" s="324">
        <v>0</v>
      </c>
      <c r="AD142" s="648"/>
    </row>
    <row r="143" spans="1:30">
      <c r="A143" s="376">
        <v>136</v>
      </c>
      <c r="B143" s="16">
        <v>817</v>
      </c>
      <c r="C143" s="17" t="s">
        <v>314</v>
      </c>
      <c r="D143" s="377"/>
      <c r="E143" s="376" t="s">
        <v>291</v>
      </c>
      <c r="F143" s="377"/>
      <c r="G143" s="112">
        <f t="shared" si="23"/>
        <v>0</v>
      </c>
      <c r="H143" s="6"/>
      <c r="I143" s="376" t="s">
        <v>291</v>
      </c>
      <c r="J143" s="6"/>
      <c r="K143" s="324">
        <f t="shared" si="24"/>
        <v>0</v>
      </c>
      <c r="N143" s="337" t="str">
        <f t="shared" si="25"/>
        <v xml:space="preserve"> </v>
      </c>
      <c r="O143" s="135"/>
      <c r="P143" s="531"/>
      <c r="Q143" s="507"/>
      <c r="R143" s="653"/>
      <c r="S143" s="112">
        <v>0</v>
      </c>
      <c r="T143" s="6"/>
      <c r="U143" s="376" t="s">
        <v>291</v>
      </c>
      <c r="V143" s="6"/>
      <c r="W143" s="324">
        <v>0</v>
      </c>
      <c r="X143" s="648"/>
      <c r="Y143" s="112">
        <v>0</v>
      </c>
      <c r="Z143" s="6"/>
      <c r="AA143" s="376" t="s">
        <v>291</v>
      </c>
      <c r="AB143" s="6"/>
      <c r="AC143" s="324">
        <v>0</v>
      </c>
      <c r="AD143" s="648"/>
    </row>
    <row r="144" spans="1:30">
      <c r="A144" s="376">
        <v>137</v>
      </c>
      <c r="B144" s="16">
        <v>818</v>
      </c>
      <c r="C144" s="17" t="s">
        <v>315</v>
      </c>
      <c r="D144" s="377"/>
      <c r="E144" s="376" t="s">
        <v>291</v>
      </c>
      <c r="F144" s="377"/>
      <c r="G144" s="112">
        <f t="shared" si="23"/>
        <v>0</v>
      </c>
      <c r="H144" s="6"/>
      <c r="I144" s="376" t="s">
        <v>291</v>
      </c>
      <c r="J144" s="6"/>
      <c r="K144" s="324">
        <f t="shared" si="24"/>
        <v>0</v>
      </c>
      <c r="N144" s="337" t="str">
        <f t="shared" si="25"/>
        <v xml:space="preserve"> </v>
      </c>
      <c r="O144" s="135"/>
      <c r="P144" s="531"/>
      <c r="Q144" s="507"/>
      <c r="R144" s="653"/>
      <c r="S144" s="112">
        <v>0</v>
      </c>
      <c r="T144" s="6"/>
      <c r="U144" s="376" t="s">
        <v>291</v>
      </c>
      <c r="V144" s="6"/>
      <c r="W144" s="324">
        <v>0</v>
      </c>
      <c r="X144" s="648"/>
      <c r="Y144" s="112">
        <v>0</v>
      </c>
      <c r="Z144" s="6"/>
      <c r="AA144" s="376" t="s">
        <v>291</v>
      </c>
      <c r="AB144" s="6"/>
      <c r="AC144" s="324">
        <v>0</v>
      </c>
      <c r="AD144" s="648"/>
    </row>
    <row r="145" spans="1:30">
      <c r="A145" s="376">
        <v>138</v>
      </c>
      <c r="B145" s="16">
        <v>819</v>
      </c>
      <c r="C145" s="17" t="s">
        <v>316</v>
      </c>
      <c r="D145" s="377"/>
      <c r="E145" s="376" t="s">
        <v>291</v>
      </c>
      <c r="F145" s="377"/>
      <c r="G145" s="112">
        <f t="shared" si="23"/>
        <v>0</v>
      </c>
      <c r="H145" s="6"/>
      <c r="I145" s="376" t="s">
        <v>291</v>
      </c>
      <c r="J145" s="6"/>
      <c r="K145" s="324">
        <f t="shared" si="24"/>
        <v>0</v>
      </c>
      <c r="N145" s="337" t="str">
        <f t="shared" si="25"/>
        <v xml:space="preserve"> </v>
      </c>
      <c r="O145" s="135"/>
      <c r="P145" s="531"/>
      <c r="Q145" s="507"/>
      <c r="R145" s="653"/>
      <c r="S145" s="112">
        <v>0</v>
      </c>
      <c r="T145" s="6"/>
      <c r="U145" s="376" t="s">
        <v>291</v>
      </c>
      <c r="V145" s="6"/>
      <c r="W145" s="324">
        <v>0</v>
      </c>
      <c r="X145" s="648"/>
      <c r="Y145" s="112">
        <v>0</v>
      </c>
      <c r="Z145" s="6"/>
      <c r="AA145" s="376" t="s">
        <v>291</v>
      </c>
      <c r="AB145" s="6"/>
      <c r="AC145" s="324">
        <v>0</v>
      </c>
      <c r="AD145" s="648"/>
    </row>
    <row r="146" spans="1:30">
      <c r="A146" s="376">
        <v>139</v>
      </c>
      <c r="B146" s="16">
        <v>820</v>
      </c>
      <c r="C146" s="17" t="s">
        <v>566</v>
      </c>
      <c r="D146" s="377"/>
      <c r="E146" s="376" t="s">
        <v>291</v>
      </c>
      <c r="F146" s="377"/>
      <c r="G146" s="112">
        <f t="shared" si="23"/>
        <v>0</v>
      </c>
      <c r="H146" s="6"/>
      <c r="I146" s="376" t="s">
        <v>291</v>
      </c>
      <c r="J146" s="6"/>
      <c r="K146" s="324">
        <f t="shared" si="24"/>
        <v>0</v>
      </c>
      <c r="N146" s="337" t="str">
        <f t="shared" si="25"/>
        <v xml:space="preserve"> </v>
      </c>
      <c r="O146" s="135"/>
      <c r="P146" s="531"/>
      <c r="Q146" s="507"/>
      <c r="R146" s="653"/>
      <c r="S146" s="112">
        <v>0</v>
      </c>
      <c r="T146" s="6"/>
      <c r="U146" s="376" t="s">
        <v>291</v>
      </c>
      <c r="V146" s="6"/>
      <c r="W146" s="324">
        <v>0</v>
      </c>
      <c r="X146" s="648"/>
      <c r="Y146" s="112">
        <v>0</v>
      </c>
      <c r="Z146" s="6"/>
      <c r="AA146" s="376" t="s">
        <v>291</v>
      </c>
      <c r="AB146" s="6"/>
      <c r="AC146" s="324">
        <v>0</v>
      </c>
      <c r="AD146" s="648"/>
    </row>
    <row r="147" spans="1:30">
      <c r="A147" s="376">
        <v>140</v>
      </c>
      <c r="B147" s="16">
        <v>821</v>
      </c>
      <c r="C147" s="17" t="s">
        <v>317</v>
      </c>
      <c r="D147" s="377"/>
      <c r="E147" s="376" t="s">
        <v>291</v>
      </c>
      <c r="F147" s="377"/>
      <c r="G147" s="112">
        <f t="shared" si="23"/>
        <v>0</v>
      </c>
      <c r="H147" s="6"/>
      <c r="I147" s="376" t="s">
        <v>291</v>
      </c>
      <c r="J147" s="6"/>
      <c r="K147" s="324">
        <f t="shared" si="24"/>
        <v>0</v>
      </c>
      <c r="N147" s="337" t="str">
        <f t="shared" si="25"/>
        <v xml:space="preserve"> </v>
      </c>
      <c r="O147" s="135"/>
      <c r="P147" s="531"/>
      <c r="Q147" s="507"/>
      <c r="R147" s="653"/>
      <c r="S147" s="112">
        <v>0</v>
      </c>
      <c r="T147" s="6"/>
      <c r="U147" s="376" t="s">
        <v>291</v>
      </c>
      <c r="V147" s="6"/>
      <c r="W147" s="324">
        <v>0</v>
      </c>
      <c r="X147" s="648"/>
      <c r="Y147" s="112">
        <v>0</v>
      </c>
      <c r="Z147" s="6"/>
      <c r="AA147" s="376" t="s">
        <v>291</v>
      </c>
      <c r="AB147" s="6"/>
      <c r="AC147" s="324">
        <v>0</v>
      </c>
      <c r="AD147" s="648"/>
    </row>
    <row r="148" spans="1:30">
      <c r="A148" s="376">
        <v>141</v>
      </c>
      <c r="B148" s="16">
        <v>824</v>
      </c>
      <c r="C148" s="17" t="s">
        <v>146</v>
      </c>
      <c r="D148" s="377"/>
      <c r="E148" s="376" t="s">
        <v>291</v>
      </c>
      <c r="F148" s="377"/>
      <c r="G148" s="112">
        <f t="shared" si="23"/>
        <v>0</v>
      </c>
      <c r="H148" s="6"/>
      <c r="I148" s="376" t="s">
        <v>291</v>
      </c>
      <c r="J148" s="6"/>
      <c r="K148" s="324">
        <f t="shared" si="24"/>
        <v>0</v>
      </c>
      <c r="N148" s="337" t="str">
        <f t="shared" si="25"/>
        <v xml:space="preserve"> </v>
      </c>
      <c r="O148" s="135"/>
      <c r="P148" s="531"/>
      <c r="Q148" s="507"/>
      <c r="R148" s="653"/>
      <c r="S148" s="112">
        <v>0</v>
      </c>
      <c r="T148" s="6"/>
      <c r="U148" s="376" t="s">
        <v>291</v>
      </c>
      <c r="V148" s="6"/>
      <c r="W148" s="324">
        <v>0</v>
      </c>
      <c r="X148" s="648"/>
      <c r="Y148" s="112">
        <v>0</v>
      </c>
      <c r="Z148" s="6"/>
      <c r="AA148" s="376" t="s">
        <v>291</v>
      </c>
      <c r="AB148" s="6"/>
      <c r="AC148" s="324">
        <v>0</v>
      </c>
      <c r="AD148" s="648"/>
    </row>
    <row r="149" spans="1:30">
      <c r="A149" s="376">
        <v>142</v>
      </c>
      <c r="B149" s="16">
        <v>826</v>
      </c>
      <c r="C149" s="17" t="s">
        <v>156</v>
      </c>
      <c r="D149" s="377"/>
      <c r="E149" s="376" t="s">
        <v>291</v>
      </c>
      <c r="F149" s="377"/>
      <c r="G149" s="322">
        <f t="shared" si="23"/>
        <v>0</v>
      </c>
      <c r="H149" s="6"/>
      <c r="I149" s="376" t="s">
        <v>291</v>
      </c>
      <c r="J149" s="6"/>
      <c r="K149" s="325">
        <f t="shared" si="24"/>
        <v>0</v>
      </c>
      <c r="N149" s="337" t="str">
        <f t="shared" si="25"/>
        <v xml:space="preserve"> </v>
      </c>
      <c r="O149" s="298"/>
      <c r="P149" s="532"/>
      <c r="Q149" s="507"/>
      <c r="R149" s="653"/>
      <c r="S149" s="322">
        <v>0</v>
      </c>
      <c r="T149" s="6"/>
      <c r="U149" s="376" t="s">
        <v>291</v>
      </c>
      <c r="V149" s="6"/>
      <c r="W149" s="325">
        <v>0</v>
      </c>
      <c r="X149" s="648"/>
      <c r="Y149" s="322">
        <v>0</v>
      </c>
      <c r="Z149" s="6"/>
      <c r="AA149" s="376" t="s">
        <v>291</v>
      </c>
      <c r="AB149" s="6"/>
      <c r="AC149" s="325">
        <v>0</v>
      </c>
      <c r="AD149" s="648"/>
    </row>
    <row r="150" spans="1:30">
      <c r="A150" s="376">
        <v>143</v>
      </c>
      <c r="B150" s="16"/>
      <c r="C150" s="353" t="s">
        <v>318</v>
      </c>
      <c r="D150" s="377"/>
      <c r="E150" s="376" t="s">
        <v>291</v>
      </c>
      <c r="F150" s="377"/>
      <c r="G150" s="320">
        <f t="shared" si="23"/>
        <v>0</v>
      </c>
      <c r="H150" s="6"/>
      <c r="I150" s="10" t="s">
        <v>291</v>
      </c>
      <c r="J150" s="6"/>
      <c r="K150" s="324">
        <f t="shared" si="24"/>
        <v>0</v>
      </c>
      <c r="O150" s="527">
        <f>SUM(O141:O149)</f>
        <v>0</v>
      </c>
      <c r="P150" s="527">
        <f>SUM(P141:P149)</f>
        <v>0</v>
      </c>
      <c r="Q150" s="507"/>
      <c r="R150" s="653"/>
      <c r="S150" s="320">
        <v>0</v>
      </c>
      <c r="T150" s="6"/>
      <c r="U150" s="10" t="s">
        <v>291</v>
      </c>
      <c r="V150" s="6"/>
      <c r="W150" s="324">
        <v>0</v>
      </c>
      <c r="X150" s="648"/>
      <c r="Y150" s="320">
        <v>0</v>
      </c>
      <c r="Z150" s="6"/>
      <c r="AA150" s="10" t="s">
        <v>291</v>
      </c>
      <c r="AB150" s="6"/>
      <c r="AC150" s="324">
        <v>0</v>
      </c>
      <c r="AD150" s="648"/>
    </row>
    <row r="151" spans="1:30">
      <c r="A151" s="376">
        <v>144</v>
      </c>
      <c r="B151" s="16"/>
      <c r="C151" s="353"/>
      <c r="D151" s="377"/>
      <c r="E151" s="376"/>
      <c r="F151" s="377"/>
      <c r="G151" s="323"/>
      <c r="H151" s="6"/>
      <c r="I151" s="10"/>
      <c r="J151" s="6"/>
      <c r="K151" s="329"/>
      <c r="O151" s="525"/>
      <c r="P151" s="525"/>
      <c r="Q151" s="507"/>
      <c r="R151" s="653"/>
      <c r="S151" s="323"/>
      <c r="T151" s="6"/>
      <c r="U151" s="10"/>
      <c r="V151" s="6"/>
      <c r="W151" s="329"/>
      <c r="X151" s="648"/>
      <c r="Y151" s="323"/>
      <c r="Z151" s="6"/>
      <c r="AA151" s="10"/>
      <c r="AB151" s="6"/>
      <c r="AC151" s="329"/>
      <c r="AD151" s="648"/>
    </row>
    <row r="152" spans="1:30">
      <c r="A152" s="376">
        <v>145</v>
      </c>
      <c r="B152" s="16"/>
      <c r="C152" s="353" t="s">
        <v>148</v>
      </c>
      <c r="D152" s="377"/>
      <c r="E152" s="376"/>
      <c r="F152" s="377"/>
      <c r="G152" s="323"/>
      <c r="H152" s="6"/>
      <c r="I152" s="10"/>
      <c r="J152" s="6"/>
      <c r="K152" s="329"/>
      <c r="O152" s="525"/>
      <c r="P152" s="525"/>
      <c r="Q152" s="507"/>
      <c r="R152" s="653"/>
      <c r="S152" s="323"/>
      <c r="T152" s="6"/>
      <c r="U152" s="10"/>
      <c r="V152" s="6"/>
      <c r="W152" s="329"/>
      <c r="X152" s="648"/>
      <c r="Y152" s="323"/>
      <c r="Z152" s="6"/>
      <c r="AA152" s="10"/>
      <c r="AB152" s="6"/>
      <c r="AC152" s="329"/>
      <c r="AD152" s="648"/>
    </row>
    <row r="153" spans="1:30">
      <c r="A153" s="376">
        <v>146</v>
      </c>
      <c r="B153" s="16">
        <v>830</v>
      </c>
      <c r="C153" s="17" t="s">
        <v>319</v>
      </c>
      <c r="D153" s="377"/>
      <c r="E153" s="376" t="s">
        <v>291</v>
      </c>
      <c r="F153" s="377"/>
      <c r="G153" s="320">
        <f t="shared" ref="G153:G159" si="26">IF($AF$3=0,$S153,$Y153)</f>
        <v>0</v>
      </c>
      <c r="H153" s="6"/>
      <c r="I153" s="376" t="s">
        <v>291</v>
      </c>
      <c r="J153" s="6"/>
      <c r="K153" s="320">
        <f t="shared" ref="K153:K159" si="27">IF($AF$3=0,$W153,$AC153)</f>
        <v>0</v>
      </c>
      <c r="N153" s="337" t="str">
        <f t="shared" ref="N153:N158" si="28">IF(P153&lt;&gt;0,P153/K153," ")</f>
        <v xml:space="preserve"> </v>
      </c>
      <c r="O153" s="529"/>
      <c r="P153" s="530"/>
      <c r="Q153" s="507"/>
      <c r="R153" s="653"/>
      <c r="S153" s="320">
        <v>0</v>
      </c>
      <c r="T153" s="6"/>
      <c r="U153" s="376" t="s">
        <v>291</v>
      </c>
      <c r="V153" s="6"/>
      <c r="W153" s="320">
        <v>0</v>
      </c>
      <c r="X153" s="648"/>
      <c r="Y153" s="320">
        <v>0</v>
      </c>
      <c r="Z153" s="6"/>
      <c r="AA153" s="376" t="s">
        <v>291</v>
      </c>
      <c r="AB153" s="6"/>
      <c r="AC153" s="320">
        <v>0</v>
      </c>
      <c r="AD153" s="648"/>
    </row>
    <row r="154" spans="1:30">
      <c r="A154" s="376">
        <v>147</v>
      </c>
      <c r="B154" s="16">
        <v>832</v>
      </c>
      <c r="C154" s="17" t="s">
        <v>320</v>
      </c>
      <c r="D154" s="377"/>
      <c r="E154" s="376" t="s">
        <v>291</v>
      </c>
      <c r="F154" s="377"/>
      <c r="G154" s="112">
        <f t="shared" si="26"/>
        <v>0</v>
      </c>
      <c r="H154" s="6"/>
      <c r="I154" s="376" t="s">
        <v>291</v>
      </c>
      <c r="J154" s="6"/>
      <c r="K154" s="324">
        <f t="shared" si="27"/>
        <v>0</v>
      </c>
      <c r="N154" s="337" t="str">
        <f t="shared" si="28"/>
        <v xml:space="preserve"> </v>
      </c>
      <c r="O154" s="135"/>
      <c r="P154" s="531"/>
      <c r="Q154" s="507"/>
      <c r="R154" s="653"/>
      <c r="S154" s="112">
        <v>0</v>
      </c>
      <c r="T154" s="6"/>
      <c r="U154" s="376" t="s">
        <v>291</v>
      </c>
      <c r="V154" s="6"/>
      <c r="W154" s="324">
        <v>0</v>
      </c>
      <c r="X154" s="648"/>
      <c r="Y154" s="112">
        <v>0</v>
      </c>
      <c r="Z154" s="6"/>
      <c r="AA154" s="376" t="s">
        <v>291</v>
      </c>
      <c r="AB154" s="6"/>
      <c r="AC154" s="324">
        <v>0</v>
      </c>
      <c r="AD154" s="648"/>
    </row>
    <row r="155" spans="1:30">
      <c r="A155" s="376">
        <v>148</v>
      </c>
      <c r="B155" s="16">
        <v>833</v>
      </c>
      <c r="C155" s="17" t="s">
        <v>321</v>
      </c>
      <c r="D155" s="377"/>
      <c r="E155" s="376" t="s">
        <v>291</v>
      </c>
      <c r="F155" s="377"/>
      <c r="G155" s="112">
        <f t="shared" si="26"/>
        <v>0</v>
      </c>
      <c r="H155" s="6"/>
      <c r="I155" s="376" t="s">
        <v>291</v>
      </c>
      <c r="J155" s="6"/>
      <c r="K155" s="324">
        <f t="shared" si="27"/>
        <v>0</v>
      </c>
      <c r="N155" s="337" t="str">
        <f t="shared" si="28"/>
        <v xml:space="preserve"> </v>
      </c>
      <c r="O155" s="135"/>
      <c r="P155" s="531"/>
      <c r="Q155" s="507"/>
      <c r="R155" s="653"/>
      <c r="S155" s="112">
        <v>0</v>
      </c>
      <c r="T155" s="6"/>
      <c r="U155" s="376" t="s">
        <v>291</v>
      </c>
      <c r="V155" s="6"/>
      <c r="W155" s="324">
        <v>0</v>
      </c>
      <c r="X155" s="648"/>
      <c r="Y155" s="112">
        <v>0</v>
      </c>
      <c r="Z155" s="6"/>
      <c r="AA155" s="376" t="s">
        <v>291</v>
      </c>
      <c r="AB155" s="6"/>
      <c r="AC155" s="324">
        <v>0</v>
      </c>
      <c r="AD155" s="648"/>
    </row>
    <row r="156" spans="1:30">
      <c r="A156" s="376">
        <v>149</v>
      </c>
      <c r="B156" s="16">
        <v>834</v>
      </c>
      <c r="C156" s="17" t="s">
        <v>322</v>
      </c>
      <c r="D156" s="377"/>
      <c r="E156" s="376" t="s">
        <v>291</v>
      </c>
      <c r="F156" s="377"/>
      <c r="G156" s="112">
        <f t="shared" si="26"/>
        <v>0</v>
      </c>
      <c r="H156" s="6"/>
      <c r="I156" s="376" t="s">
        <v>291</v>
      </c>
      <c r="J156" s="6"/>
      <c r="K156" s="324">
        <f t="shared" si="27"/>
        <v>0</v>
      </c>
      <c r="N156" s="337" t="str">
        <f t="shared" si="28"/>
        <v xml:space="preserve"> </v>
      </c>
      <c r="O156" s="135"/>
      <c r="P156" s="531"/>
      <c r="Q156" s="507"/>
      <c r="R156" s="653"/>
      <c r="S156" s="112">
        <v>0</v>
      </c>
      <c r="T156" s="6"/>
      <c r="U156" s="376" t="s">
        <v>291</v>
      </c>
      <c r="V156" s="6"/>
      <c r="W156" s="324">
        <v>0</v>
      </c>
      <c r="X156" s="648"/>
      <c r="Y156" s="112">
        <v>0</v>
      </c>
      <c r="Z156" s="6"/>
      <c r="AA156" s="376" t="s">
        <v>291</v>
      </c>
      <c r="AB156" s="6"/>
      <c r="AC156" s="324">
        <v>0</v>
      </c>
      <c r="AD156" s="648"/>
    </row>
    <row r="157" spans="1:30">
      <c r="A157" s="376">
        <v>150</v>
      </c>
      <c r="B157" s="16">
        <v>835</v>
      </c>
      <c r="C157" s="17" t="s">
        <v>323</v>
      </c>
      <c r="D157" s="377"/>
      <c r="E157" s="376" t="s">
        <v>291</v>
      </c>
      <c r="F157" s="377"/>
      <c r="G157" s="112">
        <f t="shared" si="26"/>
        <v>0</v>
      </c>
      <c r="H157" s="6"/>
      <c r="I157" s="376" t="s">
        <v>291</v>
      </c>
      <c r="J157" s="6"/>
      <c r="K157" s="324">
        <f t="shared" si="27"/>
        <v>0</v>
      </c>
      <c r="N157" s="337" t="str">
        <f t="shared" si="28"/>
        <v xml:space="preserve"> </v>
      </c>
      <c r="O157" s="135"/>
      <c r="P157" s="531"/>
      <c r="Q157" s="507"/>
      <c r="R157" s="653"/>
      <c r="S157" s="112">
        <v>0</v>
      </c>
      <c r="T157" s="6"/>
      <c r="U157" s="376" t="s">
        <v>291</v>
      </c>
      <c r="V157" s="6"/>
      <c r="W157" s="324">
        <v>0</v>
      </c>
      <c r="X157" s="648"/>
      <c r="Y157" s="112">
        <v>0</v>
      </c>
      <c r="Z157" s="6"/>
      <c r="AA157" s="376" t="s">
        <v>291</v>
      </c>
      <c r="AB157" s="6"/>
      <c r="AC157" s="324">
        <v>0</v>
      </c>
      <c r="AD157" s="648"/>
    </row>
    <row r="158" spans="1:30">
      <c r="A158" s="376">
        <v>151</v>
      </c>
      <c r="B158" s="16">
        <v>836</v>
      </c>
      <c r="C158" s="17" t="s">
        <v>299</v>
      </c>
      <c r="D158" s="377"/>
      <c r="E158" s="376" t="s">
        <v>291</v>
      </c>
      <c r="F158" s="377"/>
      <c r="G158" s="322">
        <f t="shared" si="26"/>
        <v>0</v>
      </c>
      <c r="H158" s="6"/>
      <c r="I158" s="376" t="s">
        <v>291</v>
      </c>
      <c r="J158" s="6"/>
      <c r="K158" s="324">
        <f t="shared" si="27"/>
        <v>0</v>
      </c>
      <c r="N158" s="337" t="str">
        <f t="shared" si="28"/>
        <v xml:space="preserve"> </v>
      </c>
      <c r="O158" s="298"/>
      <c r="P158" s="532"/>
      <c r="Q158" s="507"/>
      <c r="R158" s="653"/>
      <c r="S158" s="322">
        <v>0</v>
      </c>
      <c r="T158" s="6"/>
      <c r="U158" s="376" t="s">
        <v>291</v>
      </c>
      <c r="V158" s="6"/>
      <c r="W158" s="324">
        <v>0</v>
      </c>
      <c r="X158" s="648"/>
      <c r="Y158" s="322">
        <v>0</v>
      </c>
      <c r="Z158" s="6"/>
      <c r="AA158" s="376" t="s">
        <v>291</v>
      </c>
      <c r="AB158" s="6"/>
      <c r="AC158" s="324">
        <v>0</v>
      </c>
      <c r="AD158" s="648"/>
    </row>
    <row r="159" spans="1:30">
      <c r="A159" s="376">
        <v>152</v>
      </c>
      <c r="B159" s="16"/>
      <c r="C159" s="353" t="s">
        <v>324</v>
      </c>
      <c r="D159" s="377"/>
      <c r="E159" s="376" t="s">
        <v>291</v>
      </c>
      <c r="F159" s="377"/>
      <c r="G159" s="320">
        <f t="shared" si="26"/>
        <v>0</v>
      </c>
      <c r="H159" s="6"/>
      <c r="I159" s="10" t="s">
        <v>291</v>
      </c>
      <c r="J159" s="6"/>
      <c r="K159" s="330">
        <f t="shared" si="27"/>
        <v>0</v>
      </c>
      <c r="L159" s="323"/>
      <c r="O159" s="527">
        <f>SUM(O153:O158)</f>
        <v>0</v>
      </c>
      <c r="P159" s="527">
        <f>SUM(P153:P158)</f>
        <v>0</v>
      </c>
      <c r="Q159" s="507"/>
      <c r="R159" s="653"/>
      <c r="S159" s="320">
        <v>0</v>
      </c>
      <c r="T159" s="6"/>
      <c r="U159" s="10" t="s">
        <v>291</v>
      </c>
      <c r="V159" s="6"/>
      <c r="W159" s="330">
        <v>0</v>
      </c>
      <c r="X159" s="648"/>
      <c r="Y159" s="320">
        <v>0</v>
      </c>
      <c r="Z159" s="6"/>
      <c r="AA159" s="10" t="s">
        <v>291</v>
      </c>
      <c r="AB159" s="6"/>
      <c r="AC159" s="330">
        <v>0</v>
      </c>
      <c r="AD159" s="648"/>
    </row>
    <row r="160" spans="1:30">
      <c r="A160" s="376">
        <v>153</v>
      </c>
      <c r="B160" s="16"/>
      <c r="C160" s="353"/>
      <c r="D160" s="377"/>
      <c r="E160" s="376"/>
      <c r="F160" s="377"/>
      <c r="G160" s="323"/>
      <c r="H160" s="6"/>
      <c r="I160" s="10"/>
      <c r="J160" s="6"/>
      <c r="K160" s="329"/>
      <c r="O160" s="525"/>
      <c r="P160" s="525"/>
      <c r="Q160" s="507"/>
      <c r="R160" s="653"/>
      <c r="S160" s="323"/>
      <c r="T160" s="6"/>
      <c r="U160" s="10"/>
      <c r="V160" s="6"/>
      <c r="W160" s="329"/>
      <c r="X160" s="648"/>
      <c r="Y160" s="323"/>
      <c r="Z160" s="6"/>
      <c r="AA160" s="10"/>
      <c r="AB160" s="6"/>
      <c r="AC160" s="329"/>
      <c r="AD160" s="648"/>
    </row>
    <row r="161" spans="1:30">
      <c r="A161" s="376">
        <v>154</v>
      </c>
      <c r="B161" s="16"/>
      <c r="C161" s="353" t="s">
        <v>325</v>
      </c>
      <c r="D161" s="377"/>
      <c r="E161" s="376"/>
      <c r="F161" s="377"/>
      <c r="G161" s="323">
        <f>IF($AF$3=0,$S161,$Y161)</f>
        <v>0</v>
      </c>
      <c r="H161" s="323"/>
      <c r="I161" s="323"/>
      <c r="J161" s="323"/>
      <c r="K161" s="323">
        <f>IF($AF$3=0,$W161,$AC161)</f>
        <v>0</v>
      </c>
      <c r="M161" s="338"/>
      <c r="O161" s="519">
        <f>O150+O159</f>
        <v>0</v>
      </c>
      <c r="P161" s="519">
        <f>P150+P159</f>
        <v>0</v>
      </c>
      <c r="Q161" s="507"/>
      <c r="R161" s="653"/>
      <c r="S161" s="323">
        <v>0</v>
      </c>
      <c r="T161" s="323"/>
      <c r="U161" s="323"/>
      <c r="V161" s="323"/>
      <c r="W161" s="323">
        <v>0</v>
      </c>
      <c r="X161" s="648"/>
      <c r="Y161" s="323">
        <v>0</v>
      </c>
      <c r="Z161" s="323"/>
      <c r="AA161" s="323"/>
      <c r="AB161" s="323"/>
      <c r="AC161" s="323">
        <v>0</v>
      </c>
      <c r="AD161" s="648"/>
    </row>
    <row r="162" spans="1:30">
      <c r="A162" s="376">
        <v>155</v>
      </c>
      <c r="B162" s="16"/>
      <c r="D162" s="377"/>
      <c r="E162" s="376"/>
      <c r="F162" s="377"/>
      <c r="H162" s="6"/>
      <c r="I162" s="10"/>
      <c r="J162" s="6"/>
      <c r="K162" s="6"/>
      <c r="O162" s="507"/>
      <c r="P162" s="507"/>
      <c r="Q162" s="507"/>
      <c r="R162" s="653"/>
      <c r="S162" s="320"/>
      <c r="T162" s="6"/>
      <c r="U162" s="10"/>
      <c r="V162" s="6"/>
      <c r="W162" s="6"/>
      <c r="X162" s="648"/>
      <c r="Y162" s="320"/>
      <c r="Z162" s="6"/>
      <c r="AA162" s="10"/>
      <c r="AB162" s="6"/>
      <c r="AC162" s="6"/>
      <c r="AD162" s="648"/>
    </row>
    <row r="163" spans="1:30">
      <c r="A163" s="376">
        <v>156</v>
      </c>
      <c r="B163" s="16"/>
      <c r="C163" s="348" t="s">
        <v>114</v>
      </c>
      <c r="D163" s="377"/>
      <c r="E163" s="376"/>
      <c r="F163" s="377"/>
      <c r="G163" s="384"/>
      <c r="H163" s="6"/>
      <c r="I163" s="10"/>
      <c r="J163" s="6"/>
      <c r="K163" s="18"/>
      <c r="O163" s="507"/>
      <c r="P163" s="507"/>
      <c r="Q163" s="507"/>
      <c r="R163" s="653"/>
      <c r="S163" s="384"/>
      <c r="T163" s="6"/>
      <c r="U163" s="10"/>
      <c r="V163" s="6"/>
      <c r="W163" s="18"/>
      <c r="X163" s="648"/>
      <c r="Y163" s="384"/>
      <c r="Z163" s="6"/>
      <c r="AA163" s="10"/>
      <c r="AB163" s="6"/>
      <c r="AC163" s="18"/>
      <c r="AD163" s="648"/>
    </row>
    <row r="164" spans="1:30" ht="13.5">
      <c r="A164" s="376">
        <v>157</v>
      </c>
      <c r="B164" s="16"/>
      <c r="C164" s="358" t="s">
        <v>326</v>
      </c>
      <c r="D164" s="377"/>
      <c r="E164" s="376"/>
      <c r="F164" s="377"/>
      <c r="G164" s="384"/>
      <c r="H164" s="6"/>
      <c r="I164" s="10"/>
      <c r="J164" s="6"/>
      <c r="K164" s="18"/>
      <c r="O164" s="507"/>
      <c r="P164" s="507"/>
      <c r="Q164" s="507"/>
      <c r="R164" s="653"/>
      <c r="S164" s="384"/>
      <c r="T164" s="6"/>
      <c r="U164" s="10"/>
      <c r="V164" s="6"/>
      <c r="W164" s="18"/>
      <c r="X164" s="648"/>
      <c r="Y164" s="384"/>
      <c r="Z164" s="6"/>
      <c r="AA164" s="10"/>
      <c r="AB164" s="6"/>
      <c r="AC164" s="18"/>
      <c r="AD164" s="648"/>
    </row>
    <row r="165" spans="1:30">
      <c r="A165" s="376">
        <v>158</v>
      </c>
      <c r="B165" s="16">
        <v>850</v>
      </c>
      <c r="C165" s="356" t="s">
        <v>290</v>
      </c>
      <c r="D165" s="377"/>
      <c r="E165" s="376" t="s">
        <v>291</v>
      </c>
      <c r="F165" s="377"/>
      <c r="G165" s="384">
        <f t="shared" ref="G165:G173" si="29">IF($AF$3=0,$S165,$Y165)</f>
        <v>203253.98</v>
      </c>
      <c r="H165" s="6"/>
      <c r="I165" s="376" t="s">
        <v>291</v>
      </c>
      <c r="J165" s="6"/>
      <c r="K165" s="19">
        <f t="shared" ref="K165:K173" si="30">IF($AF$3=0,$W165,$AC165)</f>
        <v>198452.86149800004</v>
      </c>
      <c r="N165" s="508">
        <f t="shared" ref="N165:N173" si="31">IF(P165&lt;&gt;0,P165/K165," ")</f>
        <v>0.55248182696507231</v>
      </c>
      <c r="O165" s="533">
        <f>G165*N165</f>
        <v>112294.13020832227</v>
      </c>
      <c r="P165" s="534">
        <f>'FERC Accts by Customer Class'!H159</f>
        <v>109641.59948686152</v>
      </c>
      <c r="Q165" s="507"/>
      <c r="R165" s="653"/>
      <c r="S165" s="384">
        <v>203253.98</v>
      </c>
      <c r="T165" s="6"/>
      <c r="U165" s="376" t="s">
        <v>291</v>
      </c>
      <c r="V165" s="6"/>
      <c r="W165" s="19">
        <v>203755.72763100005</v>
      </c>
      <c r="X165" s="648"/>
      <c r="Y165" s="384">
        <v>203253.98</v>
      </c>
      <c r="Z165" s="6"/>
      <c r="AA165" s="376" t="s">
        <v>291</v>
      </c>
      <c r="AB165" s="6"/>
      <c r="AC165" s="19">
        <v>198452.86149800004</v>
      </c>
      <c r="AD165" s="648"/>
    </row>
    <row r="166" spans="1:30">
      <c r="A166" s="376">
        <v>159</v>
      </c>
      <c r="B166" s="16">
        <v>851</v>
      </c>
      <c r="C166" s="356" t="s">
        <v>327</v>
      </c>
      <c r="D166" s="377"/>
      <c r="E166" s="376" t="s">
        <v>291</v>
      </c>
      <c r="F166" s="377"/>
      <c r="G166" s="385">
        <f t="shared" si="29"/>
        <v>1179.78</v>
      </c>
      <c r="H166" s="6"/>
      <c r="I166" s="381" t="s">
        <v>291</v>
      </c>
      <c r="J166" s="6"/>
      <c r="K166" s="18">
        <f t="shared" si="30"/>
        <v>1170.3591529706164</v>
      </c>
      <c r="N166" s="508">
        <f t="shared" si="31"/>
        <v>0.54207982220053474</v>
      </c>
      <c r="O166" s="535">
        <f>G166*N166</f>
        <v>639.53493263574683</v>
      </c>
      <c r="P166" s="536">
        <f>'FERC Accts by Customer Class'!H160</f>
        <v>634.42808155308012</v>
      </c>
      <c r="Q166" s="507"/>
      <c r="R166" s="653"/>
      <c r="S166" s="385">
        <v>1179.78</v>
      </c>
      <c r="T166" s="6"/>
      <c r="U166" s="381" t="s">
        <v>291</v>
      </c>
      <c r="V166" s="6"/>
      <c r="W166" s="18">
        <v>1213.1931542360473</v>
      </c>
      <c r="X166" s="648"/>
      <c r="Y166" s="385">
        <v>1179.78</v>
      </c>
      <c r="Z166" s="6"/>
      <c r="AA166" s="381" t="s">
        <v>291</v>
      </c>
      <c r="AB166" s="6"/>
      <c r="AC166" s="18">
        <v>1170.3591529706164</v>
      </c>
      <c r="AD166" s="648"/>
    </row>
    <row r="167" spans="1:30">
      <c r="A167" s="376">
        <v>160</v>
      </c>
      <c r="B167" s="16">
        <v>852</v>
      </c>
      <c r="C167" s="356" t="s">
        <v>328</v>
      </c>
      <c r="D167" s="377"/>
      <c r="E167" s="376" t="s">
        <v>291</v>
      </c>
      <c r="F167" s="377"/>
      <c r="G167" s="385">
        <f t="shared" si="29"/>
        <v>0</v>
      </c>
      <c r="H167" s="6"/>
      <c r="I167" s="381" t="s">
        <v>291</v>
      </c>
      <c r="J167" s="6"/>
      <c r="K167" s="18">
        <f t="shared" si="30"/>
        <v>0</v>
      </c>
      <c r="N167" s="508" t="str">
        <f t="shared" si="31"/>
        <v xml:space="preserve"> </v>
      </c>
      <c r="O167" s="535"/>
      <c r="P167" s="536">
        <f>'FERC Accts by Customer Class'!H161</f>
        <v>0</v>
      </c>
      <c r="Q167" s="507"/>
      <c r="R167" s="653"/>
      <c r="S167" s="385">
        <v>0</v>
      </c>
      <c r="T167" s="6"/>
      <c r="U167" s="381" t="s">
        <v>291</v>
      </c>
      <c r="V167" s="6"/>
      <c r="W167" s="18">
        <v>0</v>
      </c>
      <c r="X167" s="648"/>
      <c r="Y167" s="385">
        <v>0</v>
      </c>
      <c r="Z167" s="6"/>
      <c r="AA167" s="381" t="s">
        <v>291</v>
      </c>
      <c r="AB167" s="6"/>
      <c r="AC167" s="18">
        <v>0</v>
      </c>
      <c r="AD167" s="648"/>
    </row>
    <row r="168" spans="1:30">
      <c r="A168" s="376">
        <v>161</v>
      </c>
      <c r="B168" s="16">
        <v>853</v>
      </c>
      <c r="C168" s="356" t="s">
        <v>329</v>
      </c>
      <c r="D168" s="377"/>
      <c r="E168" s="376" t="s">
        <v>291</v>
      </c>
      <c r="F168" s="377"/>
      <c r="G168" s="385">
        <f t="shared" si="29"/>
        <v>0</v>
      </c>
      <c r="H168" s="6"/>
      <c r="I168" s="381" t="s">
        <v>291</v>
      </c>
      <c r="J168" s="6"/>
      <c r="K168" s="18">
        <f t="shared" si="30"/>
        <v>0</v>
      </c>
      <c r="N168" s="508" t="str">
        <f t="shared" si="31"/>
        <v xml:space="preserve"> </v>
      </c>
      <c r="O168" s="535"/>
      <c r="P168" s="536">
        <f>'FERC Accts by Customer Class'!H162</f>
        <v>0</v>
      </c>
      <c r="Q168" s="507"/>
      <c r="R168" s="653"/>
      <c r="S168" s="385">
        <v>0</v>
      </c>
      <c r="T168" s="6"/>
      <c r="U168" s="381" t="s">
        <v>291</v>
      </c>
      <c r="V168" s="6"/>
      <c r="W168" s="18">
        <v>0</v>
      </c>
      <c r="X168" s="648"/>
      <c r="Y168" s="385">
        <v>0</v>
      </c>
      <c r="Z168" s="6"/>
      <c r="AA168" s="381" t="s">
        <v>291</v>
      </c>
      <c r="AB168" s="6"/>
      <c r="AC168" s="18">
        <v>0</v>
      </c>
      <c r="AD168" s="648"/>
    </row>
    <row r="169" spans="1:30">
      <c r="A169" s="376">
        <v>162</v>
      </c>
      <c r="B169" s="16">
        <v>856</v>
      </c>
      <c r="C169" s="356" t="s">
        <v>330</v>
      </c>
      <c r="D169" s="377"/>
      <c r="E169" s="376" t="s">
        <v>291</v>
      </c>
      <c r="F169" s="377"/>
      <c r="G169" s="385">
        <f t="shared" si="29"/>
        <v>63014.31</v>
      </c>
      <c r="H169" s="6"/>
      <c r="I169" s="381" t="s">
        <v>291</v>
      </c>
      <c r="J169" s="6"/>
      <c r="K169" s="18">
        <f t="shared" si="30"/>
        <v>63026.282280066924</v>
      </c>
      <c r="N169" s="508">
        <f t="shared" si="31"/>
        <v>0.55248182696507242</v>
      </c>
      <c r="O169" s="535">
        <f>G169*N169</f>
        <v>34814.261113743429</v>
      </c>
      <c r="P169" s="536">
        <f>'FERC Accts by Customer Class'!H163</f>
        <v>34820.875580907741</v>
      </c>
      <c r="Q169" s="507"/>
      <c r="R169" s="653"/>
      <c r="S169" s="385">
        <v>63014.31</v>
      </c>
      <c r="T169" s="6"/>
      <c r="U169" s="381" t="s">
        <v>291</v>
      </c>
      <c r="V169" s="6"/>
      <c r="W169" s="18">
        <v>63038.599162927858</v>
      </c>
      <c r="X169" s="648"/>
      <c r="Y169" s="385">
        <v>63014.31</v>
      </c>
      <c r="Z169" s="6"/>
      <c r="AA169" s="381" t="s">
        <v>291</v>
      </c>
      <c r="AB169" s="6"/>
      <c r="AC169" s="18">
        <v>63026.282280066924</v>
      </c>
      <c r="AD169" s="648"/>
    </row>
    <row r="170" spans="1:30">
      <c r="A170" s="376">
        <v>163</v>
      </c>
      <c r="B170" s="16">
        <v>857</v>
      </c>
      <c r="C170" s="356" t="s">
        <v>331</v>
      </c>
      <c r="D170" s="377"/>
      <c r="E170" s="376" t="s">
        <v>291</v>
      </c>
      <c r="F170" s="377"/>
      <c r="G170" s="385">
        <f t="shared" si="29"/>
        <v>12310.56</v>
      </c>
      <c r="H170" s="6"/>
      <c r="I170" s="381" t="s">
        <v>291</v>
      </c>
      <c r="J170" s="6"/>
      <c r="K170" s="18">
        <f t="shared" si="30"/>
        <v>12313.30793924924</v>
      </c>
      <c r="N170" s="508">
        <f t="shared" si="31"/>
        <v>0.55248182696507242</v>
      </c>
      <c r="O170" s="535">
        <f>G170*N170</f>
        <v>6801.3606797631419</v>
      </c>
      <c r="P170" s="536">
        <f>'FERC Accts by Customer Class'!H164</f>
        <v>6802.8788662599509</v>
      </c>
      <c r="Q170" s="507"/>
      <c r="R170" s="653"/>
      <c r="S170" s="385">
        <v>12310.56</v>
      </c>
      <c r="T170" s="6"/>
      <c r="U170" s="381" t="s">
        <v>291</v>
      </c>
      <c r="V170" s="6"/>
      <c r="W170" s="18">
        <v>12316.609019755038</v>
      </c>
      <c r="X170" s="648"/>
      <c r="Y170" s="385">
        <v>12310.56</v>
      </c>
      <c r="Z170" s="6"/>
      <c r="AA170" s="381" t="s">
        <v>291</v>
      </c>
      <c r="AB170" s="6"/>
      <c r="AC170" s="18">
        <v>12313.30793924924</v>
      </c>
      <c r="AD170" s="648"/>
    </row>
    <row r="171" spans="1:30">
      <c r="A171" s="376">
        <v>164</v>
      </c>
      <c r="B171" s="16">
        <v>859</v>
      </c>
      <c r="C171" s="356" t="s">
        <v>146</v>
      </c>
      <c r="D171" s="377"/>
      <c r="E171" s="376" t="s">
        <v>291</v>
      </c>
      <c r="F171" s="377"/>
      <c r="G171" s="385">
        <f t="shared" si="29"/>
        <v>64899.89</v>
      </c>
      <c r="H171" s="6"/>
      <c r="I171" s="381" t="s">
        <v>291</v>
      </c>
      <c r="J171" s="6"/>
      <c r="K171" s="18">
        <f t="shared" si="30"/>
        <v>63760.820262780602</v>
      </c>
      <c r="N171" s="508">
        <f t="shared" si="31"/>
        <v>0.55248182696507242</v>
      </c>
      <c r="O171" s="535">
        <f>G171*N171</f>
        <v>35856.009797032231</v>
      </c>
      <c r="P171" s="536">
        <f>'FERC Accts by Customer Class'!H165</f>
        <v>35226.694467572634</v>
      </c>
      <c r="Q171" s="507"/>
      <c r="R171" s="653"/>
      <c r="S171" s="385">
        <v>64899.89</v>
      </c>
      <c r="T171" s="6"/>
      <c r="U171" s="381" t="s">
        <v>291</v>
      </c>
      <c r="V171" s="6"/>
      <c r="W171" s="18">
        <v>65929.607336401925</v>
      </c>
      <c r="X171" s="648"/>
      <c r="Y171" s="385">
        <v>64899.89</v>
      </c>
      <c r="Z171" s="6"/>
      <c r="AA171" s="381" t="s">
        <v>291</v>
      </c>
      <c r="AB171" s="6"/>
      <c r="AC171" s="18">
        <v>63760.820262780602</v>
      </c>
      <c r="AD171" s="648"/>
    </row>
    <row r="172" spans="1:30">
      <c r="A172" s="376">
        <v>165</v>
      </c>
      <c r="B172" s="16">
        <v>860</v>
      </c>
      <c r="C172" s="356" t="s">
        <v>156</v>
      </c>
      <c r="D172" s="377"/>
      <c r="E172" s="376" t="s">
        <v>291</v>
      </c>
      <c r="F172" s="377"/>
      <c r="G172" s="386">
        <f t="shared" si="29"/>
        <v>0</v>
      </c>
      <c r="H172" s="6"/>
      <c r="I172" s="381" t="s">
        <v>291</v>
      </c>
      <c r="J172" s="6"/>
      <c r="K172" s="20">
        <f t="shared" si="30"/>
        <v>0</v>
      </c>
      <c r="N172" s="508" t="str">
        <f t="shared" si="31"/>
        <v xml:space="preserve"> </v>
      </c>
      <c r="O172" s="537"/>
      <c r="P172" s="538">
        <f>'FERC Accts by Customer Class'!H166</f>
        <v>0</v>
      </c>
      <c r="Q172" s="507"/>
      <c r="R172" s="653"/>
      <c r="S172" s="386">
        <v>0</v>
      </c>
      <c r="T172" s="6"/>
      <c r="U172" s="381" t="s">
        <v>291</v>
      </c>
      <c r="V172" s="6"/>
      <c r="W172" s="20">
        <v>0</v>
      </c>
      <c r="X172" s="648"/>
      <c r="Y172" s="386">
        <v>0</v>
      </c>
      <c r="Z172" s="6"/>
      <c r="AA172" s="381" t="s">
        <v>291</v>
      </c>
      <c r="AB172" s="6"/>
      <c r="AC172" s="20">
        <v>0</v>
      </c>
      <c r="AD172" s="648"/>
    </row>
    <row r="173" spans="1:30">
      <c r="A173" s="376">
        <v>166</v>
      </c>
      <c r="B173" s="16"/>
      <c r="C173" s="348" t="s">
        <v>332</v>
      </c>
      <c r="D173" s="377"/>
      <c r="E173" s="376"/>
      <c r="F173" s="377"/>
      <c r="G173" s="384">
        <f t="shared" si="29"/>
        <v>344658.52</v>
      </c>
      <c r="H173" s="6"/>
      <c r="I173" s="10"/>
      <c r="J173" s="6"/>
      <c r="K173" s="19">
        <f t="shared" si="30"/>
        <v>338723.63113306742</v>
      </c>
      <c r="N173" s="508">
        <f t="shared" si="31"/>
        <v>0.55244588591943378</v>
      </c>
      <c r="O173" s="523">
        <f>SUM(O165:O172)</f>
        <v>190405.29673149681</v>
      </c>
      <c r="P173" s="523">
        <f>SUM(P165:P172)</f>
        <v>187126.47648315493</v>
      </c>
      <c r="Q173" s="507"/>
      <c r="R173" s="653"/>
      <c r="S173" s="384">
        <v>344658.52</v>
      </c>
      <c r="T173" s="6"/>
      <c r="U173" s="10"/>
      <c r="V173" s="6"/>
      <c r="W173" s="19">
        <v>346253.73630432092</v>
      </c>
      <c r="X173" s="648"/>
      <c r="Y173" s="384">
        <v>344658.52</v>
      </c>
      <c r="Z173" s="6"/>
      <c r="AA173" s="10"/>
      <c r="AB173" s="6"/>
      <c r="AC173" s="19">
        <v>338723.63113306742</v>
      </c>
      <c r="AD173" s="648"/>
    </row>
    <row r="174" spans="1:30">
      <c r="A174" s="376">
        <v>167</v>
      </c>
      <c r="B174" s="16"/>
      <c r="D174" s="377"/>
      <c r="E174" s="376"/>
      <c r="F174" s="377"/>
      <c r="G174" s="384"/>
      <c r="H174" s="6"/>
      <c r="I174" s="10"/>
      <c r="J174" s="6"/>
      <c r="K174" s="18"/>
      <c r="O174" s="539"/>
      <c r="P174" s="539"/>
      <c r="Q174" s="507"/>
      <c r="R174" s="653"/>
      <c r="S174" s="384"/>
      <c r="T174" s="6"/>
      <c r="U174" s="10"/>
      <c r="V174" s="6"/>
      <c r="W174" s="18"/>
      <c r="X174" s="648"/>
      <c r="Y174" s="384"/>
      <c r="Z174" s="6"/>
      <c r="AA174" s="10"/>
      <c r="AB174" s="6"/>
      <c r="AC174" s="18"/>
      <c r="AD174" s="648"/>
    </row>
    <row r="175" spans="1:30" ht="13.5">
      <c r="A175" s="376">
        <v>168</v>
      </c>
      <c r="B175" s="16"/>
      <c r="C175" s="358" t="s">
        <v>333</v>
      </c>
      <c r="D175" s="377"/>
      <c r="E175" s="376"/>
      <c r="F175" s="377"/>
      <c r="G175" s="384"/>
      <c r="H175" s="6"/>
      <c r="J175" s="6"/>
      <c r="K175" s="18"/>
      <c r="O175" s="539"/>
      <c r="P175" s="539"/>
      <c r="Q175" s="507"/>
      <c r="R175" s="653"/>
      <c r="S175" s="384"/>
      <c r="T175" s="6"/>
      <c r="U175" s="376"/>
      <c r="V175" s="6"/>
      <c r="W175" s="18"/>
      <c r="X175" s="648"/>
      <c r="Y175" s="384"/>
      <c r="Z175" s="6"/>
      <c r="AA175" s="376"/>
      <c r="AB175" s="6"/>
      <c r="AC175" s="18"/>
      <c r="AD175" s="648"/>
    </row>
    <row r="176" spans="1:30">
      <c r="A176" s="376">
        <v>169</v>
      </c>
      <c r="B176" s="16">
        <v>861</v>
      </c>
      <c r="C176" s="17" t="s">
        <v>319</v>
      </c>
      <c r="D176" s="377"/>
      <c r="E176" s="376" t="s">
        <v>291</v>
      </c>
      <c r="F176" s="377"/>
      <c r="G176" s="384">
        <f t="shared" ref="G176:G183" si="32">IF($AF$3=0,$S176,$Y176)</f>
        <v>17231.27</v>
      </c>
      <c r="H176" s="6"/>
      <c r="I176" s="376" t="s">
        <v>291</v>
      </c>
      <c r="J176" s="6"/>
      <c r="K176" s="19">
        <f t="shared" ref="K176:K183" si="33">IF($AF$3=0,$W176,$AC176)</f>
        <v>16567.326580000004</v>
      </c>
      <c r="N176" s="508">
        <f t="shared" ref="N176:N183" si="34">IF(P176&lt;&gt;0,P176/K176," ")</f>
        <v>0.55248182696507231</v>
      </c>
      <c r="O176" s="539">
        <f>G176*N176</f>
        <v>9519.963530528441</v>
      </c>
      <c r="P176" s="540">
        <f>'FERC Accts by Customer Class'!H170</f>
        <v>9153.1468568454056</v>
      </c>
      <c r="Q176" s="507"/>
      <c r="R176" s="653"/>
      <c r="S176" s="384">
        <v>17231.27</v>
      </c>
      <c r="T176" s="6"/>
      <c r="U176" s="376" t="s">
        <v>291</v>
      </c>
      <c r="V176" s="6"/>
      <c r="W176" s="19">
        <v>17529.897036999999</v>
      </c>
      <c r="X176" s="648"/>
      <c r="Y176" s="384">
        <v>17231.27</v>
      </c>
      <c r="Z176" s="6"/>
      <c r="AA176" s="376" t="s">
        <v>291</v>
      </c>
      <c r="AB176" s="6"/>
      <c r="AC176" s="19">
        <v>16567.326580000004</v>
      </c>
      <c r="AD176" s="648"/>
    </row>
    <row r="177" spans="1:30">
      <c r="A177" s="376">
        <v>170</v>
      </c>
      <c r="B177" s="16">
        <v>862</v>
      </c>
      <c r="C177" s="17" t="s">
        <v>294</v>
      </c>
      <c r="D177" s="377"/>
      <c r="E177" s="376" t="s">
        <v>291</v>
      </c>
      <c r="F177" s="377"/>
      <c r="G177" s="385">
        <f t="shared" si="32"/>
        <v>0</v>
      </c>
      <c r="H177" s="6"/>
      <c r="I177" s="381" t="s">
        <v>291</v>
      </c>
      <c r="J177" s="6"/>
      <c r="K177" s="18">
        <f t="shared" si="33"/>
        <v>0</v>
      </c>
      <c r="N177" s="508" t="str">
        <f t="shared" si="34"/>
        <v xml:space="preserve"> </v>
      </c>
      <c r="O177" s="541"/>
      <c r="P177" s="542">
        <f>'FERC Accts by Customer Class'!H171</f>
        <v>0</v>
      </c>
      <c r="Q177" s="507"/>
      <c r="R177" s="653"/>
      <c r="S177" s="385">
        <v>0</v>
      </c>
      <c r="T177" s="6"/>
      <c r="U177" s="381" t="s">
        <v>291</v>
      </c>
      <c r="V177" s="6"/>
      <c r="W177" s="18">
        <v>0</v>
      </c>
      <c r="X177" s="648"/>
      <c r="Y177" s="385">
        <v>0</v>
      </c>
      <c r="Z177" s="6"/>
      <c r="AA177" s="381" t="s">
        <v>291</v>
      </c>
      <c r="AB177" s="6"/>
      <c r="AC177" s="18">
        <v>0</v>
      </c>
      <c r="AD177" s="648"/>
    </row>
    <row r="178" spans="1:30">
      <c r="A178" s="376">
        <v>171</v>
      </c>
      <c r="B178" s="16">
        <v>863</v>
      </c>
      <c r="C178" s="17" t="s">
        <v>567</v>
      </c>
      <c r="D178" s="377"/>
      <c r="E178" s="376" t="s">
        <v>291</v>
      </c>
      <c r="F178" s="377"/>
      <c r="G178" s="385">
        <f t="shared" si="32"/>
        <v>3181.62</v>
      </c>
      <c r="H178" s="6"/>
      <c r="I178" s="381" t="s">
        <v>291</v>
      </c>
      <c r="J178" s="6"/>
      <c r="K178" s="18">
        <f t="shared" si="33"/>
        <v>3264.8465267218544</v>
      </c>
      <c r="N178" s="508">
        <f t="shared" si="34"/>
        <v>0.55248182696507242</v>
      </c>
      <c r="O178" s="539">
        <f>G178*N178</f>
        <v>1757.7872303086137</v>
      </c>
      <c r="P178" s="542">
        <f>'FERC Accts by Customer Class'!H172</f>
        <v>1803.7683738438611</v>
      </c>
      <c r="Q178" s="507"/>
      <c r="R178" s="653"/>
      <c r="S178" s="385">
        <v>3181.62</v>
      </c>
      <c r="T178" s="6"/>
      <c r="U178" s="381" t="s">
        <v>291</v>
      </c>
      <c r="V178" s="6"/>
      <c r="W178" s="18">
        <v>3357.3704573723035</v>
      </c>
      <c r="X178" s="648"/>
      <c r="Y178" s="385">
        <v>3181.62</v>
      </c>
      <c r="Z178" s="6"/>
      <c r="AA178" s="381" t="s">
        <v>291</v>
      </c>
      <c r="AB178" s="6"/>
      <c r="AC178" s="18">
        <v>3264.8465267218544</v>
      </c>
      <c r="AD178" s="648"/>
    </row>
    <row r="179" spans="1:30">
      <c r="A179" s="376">
        <v>172</v>
      </c>
      <c r="B179" s="16">
        <v>864</v>
      </c>
      <c r="C179" s="17" t="s">
        <v>322</v>
      </c>
      <c r="D179" s="377"/>
      <c r="E179" s="376" t="s">
        <v>291</v>
      </c>
      <c r="F179" s="377"/>
      <c r="G179" s="385">
        <f t="shared" si="32"/>
        <v>0</v>
      </c>
      <c r="H179" s="6"/>
      <c r="I179" s="381" t="s">
        <v>291</v>
      </c>
      <c r="J179" s="6"/>
      <c r="K179" s="18">
        <f t="shared" si="33"/>
        <v>0</v>
      </c>
      <c r="N179" s="508" t="str">
        <f t="shared" si="34"/>
        <v xml:space="preserve"> </v>
      </c>
      <c r="O179" s="541"/>
      <c r="P179" s="542">
        <f>'FERC Accts by Customer Class'!H173</f>
        <v>0</v>
      </c>
      <c r="Q179" s="507"/>
      <c r="R179" s="653"/>
      <c r="S179" s="385">
        <v>0</v>
      </c>
      <c r="T179" s="6"/>
      <c r="U179" s="381" t="s">
        <v>291</v>
      </c>
      <c r="V179" s="6"/>
      <c r="W179" s="18">
        <v>0</v>
      </c>
      <c r="X179" s="648"/>
      <c r="Y179" s="385">
        <v>0</v>
      </c>
      <c r="Z179" s="6"/>
      <c r="AA179" s="381" t="s">
        <v>291</v>
      </c>
      <c r="AB179" s="6"/>
      <c r="AC179" s="18">
        <v>0</v>
      </c>
      <c r="AD179" s="648"/>
    </row>
    <row r="180" spans="1:30">
      <c r="A180" s="376">
        <v>173</v>
      </c>
      <c r="B180" s="16">
        <v>865</v>
      </c>
      <c r="C180" s="17" t="s">
        <v>323</v>
      </c>
      <c r="D180" s="377"/>
      <c r="E180" s="376" t="s">
        <v>291</v>
      </c>
      <c r="F180" s="377"/>
      <c r="G180" s="385">
        <f t="shared" si="32"/>
        <v>0</v>
      </c>
      <c r="H180" s="6"/>
      <c r="I180" s="381" t="s">
        <v>291</v>
      </c>
      <c r="J180" s="6"/>
      <c r="K180" s="18">
        <f t="shared" si="33"/>
        <v>0</v>
      </c>
      <c r="N180" s="508" t="str">
        <f t="shared" si="34"/>
        <v xml:space="preserve"> </v>
      </c>
      <c r="O180" s="541"/>
      <c r="P180" s="542">
        <f>'FERC Accts by Customer Class'!H174</f>
        <v>0</v>
      </c>
      <c r="Q180" s="507"/>
      <c r="R180" s="653"/>
      <c r="S180" s="385">
        <v>0</v>
      </c>
      <c r="T180" s="6"/>
      <c r="U180" s="381" t="s">
        <v>291</v>
      </c>
      <c r="V180" s="6"/>
      <c r="W180" s="18">
        <v>0</v>
      </c>
      <c r="X180" s="648"/>
      <c r="Y180" s="385">
        <v>0</v>
      </c>
      <c r="Z180" s="6"/>
      <c r="AA180" s="381" t="s">
        <v>291</v>
      </c>
      <c r="AB180" s="6"/>
      <c r="AC180" s="18">
        <v>0</v>
      </c>
      <c r="AD180" s="648"/>
    </row>
    <row r="181" spans="1:30">
      <c r="A181" s="376">
        <v>174</v>
      </c>
      <c r="B181" s="16">
        <v>866</v>
      </c>
      <c r="C181" s="17" t="s">
        <v>334</v>
      </c>
      <c r="D181" s="377"/>
      <c r="E181" s="376" t="s">
        <v>291</v>
      </c>
      <c r="F181" s="377"/>
      <c r="G181" s="385">
        <f t="shared" si="32"/>
        <v>134.19999999999999</v>
      </c>
      <c r="H181" s="6"/>
      <c r="I181" s="381" t="s">
        <v>291</v>
      </c>
      <c r="J181" s="6"/>
      <c r="K181" s="18">
        <f t="shared" si="33"/>
        <v>138.95768981197887</v>
      </c>
      <c r="N181" s="508">
        <f t="shared" si="34"/>
        <v>0.55248182696507231</v>
      </c>
      <c r="O181" s="539">
        <f>G181*N181</f>
        <v>74.143061178712699</v>
      </c>
      <c r="P181" s="542">
        <f>'FERC Accts by Customer Class'!H175</f>
        <v>76.771598338167905</v>
      </c>
      <c r="Q181" s="507"/>
      <c r="R181" s="653"/>
      <c r="S181" s="385">
        <v>134.19999999999999</v>
      </c>
      <c r="T181" s="6"/>
      <c r="U181" s="381" t="s">
        <v>291</v>
      </c>
      <c r="V181" s="6"/>
      <c r="W181" s="18">
        <v>142.66026657424862</v>
      </c>
      <c r="X181" s="648"/>
      <c r="Y181" s="385">
        <v>134.19999999999999</v>
      </c>
      <c r="Z181" s="6"/>
      <c r="AA181" s="381" t="s">
        <v>291</v>
      </c>
      <c r="AB181" s="6"/>
      <c r="AC181" s="18">
        <v>138.95768981197887</v>
      </c>
      <c r="AD181" s="648"/>
    </row>
    <row r="182" spans="1:30">
      <c r="A182" s="376">
        <v>175</v>
      </c>
      <c r="B182" s="16">
        <v>867</v>
      </c>
      <c r="C182" s="356" t="s">
        <v>335</v>
      </c>
      <c r="D182" s="377"/>
      <c r="E182" s="376" t="s">
        <v>291</v>
      </c>
      <c r="F182" s="377"/>
      <c r="G182" s="386">
        <f t="shared" si="32"/>
        <v>0</v>
      </c>
      <c r="H182" s="6"/>
      <c r="I182" s="381" t="s">
        <v>291</v>
      </c>
      <c r="J182" s="6"/>
      <c r="K182" s="20">
        <f t="shared" si="33"/>
        <v>0</v>
      </c>
      <c r="N182" s="490" t="str">
        <f t="shared" si="34"/>
        <v xml:space="preserve"> </v>
      </c>
      <c r="O182" s="543"/>
      <c r="P182" s="544">
        <f>'FERC Accts by Customer Class'!H176</f>
        <v>0</v>
      </c>
      <c r="Q182" s="507"/>
      <c r="R182" s="653"/>
      <c r="S182" s="386">
        <v>0</v>
      </c>
      <c r="T182" s="6"/>
      <c r="U182" s="381" t="s">
        <v>291</v>
      </c>
      <c r="V182" s="6"/>
      <c r="W182" s="20">
        <v>0</v>
      </c>
      <c r="X182" s="648"/>
      <c r="Y182" s="386">
        <v>0</v>
      </c>
      <c r="Z182" s="6"/>
      <c r="AA182" s="381" t="s">
        <v>291</v>
      </c>
      <c r="AB182" s="6"/>
      <c r="AC182" s="20">
        <v>0</v>
      </c>
      <c r="AD182" s="648"/>
    </row>
    <row r="183" spans="1:30">
      <c r="A183" s="376">
        <v>176</v>
      </c>
      <c r="B183" s="16"/>
      <c r="C183" s="348" t="s">
        <v>336</v>
      </c>
      <c r="D183" s="377"/>
      <c r="E183" s="376"/>
      <c r="F183" s="377"/>
      <c r="G183" s="384">
        <f t="shared" si="32"/>
        <v>20547.09</v>
      </c>
      <c r="H183" s="6"/>
      <c r="I183" s="10"/>
      <c r="J183" s="6"/>
      <c r="K183" s="19">
        <f t="shared" si="33"/>
        <v>19971.130796533835</v>
      </c>
      <c r="N183" s="508">
        <f t="shared" si="34"/>
        <v>0.55248182696507242</v>
      </c>
      <c r="O183" s="523">
        <f>SUM(O176:O182)</f>
        <v>11351.893822015767</v>
      </c>
      <c r="P183" s="523">
        <f>SUM(P176:P182)</f>
        <v>11033.686829027434</v>
      </c>
      <c r="Q183" s="507"/>
      <c r="R183" s="653"/>
      <c r="S183" s="384">
        <v>20547.09</v>
      </c>
      <c r="T183" s="6"/>
      <c r="U183" s="10"/>
      <c r="V183" s="6"/>
      <c r="W183" s="19">
        <v>21029.927760946553</v>
      </c>
      <c r="X183" s="648"/>
      <c r="Y183" s="384">
        <v>20547.09</v>
      </c>
      <c r="Z183" s="6"/>
      <c r="AA183" s="10"/>
      <c r="AB183" s="6"/>
      <c r="AC183" s="19">
        <v>19971.130796533835</v>
      </c>
      <c r="AD183" s="648"/>
    </row>
    <row r="184" spans="1:30">
      <c r="A184" s="376">
        <v>177</v>
      </c>
      <c r="B184" s="16"/>
      <c r="D184" s="377"/>
      <c r="E184" s="376"/>
      <c r="F184" s="377"/>
      <c r="G184" s="384"/>
      <c r="H184" s="6"/>
      <c r="I184" s="10"/>
      <c r="J184" s="6"/>
      <c r="K184" s="18"/>
      <c r="O184" s="528"/>
      <c r="P184" s="528"/>
      <c r="Q184" s="507"/>
      <c r="R184" s="653"/>
      <c r="S184" s="384"/>
      <c r="T184" s="6"/>
      <c r="U184" s="10"/>
      <c r="V184" s="6"/>
      <c r="W184" s="18"/>
      <c r="X184" s="648"/>
      <c r="Y184" s="384"/>
      <c r="Z184" s="6"/>
      <c r="AA184" s="10"/>
      <c r="AB184" s="6"/>
      <c r="AC184" s="18"/>
      <c r="AD184" s="648"/>
    </row>
    <row r="185" spans="1:30">
      <c r="A185" s="376">
        <v>178</v>
      </c>
      <c r="B185" s="16"/>
      <c r="C185" s="348" t="s">
        <v>150</v>
      </c>
      <c r="D185" s="377"/>
      <c r="E185" s="376"/>
      <c r="F185" s="377"/>
      <c r="G185" s="387">
        <f>IF($AF$3=0,$S185,$Y185)</f>
        <v>365205.61000000004</v>
      </c>
      <c r="H185" s="6"/>
      <c r="I185" s="10"/>
      <c r="J185" s="6"/>
      <c r="K185" s="21">
        <f>IF($AF$3=0,$W185,$AC185)</f>
        <v>358694.76192960126</v>
      </c>
      <c r="N185" s="508">
        <f>IF(P185&lt;&gt;0,P185/K185," ")</f>
        <v>0.55244788701730185</v>
      </c>
      <c r="O185" s="526">
        <f>+O173+O183</f>
        <v>201757.19055351257</v>
      </c>
      <c r="P185" s="526">
        <f>+P173+P183</f>
        <v>198160.16331218235</v>
      </c>
      <c r="Q185" s="507"/>
      <c r="R185" s="653"/>
      <c r="S185" s="387">
        <v>365205.61000000004</v>
      </c>
      <c r="T185" s="6"/>
      <c r="U185" s="10"/>
      <c r="V185" s="6"/>
      <c r="W185" s="21">
        <v>367283.66406526748</v>
      </c>
      <c r="X185" s="648"/>
      <c r="Y185" s="387">
        <v>365205.61000000004</v>
      </c>
      <c r="Z185" s="6"/>
      <c r="AA185" s="10"/>
      <c r="AB185" s="6"/>
      <c r="AC185" s="21">
        <v>358694.76192960126</v>
      </c>
      <c r="AD185" s="648"/>
    </row>
    <row r="186" spans="1:30">
      <c r="A186" s="376">
        <v>179</v>
      </c>
      <c r="B186" s="16"/>
      <c r="C186" s="348"/>
      <c r="D186" s="377"/>
      <c r="E186" s="376"/>
      <c r="F186" s="377"/>
      <c r="G186" s="384"/>
      <c r="H186" s="6"/>
      <c r="I186" s="10"/>
      <c r="J186" s="6"/>
      <c r="K186" s="18"/>
      <c r="O186" s="507"/>
      <c r="P186" s="507"/>
      <c r="Q186" s="507"/>
      <c r="R186" s="653"/>
      <c r="S186" s="384"/>
      <c r="T186" s="6"/>
      <c r="U186" s="10"/>
      <c r="V186" s="6"/>
      <c r="W186" s="18"/>
      <c r="X186" s="648"/>
      <c r="Y186" s="384"/>
      <c r="Z186" s="6"/>
      <c r="AA186" s="10"/>
      <c r="AB186" s="6"/>
      <c r="AC186" s="18"/>
      <c r="AD186" s="648"/>
    </row>
    <row r="187" spans="1:30">
      <c r="A187" s="376">
        <v>180</v>
      </c>
      <c r="B187" s="16"/>
      <c r="C187" s="348" t="s">
        <v>337</v>
      </c>
      <c r="D187" s="377"/>
      <c r="E187" s="376"/>
      <c r="F187" s="377"/>
      <c r="H187" s="6"/>
      <c r="I187" s="10"/>
      <c r="J187" s="6"/>
      <c r="K187" s="7"/>
      <c r="O187" s="507"/>
      <c r="P187" s="507"/>
      <c r="Q187" s="507"/>
      <c r="R187" s="653"/>
      <c r="S187" s="320"/>
      <c r="T187" s="6"/>
      <c r="U187" s="10"/>
      <c r="V187" s="6"/>
      <c r="W187" s="7"/>
      <c r="X187" s="648"/>
      <c r="Y187" s="320"/>
      <c r="Z187" s="6"/>
      <c r="AA187" s="10"/>
      <c r="AB187" s="6"/>
      <c r="AC187" s="7"/>
      <c r="AD187" s="648"/>
    </row>
    <row r="188" spans="1:30" ht="13.5">
      <c r="A188" s="376">
        <v>181</v>
      </c>
      <c r="B188" s="16"/>
      <c r="C188" s="358" t="s">
        <v>326</v>
      </c>
      <c r="D188" s="377"/>
      <c r="E188" s="376"/>
      <c r="F188" s="377"/>
      <c r="H188" s="6"/>
      <c r="I188" s="10"/>
      <c r="J188" s="6"/>
      <c r="K188" s="7"/>
      <c r="O188" s="507"/>
      <c r="P188" s="507"/>
      <c r="Q188" s="507"/>
      <c r="R188" s="653"/>
      <c r="S188" s="320"/>
      <c r="T188" s="6"/>
      <c r="U188" s="10"/>
      <c r="V188" s="6"/>
      <c r="W188" s="7"/>
      <c r="X188" s="648"/>
      <c r="Y188" s="320"/>
      <c r="Z188" s="6"/>
      <c r="AA188" s="10"/>
      <c r="AB188" s="6"/>
      <c r="AC188" s="7"/>
      <c r="AD188" s="648"/>
    </row>
    <row r="189" spans="1:30">
      <c r="A189" s="376">
        <v>182</v>
      </c>
      <c r="B189" s="16">
        <v>870</v>
      </c>
      <c r="C189" s="356" t="s">
        <v>338</v>
      </c>
      <c r="D189" s="377"/>
      <c r="E189" s="376" t="s">
        <v>291</v>
      </c>
      <c r="F189" s="377"/>
      <c r="G189" s="320">
        <f t="shared" ref="G189:G200" si="35">IF($AF$3=0,$S189,$Y189)</f>
        <v>3911607.2300000004</v>
      </c>
      <c r="H189" s="22"/>
      <c r="I189" s="376" t="s">
        <v>291</v>
      </c>
      <c r="J189" s="22"/>
      <c r="K189" s="320">
        <f t="shared" ref="K189:K200" si="36">IF($AF$3=0,$W189,$AC189)</f>
        <v>4065042.6123208087</v>
      </c>
      <c r="N189" s="508">
        <f t="shared" ref="N189:N200" si="37">IF(P189&lt;&gt;0,P189/K189," ")</f>
        <v>0.86080551008076678</v>
      </c>
      <c r="O189" s="517">
        <f t="shared" ref="O189:O199" si="38">G189*N189</f>
        <v>3367133.0568557656</v>
      </c>
      <c r="P189" s="545">
        <f>'FERC Accts by Customer Class'!H183</f>
        <v>3499211.0793988663</v>
      </c>
      <c r="Q189" s="507"/>
      <c r="R189" s="653"/>
      <c r="S189" s="320">
        <v>3911607.2300000004</v>
      </c>
      <c r="T189" s="22"/>
      <c r="U189" s="376" t="s">
        <v>291</v>
      </c>
      <c r="V189" s="22"/>
      <c r="W189" s="320">
        <v>4151602.7519252459</v>
      </c>
      <c r="X189" s="648"/>
      <c r="Y189" s="320">
        <v>3911607.2300000004</v>
      </c>
      <c r="Z189" s="22"/>
      <c r="AA189" s="376" t="s">
        <v>291</v>
      </c>
      <c r="AB189" s="22"/>
      <c r="AC189" s="320">
        <v>4065042.6123208087</v>
      </c>
      <c r="AD189" s="648"/>
    </row>
    <row r="190" spans="1:30">
      <c r="A190" s="376">
        <v>183</v>
      </c>
      <c r="B190" s="16">
        <v>871</v>
      </c>
      <c r="C190" s="356" t="s">
        <v>339</v>
      </c>
      <c r="D190" s="377"/>
      <c r="E190" s="376" t="s">
        <v>291</v>
      </c>
      <c r="F190" s="377"/>
      <c r="G190" s="112">
        <f t="shared" si="35"/>
        <v>831.68</v>
      </c>
      <c r="H190" s="23"/>
      <c r="I190" s="381" t="s">
        <v>291</v>
      </c>
      <c r="J190" s="23"/>
      <c r="K190" s="324">
        <f t="shared" si="36"/>
        <v>829.84999999999991</v>
      </c>
      <c r="N190" s="508">
        <f t="shared" si="37"/>
        <v>0.63220549249165581</v>
      </c>
      <c r="O190" s="517">
        <f t="shared" si="38"/>
        <v>525.79266399546032</v>
      </c>
      <c r="P190" s="545">
        <f>'FERC Accts by Customer Class'!H184</f>
        <v>524.63572794420054</v>
      </c>
      <c r="Q190" s="507"/>
      <c r="R190" s="653"/>
      <c r="S190" s="112">
        <v>831.68</v>
      </c>
      <c r="T190" s="23"/>
      <c r="U190" s="381" t="s">
        <v>291</v>
      </c>
      <c r="V190" s="23"/>
      <c r="W190" s="324">
        <v>830.4799999999999</v>
      </c>
      <c r="X190" s="648"/>
      <c r="Y190" s="112">
        <v>831.68</v>
      </c>
      <c r="Z190" s="23"/>
      <c r="AA190" s="381" t="s">
        <v>291</v>
      </c>
      <c r="AB190" s="23"/>
      <c r="AC190" s="324">
        <v>829.84999999999991</v>
      </c>
      <c r="AD190" s="648"/>
    </row>
    <row r="191" spans="1:30">
      <c r="A191" s="376">
        <v>184</v>
      </c>
      <c r="B191" s="16">
        <v>872</v>
      </c>
      <c r="C191" s="356" t="s">
        <v>340</v>
      </c>
      <c r="D191" s="377"/>
      <c r="E191" s="376" t="s">
        <v>291</v>
      </c>
      <c r="F191" s="377"/>
      <c r="G191" s="112">
        <f t="shared" si="35"/>
        <v>147.47999999999999</v>
      </c>
      <c r="H191" s="23"/>
      <c r="I191" s="381" t="s">
        <v>291</v>
      </c>
      <c r="J191" s="23"/>
      <c r="K191" s="324">
        <f t="shared" si="36"/>
        <v>147.47999999999999</v>
      </c>
      <c r="N191" s="508">
        <f t="shared" si="37"/>
        <v>0.72188703188382319</v>
      </c>
      <c r="O191" s="517">
        <f t="shared" si="38"/>
        <v>106.46389946222624</v>
      </c>
      <c r="P191" s="545">
        <f>'FERC Accts by Customer Class'!H185</f>
        <v>106.46389946222624</v>
      </c>
      <c r="Q191" s="507"/>
      <c r="R191" s="653"/>
      <c r="S191" s="112">
        <v>147.47999999999999</v>
      </c>
      <c r="T191" s="23"/>
      <c r="U191" s="381" t="s">
        <v>291</v>
      </c>
      <c r="V191" s="23"/>
      <c r="W191" s="324">
        <v>147.47999999999999</v>
      </c>
      <c r="X191" s="648"/>
      <c r="Y191" s="112">
        <v>147.47999999999999</v>
      </c>
      <c r="Z191" s="23"/>
      <c r="AA191" s="381" t="s">
        <v>291</v>
      </c>
      <c r="AB191" s="23"/>
      <c r="AC191" s="324">
        <v>147.47999999999999</v>
      </c>
      <c r="AD191" s="648"/>
    </row>
    <row r="192" spans="1:30">
      <c r="A192" s="376">
        <v>185</v>
      </c>
      <c r="B192" s="16">
        <v>874</v>
      </c>
      <c r="C192" s="356" t="s">
        <v>341</v>
      </c>
      <c r="D192" s="377"/>
      <c r="E192" s="376" t="s">
        <v>291</v>
      </c>
      <c r="F192" s="377"/>
      <c r="G192" s="112">
        <f t="shared" si="35"/>
        <v>6687347.3100000005</v>
      </c>
      <c r="H192" s="23"/>
      <c r="I192" s="381" t="s">
        <v>291</v>
      </c>
      <c r="J192" s="23"/>
      <c r="K192" s="324">
        <f t="shared" si="36"/>
        <v>7214824.0691544227</v>
      </c>
      <c r="N192" s="508">
        <f t="shared" si="37"/>
        <v>0.87252881996281484</v>
      </c>
      <c r="O192" s="517">
        <f t="shared" si="38"/>
        <v>5834903.2570758043</v>
      </c>
      <c r="P192" s="545">
        <f>'FERC Accts by Customer Class'!H186</f>
        <v>6295141.9312986229</v>
      </c>
      <c r="Q192" s="507"/>
      <c r="R192" s="653"/>
      <c r="S192" s="112">
        <v>6687347.3100000005</v>
      </c>
      <c r="T192" s="23"/>
      <c r="U192" s="381" t="s">
        <v>291</v>
      </c>
      <c r="V192" s="23"/>
      <c r="W192" s="324">
        <v>7497410.608627758</v>
      </c>
      <c r="X192" s="648"/>
      <c r="Y192" s="112">
        <v>6687347.3100000005</v>
      </c>
      <c r="Z192" s="23"/>
      <c r="AA192" s="381" t="s">
        <v>291</v>
      </c>
      <c r="AB192" s="23"/>
      <c r="AC192" s="324">
        <v>7214824.0691544227</v>
      </c>
      <c r="AD192" s="648"/>
    </row>
    <row r="193" spans="1:30">
      <c r="A193" s="376">
        <v>186</v>
      </c>
      <c r="B193" s="16">
        <v>875</v>
      </c>
      <c r="C193" s="356" t="s">
        <v>342</v>
      </c>
      <c r="D193" s="377"/>
      <c r="E193" s="376" t="s">
        <v>291</v>
      </c>
      <c r="F193" s="377"/>
      <c r="G193" s="112">
        <f t="shared" si="35"/>
        <v>1509155.35</v>
      </c>
      <c r="H193" s="23"/>
      <c r="I193" s="381" t="s">
        <v>291</v>
      </c>
      <c r="J193" s="23"/>
      <c r="K193" s="324">
        <f t="shared" si="36"/>
        <v>1218416.7066066319</v>
      </c>
      <c r="N193" s="508">
        <f t="shared" si="37"/>
        <v>0.66922258241140908</v>
      </c>
      <c r="O193" s="517">
        <f t="shared" si="38"/>
        <v>1009960.840586994</v>
      </c>
      <c r="P193" s="545">
        <f>'FERC Accts by Customer Class'!H187</f>
        <v>815391.9748484944</v>
      </c>
      <c r="Q193" s="507"/>
      <c r="R193" s="653"/>
      <c r="S193" s="112">
        <v>1509155.35</v>
      </c>
      <c r="T193" s="23"/>
      <c r="U193" s="381" t="s">
        <v>291</v>
      </c>
      <c r="V193" s="23"/>
      <c r="W193" s="324">
        <v>1236883.9314803244</v>
      </c>
      <c r="X193" s="648"/>
      <c r="Y193" s="112">
        <v>1509155.35</v>
      </c>
      <c r="Z193" s="23"/>
      <c r="AA193" s="381" t="s">
        <v>291</v>
      </c>
      <c r="AB193" s="23"/>
      <c r="AC193" s="324">
        <v>1218416.7066066319</v>
      </c>
      <c r="AD193" s="648"/>
    </row>
    <row r="194" spans="1:30">
      <c r="A194" s="376">
        <v>187</v>
      </c>
      <c r="B194" s="16">
        <v>876</v>
      </c>
      <c r="C194" s="356" t="s">
        <v>343</v>
      </c>
      <c r="D194" s="377"/>
      <c r="E194" s="376" t="s">
        <v>291</v>
      </c>
      <c r="F194" s="377"/>
      <c r="G194" s="112">
        <f t="shared" si="35"/>
        <v>22848.870000000003</v>
      </c>
      <c r="H194" s="23"/>
      <c r="I194" s="381" t="s">
        <v>291</v>
      </c>
      <c r="J194" s="23"/>
      <c r="K194" s="324">
        <f t="shared" si="36"/>
        <v>24200.168481126868</v>
      </c>
      <c r="N194" s="508">
        <f t="shared" si="37"/>
        <v>0.8690390269115793</v>
      </c>
      <c r="O194" s="517">
        <f t="shared" si="38"/>
        <v>19856.559750829179</v>
      </c>
      <c r="P194" s="545">
        <f>'FERC Accts by Customer Class'!H188</f>
        <v>21030.890867934766</v>
      </c>
      <c r="Q194" s="507"/>
      <c r="R194" s="653"/>
      <c r="S194" s="112">
        <v>22848.870000000003</v>
      </c>
      <c r="T194" s="23"/>
      <c r="U194" s="381" t="s">
        <v>291</v>
      </c>
      <c r="V194" s="23"/>
      <c r="W194" s="324">
        <v>24527.737353084423</v>
      </c>
      <c r="X194" s="648"/>
      <c r="Y194" s="112">
        <v>22848.870000000003</v>
      </c>
      <c r="Z194" s="23"/>
      <c r="AA194" s="381" t="s">
        <v>291</v>
      </c>
      <c r="AB194" s="23"/>
      <c r="AC194" s="324">
        <v>24200.168481126868</v>
      </c>
      <c r="AD194" s="648"/>
    </row>
    <row r="195" spans="1:30">
      <c r="A195" s="376">
        <v>188</v>
      </c>
      <c r="B195" s="16">
        <v>877</v>
      </c>
      <c r="C195" s="356" t="s">
        <v>344</v>
      </c>
      <c r="D195" s="377"/>
      <c r="E195" s="376" t="s">
        <v>291</v>
      </c>
      <c r="F195" s="377"/>
      <c r="G195" s="112">
        <f t="shared" si="35"/>
        <v>179142.94</v>
      </c>
      <c r="H195" s="23"/>
      <c r="I195" s="381" t="s">
        <v>291</v>
      </c>
      <c r="J195" s="23"/>
      <c r="K195" s="324">
        <f t="shared" si="36"/>
        <v>199277.10742041876</v>
      </c>
      <c r="N195" s="508">
        <f t="shared" si="37"/>
        <v>0.66922258241140919</v>
      </c>
      <c r="O195" s="517">
        <f t="shared" si="38"/>
        <v>119886.50092757214</v>
      </c>
      <c r="P195" s="545">
        <f>'FERC Accts by Customer Class'!H189</f>
        <v>133360.74044336844</v>
      </c>
      <c r="Q195" s="507"/>
      <c r="R195" s="653"/>
      <c r="S195" s="112">
        <v>179142.94</v>
      </c>
      <c r="T195" s="23"/>
      <c r="U195" s="381" t="s">
        <v>291</v>
      </c>
      <c r="V195" s="23"/>
      <c r="W195" s="324">
        <v>204070.72691340753</v>
      </c>
      <c r="X195" s="648"/>
      <c r="Y195" s="112">
        <v>179142.94</v>
      </c>
      <c r="Z195" s="23"/>
      <c r="AA195" s="381" t="s">
        <v>291</v>
      </c>
      <c r="AB195" s="23"/>
      <c r="AC195" s="324">
        <v>199277.10742041876</v>
      </c>
      <c r="AD195" s="648"/>
    </row>
    <row r="196" spans="1:30">
      <c r="A196" s="376">
        <v>189</v>
      </c>
      <c r="B196" s="16">
        <v>878</v>
      </c>
      <c r="C196" s="356" t="s">
        <v>568</v>
      </c>
      <c r="D196" s="377"/>
      <c r="E196" s="376" t="s">
        <v>291</v>
      </c>
      <c r="F196" s="377"/>
      <c r="G196" s="112">
        <f t="shared" si="35"/>
        <v>1600377.22</v>
      </c>
      <c r="H196" s="6"/>
      <c r="I196" s="381" t="s">
        <v>291</v>
      </c>
      <c r="J196" s="6"/>
      <c r="K196" s="331">
        <f t="shared" si="36"/>
        <v>1734013.2623411347</v>
      </c>
      <c r="M196" s="338"/>
      <c r="N196" s="508">
        <f t="shared" si="37"/>
        <v>0.86903902691157919</v>
      </c>
      <c r="O196" s="517">
        <f t="shared" si="38"/>
        <v>1390790.2619602582</v>
      </c>
      <c r="P196" s="545">
        <f>'FERC Accts by Customer Class'!H190</f>
        <v>1506925.1981567126</v>
      </c>
      <c r="Q196" s="507"/>
      <c r="R196" s="653"/>
      <c r="S196" s="112">
        <v>1600377.22</v>
      </c>
      <c r="T196" s="6"/>
      <c r="U196" s="381" t="s">
        <v>291</v>
      </c>
      <c r="V196" s="6"/>
      <c r="W196" s="331">
        <v>1776105.8011395859</v>
      </c>
      <c r="X196" s="648"/>
      <c r="Y196" s="112">
        <v>1600377.22</v>
      </c>
      <c r="Z196" s="6"/>
      <c r="AA196" s="381" t="s">
        <v>291</v>
      </c>
      <c r="AB196" s="6"/>
      <c r="AC196" s="331">
        <v>1734013.2623411347</v>
      </c>
      <c r="AD196" s="648"/>
    </row>
    <row r="197" spans="1:30">
      <c r="A197" s="376">
        <v>190</v>
      </c>
      <c r="B197" s="16">
        <v>879</v>
      </c>
      <c r="C197" s="356" t="s">
        <v>345</v>
      </c>
      <c r="D197" s="377"/>
      <c r="E197" s="376" t="s">
        <v>291</v>
      </c>
      <c r="F197" s="377"/>
      <c r="G197" s="112">
        <f t="shared" si="35"/>
        <v>1160183.48</v>
      </c>
      <c r="H197" s="6"/>
      <c r="I197" s="381" t="s">
        <v>291</v>
      </c>
      <c r="J197" s="6"/>
      <c r="K197" s="331">
        <f t="shared" si="36"/>
        <v>1240176.63386243</v>
      </c>
      <c r="M197" s="338"/>
      <c r="N197" s="508">
        <f t="shared" si="37"/>
        <v>0.9932156217360445</v>
      </c>
      <c r="O197" s="517">
        <f t="shared" si="38"/>
        <v>1152312.3564160878</v>
      </c>
      <c r="P197" s="545">
        <f>'FERC Accts by Customer Class'!H191</f>
        <v>1231762.8064641883</v>
      </c>
      <c r="Q197" s="507"/>
      <c r="R197" s="653"/>
      <c r="S197" s="112">
        <v>1160183.48</v>
      </c>
      <c r="T197" s="6"/>
      <c r="U197" s="381" t="s">
        <v>291</v>
      </c>
      <c r="V197" s="6"/>
      <c r="W197" s="331">
        <v>1268296.330079837</v>
      </c>
      <c r="X197" s="648"/>
      <c r="Y197" s="112">
        <v>1160183.48</v>
      </c>
      <c r="Z197" s="6"/>
      <c r="AA197" s="381" t="s">
        <v>291</v>
      </c>
      <c r="AB197" s="6"/>
      <c r="AC197" s="331">
        <v>1240176.63386243</v>
      </c>
      <c r="AD197" s="648"/>
    </row>
    <row r="198" spans="1:30">
      <c r="A198" s="376">
        <v>191</v>
      </c>
      <c r="B198" s="16">
        <v>880</v>
      </c>
      <c r="C198" s="356" t="s">
        <v>346</v>
      </c>
      <c r="D198" s="377"/>
      <c r="E198" s="376" t="s">
        <v>291</v>
      </c>
      <c r="F198" s="377"/>
      <c r="G198" s="112">
        <f t="shared" si="35"/>
        <v>8973796.9000000004</v>
      </c>
      <c r="H198" s="6"/>
      <c r="I198" s="381" t="s">
        <v>291</v>
      </c>
      <c r="J198" s="6"/>
      <c r="K198" s="331">
        <f t="shared" si="36"/>
        <v>9694445.2439462245</v>
      </c>
      <c r="M198" s="338"/>
      <c r="N198" s="508">
        <f t="shared" si="37"/>
        <v>0.86168707657505894</v>
      </c>
      <c r="O198" s="517">
        <f t="shared" si="38"/>
        <v>7732604.8165393267</v>
      </c>
      <c r="P198" s="545">
        <f>'FERC Accts by Customer Class'!H192</f>
        <v>8353578.1812730059</v>
      </c>
      <c r="Q198" s="507"/>
      <c r="R198" s="653"/>
      <c r="S198" s="112">
        <v>8973796.9000000004</v>
      </c>
      <c r="T198" s="6"/>
      <c r="U198" s="381" t="s">
        <v>291</v>
      </c>
      <c r="V198" s="6"/>
      <c r="W198" s="331">
        <v>9897721.8505293373</v>
      </c>
      <c r="X198" s="648"/>
      <c r="Y198" s="112">
        <v>8973796.9000000004</v>
      </c>
      <c r="Z198" s="6"/>
      <c r="AA198" s="381" t="s">
        <v>291</v>
      </c>
      <c r="AB198" s="6"/>
      <c r="AC198" s="331">
        <v>9694445.2439462245</v>
      </c>
      <c r="AD198" s="648"/>
    </row>
    <row r="199" spans="1:30">
      <c r="A199" s="376">
        <v>192</v>
      </c>
      <c r="B199" s="16">
        <v>881</v>
      </c>
      <c r="C199" s="356" t="s">
        <v>347</v>
      </c>
      <c r="D199" s="377"/>
      <c r="E199" s="376" t="s">
        <v>291</v>
      </c>
      <c r="F199" s="377"/>
      <c r="G199" s="322">
        <f t="shared" si="35"/>
        <v>36571</v>
      </c>
      <c r="H199" s="6"/>
      <c r="I199" s="381" t="s">
        <v>291</v>
      </c>
      <c r="J199" s="6"/>
      <c r="K199" s="332">
        <f t="shared" si="36"/>
        <v>36553.419800000003</v>
      </c>
      <c r="M199" s="338"/>
      <c r="N199" s="490">
        <f t="shared" si="37"/>
        <v>0.86168707657505894</v>
      </c>
      <c r="O199" s="518">
        <f t="shared" si="38"/>
        <v>31512.758077426479</v>
      </c>
      <c r="P199" s="546">
        <f>'FERC Accts by Customer Class'!H193</f>
        <v>31497.609446282881</v>
      </c>
      <c r="Q199" s="507"/>
      <c r="R199" s="653"/>
      <c r="S199" s="322">
        <v>36571</v>
      </c>
      <c r="T199" s="6"/>
      <c r="U199" s="381" t="s">
        <v>291</v>
      </c>
      <c r="V199" s="6"/>
      <c r="W199" s="332">
        <v>36573.731</v>
      </c>
      <c r="X199" s="648"/>
      <c r="Y199" s="322">
        <v>36571</v>
      </c>
      <c r="Z199" s="6"/>
      <c r="AA199" s="381" t="s">
        <v>291</v>
      </c>
      <c r="AB199" s="6"/>
      <c r="AC199" s="332">
        <v>36553.419800000003</v>
      </c>
      <c r="AD199" s="648"/>
    </row>
    <row r="200" spans="1:30">
      <c r="A200" s="376">
        <v>193</v>
      </c>
      <c r="B200" s="16"/>
      <c r="C200" s="348" t="s">
        <v>348</v>
      </c>
      <c r="D200" s="377"/>
      <c r="E200" s="376"/>
      <c r="F200" s="377"/>
      <c r="G200" s="320">
        <f t="shared" si="35"/>
        <v>24082009.460000001</v>
      </c>
      <c r="H200" s="6"/>
      <c r="I200" s="10"/>
      <c r="J200" s="6"/>
      <c r="K200" s="24">
        <f t="shared" si="36"/>
        <v>25427926.553933196</v>
      </c>
      <c r="M200" s="338"/>
      <c r="N200" s="508">
        <f t="shared" si="37"/>
        <v>0.86080677735948385</v>
      </c>
      <c r="O200" s="523">
        <f>SUM(O189:O199)</f>
        <v>20659592.664753523</v>
      </c>
      <c r="P200" s="523">
        <f>SUM(P189:P199)</f>
        <v>21888531.51182488</v>
      </c>
      <c r="Q200" s="507"/>
      <c r="R200" s="653"/>
      <c r="S200" s="320">
        <v>24082009.460000001</v>
      </c>
      <c r="T200" s="6"/>
      <c r="U200" s="10"/>
      <c r="V200" s="6"/>
      <c r="W200" s="24">
        <v>26094171.429048579</v>
      </c>
      <c r="X200" s="648"/>
      <c r="Y200" s="320">
        <v>24082009.460000001</v>
      </c>
      <c r="Z200" s="6"/>
      <c r="AA200" s="10"/>
      <c r="AB200" s="6"/>
      <c r="AC200" s="24">
        <v>25427926.553933196</v>
      </c>
      <c r="AD200" s="648"/>
    </row>
    <row r="201" spans="1:30">
      <c r="A201" s="376">
        <v>194</v>
      </c>
      <c r="B201" s="16"/>
      <c r="D201" s="377"/>
      <c r="E201" s="376"/>
      <c r="F201" s="377"/>
      <c r="H201" s="6"/>
      <c r="I201" s="10"/>
      <c r="J201" s="6"/>
      <c r="K201" s="7"/>
      <c r="M201" s="338"/>
      <c r="O201" s="507"/>
      <c r="P201" s="507"/>
      <c r="Q201" s="507"/>
      <c r="R201" s="653"/>
      <c r="S201" s="320"/>
      <c r="T201" s="6"/>
      <c r="U201" s="10"/>
      <c r="V201" s="6"/>
      <c r="W201" s="7"/>
      <c r="X201" s="648"/>
      <c r="Y201" s="320"/>
      <c r="Z201" s="6"/>
      <c r="AA201" s="10"/>
      <c r="AB201" s="6"/>
      <c r="AC201" s="7"/>
      <c r="AD201" s="648"/>
    </row>
    <row r="202" spans="1:30" ht="13.5">
      <c r="A202" s="376">
        <v>195</v>
      </c>
      <c r="B202" s="16"/>
      <c r="C202" s="358" t="s">
        <v>333</v>
      </c>
      <c r="D202" s="377"/>
      <c r="E202" s="376"/>
      <c r="F202" s="377"/>
      <c r="H202" s="6"/>
      <c r="I202" s="10"/>
      <c r="J202" s="6"/>
      <c r="K202" s="7"/>
      <c r="M202" s="338"/>
      <c r="O202" s="507"/>
      <c r="P202" s="507"/>
      <c r="Q202" s="507"/>
      <c r="R202" s="653"/>
      <c r="S202" s="320"/>
      <c r="T202" s="6"/>
      <c r="U202" s="10"/>
      <c r="V202" s="6"/>
      <c r="W202" s="7"/>
      <c r="X202" s="648"/>
      <c r="Y202" s="320"/>
      <c r="Z202" s="6"/>
      <c r="AA202" s="10"/>
      <c r="AB202" s="6"/>
      <c r="AC202" s="7"/>
      <c r="AD202" s="648"/>
    </row>
    <row r="203" spans="1:30">
      <c r="A203" s="376">
        <v>196</v>
      </c>
      <c r="B203" s="16">
        <v>885</v>
      </c>
      <c r="C203" s="356" t="s">
        <v>349</v>
      </c>
      <c r="D203" s="377"/>
      <c r="E203" s="376" t="s">
        <v>291</v>
      </c>
      <c r="F203" s="377"/>
      <c r="G203" s="320">
        <f t="shared" ref="G203:G213" si="39">IF($AF$3=0,$S203,$Y203)</f>
        <v>202.67000000000002</v>
      </c>
      <c r="H203" s="6"/>
      <c r="I203" s="376" t="s">
        <v>291</v>
      </c>
      <c r="J203" s="6"/>
      <c r="K203" s="320">
        <f t="shared" ref="K203:K213" si="40">IF($AF$3=0,$W203,$AC203)</f>
        <v>202.67000000000002</v>
      </c>
      <c r="N203" s="508">
        <f t="shared" ref="N203:N213" si="41">IF(P203&lt;&gt;0,P203/K203," ")</f>
        <v>0.82733495007210112</v>
      </c>
      <c r="O203" s="517">
        <f t="shared" ref="O203:O212" si="42">G203*N203</f>
        <v>167.67597433111274</v>
      </c>
      <c r="P203" s="545">
        <f>'FERC Accts by Customer Class'!H197</f>
        <v>167.67597433111274</v>
      </c>
      <c r="Q203" s="507"/>
      <c r="R203" s="653"/>
      <c r="S203" s="320">
        <v>202.67000000000002</v>
      </c>
      <c r="T203" s="6"/>
      <c r="U203" s="376" t="s">
        <v>291</v>
      </c>
      <c r="V203" s="6"/>
      <c r="W203" s="320">
        <v>202.67000000000002</v>
      </c>
      <c r="X203" s="648"/>
      <c r="Y203" s="320">
        <v>202.67000000000002</v>
      </c>
      <c r="Z203" s="6"/>
      <c r="AA203" s="376" t="s">
        <v>291</v>
      </c>
      <c r="AB203" s="6"/>
      <c r="AC203" s="320">
        <v>202.67000000000002</v>
      </c>
      <c r="AD203" s="648"/>
    </row>
    <row r="204" spans="1:30">
      <c r="A204" s="376">
        <v>197</v>
      </c>
      <c r="B204" s="16">
        <v>886</v>
      </c>
      <c r="C204" s="356" t="s">
        <v>294</v>
      </c>
      <c r="D204" s="377"/>
      <c r="E204" s="376" t="s">
        <v>291</v>
      </c>
      <c r="F204" s="377"/>
      <c r="G204" s="112">
        <f t="shared" si="39"/>
        <v>301.74</v>
      </c>
      <c r="H204" s="6"/>
      <c r="I204" s="381" t="s">
        <v>291</v>
      </c>
      <c r="J204" s="6"/>
      <c r="K204" s="324">
        <f t="shared" si="40"/>
        <v>301.74</v>
      </c>
      <c r="N204" s="508">
        <f t="shared" si="41"/>
        <v>0.67237672202337784</v>
      </c>
      <c r="O204" s="517">
        <f t="shared" si="42"/>
        <v>202.88295210333405</v>
      </c>
      <c r="P204" s="545">
        <f>'FERC Accts by Customer Class'!H198</f>
        <v>202.88295210333402</v>
      </c>
      <c r="Q204" s="507"/>
      <c r="R204" s="653"/>
      <c r="S204" s="112">
        <v>301.74</v>
      </c>
      <c r="T204" s="6"/>
      <c r="U204" s="381" t="s">
        <v>291</v>
      </c>
      <c r="V204" s="6"/>
      <c r="W204" s="324">
        <v>301.74</v>
      </c>
      <c r="X204" s="648"/>
      <c r="Y204" s="112">
        <v>301.74</v>
      </c>
      <c r="Z204" s="6"/>
      <c r="AA204" s="381" t="s">
        <v>291</v>
      </c>
      <c r="AB204" s="6"/>
      <c r="AC204" s="324">
        <v>301.74</v>
      </c>
      <c r="AD204" s="648"/>
    </row>
    <row r="205" spans="1:30">
      <c r="A205" s="376">
        <v>198</v>
      </c>
      <c r="B205" s="16">
        <v>887</v>
      </c>
      <c r="C205" s="356" t="s">
        <v>569</v>
      </c>
      <c r="D205" s="377"/>
      <c r="E205" s="376" t="s">
        <v>291</v>
      </c>
      <c r="F205" s="377"/>
      <c r="G205" s="385">
        <f t="shared" si="39"/>
        <v>511842</v>
      </c>
      <c r="H205" s="6"/>
      <c r="I205" s="381" t="s">
        <v>291</v>
      </c>
      <c r="J205" s="6"/>
      <c r="K205" s="331">
        <f t="shared" si="40"/>
        <v>520525.31977455213</v>
      </c>
      <c r="N205" s="508">
        <f t="shared" si="41"/>
        <v>0.82916459753308558</v>
      </c>
      <c r="O205" s="517">
        <f t="shared" si="42"/>
        <v>424401.26593052957</v>
      </c>
      <c r="P205" s="545">
        <f>'FERC Accts by Customer Class'!H199</f>
        <v>431601.16727664717</v>
      </c>
      <c r="Q205" s="507"/>
      <c r="R205" s="653"/>
      <c r="S205" s="385">
        <v>511842</v>
      </c>
      <c r="T205" s="6"/>
      <c r="U205" s="381" t="s">
        <v>291</v>
      </c>
      <c r="V205" s="6"/>
      <c r="W205" s="331">
        <v>533709.21128172288</v>
      </c>
      <c r="X205" s="648"/>
      <c r="Y205" s="385">
        <v>511842</v>
      </c>
      <c r="Z205" s="6"/>
      <c r="AA205" s="381" t="s">
        <v>291</v>
      </c>
      <c r="AB205" s="6"/>
      <c r="AC205" s="331">
        <v>520525.31977455213</v>
      </c>
      <c r="AD205" s="648"/>
    </row>
    <row r="206" spans="1:30">
      <c r="A206" s="376">
        <v>199</v>
      </c>
      <c r="B206" s="16">
        <v>888</v>
      </c>
      <c r="C206" s="356" t="s">
        <v>350</v>
      </c>
      <c r="D206" s="377"/>
      <c r="E206" s="376" t="s">
        <v>291</v>
      </c>
      <c r="F206" s="377"/>
      <c r="G206" s="385">
        <f t="shared" si="39"/>
        <v>6877.66</v>
      </c>
      <c r="H206" s="6"/>
      <c r="I206" s="381" t="s">
        <v>291</v>
      </c>
      <c r="J206" s="6"/>
      <c r="K206" s="331">
        <f t="shared" si="40"/>
        <v>7681.0148431820871</v>
      </c>
      <c r="N206" s="508">
        <f t="shared" si="41"/>
        <v>0.72188703188382297</v>
      </c>
      <c r="O206" s="517">
        <f t="shared" si="42"/>
        <v>4964.893563706094</v>
      </c>
      <c r="P206" s="545">
        <f>'FERC Accts by Customer Class'!H200</f>
        <v>5544.825007000305</v>
      </c>
      <c r="Q206" s="507"/>
      <c r="R206" s="653"/>
      <c r="S206" s="385">
        <v>6877.66</v>
      </c>
      <c r="T206" s="6"/>
      <c r="U206" s="381" t="s">
        <v>291</v>
      </c>
      <c r="V206" s="6"/>
      <c r="W206" s="331">
        <v>7885.3753981432819</v>
      </c>
      <c r="X206" s="648"/>
      <c r="Y206" s="385">
        <v>6877.66</v>
      </c>
      <c r="Z206" s="6"/>
      <c r="AA206" s="381" t="s">
        <v>291</v>
      </c>
      <c r="AB206" s="6"/>
      <c r="AC206" s="331">
        <v>7681.0148431820871</v>
      </c>
      <c r="AD206" s="648"/>
    </row>
    <row r="207" spans="1:30">
      <c r="A207" s="376">
        <v>200</v>
      </c>
      <c r="B207" s="16">
        <v>889</v>
      </c>
      <c r="C207" s="356" t="s">
        <v>351</v>
      </c>
      <c r="D207" s="377"/>
      <c r="E207" s="376" t="s">
        <v>291</v>
      </c>
      <c r="F207" s="377"/>
      <c r="G207" s="385">
        <f t="shared" si="39"/>
        <v>294798.67000000004</v>
      </c>
      <c r="H207" s="6"/>
      <c r="I207" s="381" t="s">
        <v>291</v>
      </c>
      <c r="J207" s="6"/>
      <c r="K207" s="331">
        <f t="shared" si="40"/>
        <v>304842.34098551114</v>
      </c>
      <c r="N207" s="508">
        <f t="shared" si="41"/>
        <v>0.66922258241140908</v>
      </c>
      <c r="O207" s="517">
        <f t="shared" si="42"/>
        <v>197285.92722884883</v>
      </c>
      <c r="P207" s="545">
        <f>'FERC Accts by Customer Class'!H201</f>
        <v>204007.3786626631</v>
      </c>
      <c r="Q207" s="507"/>
      <c r="R207" s="653"/>
      <c r="S207" s="385">
        <v>294798.67000000004</v>
      </c>
      <c r="T207" s="6"/>
      <c r="U207" s="381" t="s">
        <v>291</v>
      </c>
      <c r="V207" s="6"/>
      <c r="W207" s="331">
        <v>309381.26917127252</v>
      </c>
      <c r="X207" s="648"/>
      <c r="Y207" s="385">
        <v>294798.67000000004</v>
      </c>
      <c r="Z207" s="6"/>
      <c r="AA207" s="381" t="s">
        <v>291</v>
      </c>
      <c r="AB207" s="6"/>
      <c r="AC207" s="331">
        <v>304842.34098551114</v>
      </c>
      <c r="AD207" s="648"/>
    </row>
    <row r="208" spans="1:30">
      <c r="A208" s="376">
        <v>201</v>
      </c>
      <c r="B208" s="16">
        <v>890</v>
      </c>
      <c r="C208" s="356" t="s">
        <v>352</v>
      </c>
      <c r="D208" s="377"/>
      <c r="E208" s="376" t="s">
        <v>291</v>
      </c>
      <c r="F208" s="377"/>
      <c r="G208" s="385">
        <f t="shared" si="39"/>
        <v>79113.26999999999</v>
      </c>
      <c r="H208" s="6"/>
      <c r="I208" s="381" t="s">
        <v>291</v>
      </c>
      <c r="J208" s="6"/>
      <c r="K208" s="331">
        <f t="shared" si="40"/>
        <v>83490.124143431603</v>
      </c>
      <c r="M208" s="338"/>
      <c r="N208" s="508">
        <f t="shared" si="41"/>
        <v>0.86903902691157908</v>
      </c>
      <c r="O208" s="517">
        <f t="shared" si="42"/>
        <v>68752.519176593007</v>
      </c>
      <c r="P208" s="545">
        <f>'FERC Accts by Customer Class'!H202</f>
        <v>72556.176242334739</v>
      </c>
      <c r="Q208" s="507"/>
      <c r="R208" s="653"/>
      <c r="S208" s="385">
        <v>79113.26999999999</v>
      </c>
      <c r="T208" s="6"/>
      <c r="U208" s="381" t="s">
        <v>291</v>
      </c>
      <c r="V208" s="6"/>
      <c r="W208" s="331">
        <v>85320.57135660568</v>
      </c>
      <c r="X208" s="648"/>
      <c r="Y208" s="385">
        <v>79113.26999999999</v>
      </c>
      <c r="Z208" s="6"/>
      <c r="AA208" s="381" t="s">
        <v>291</v>
      </c>
      <c r="AB208" s="6"/>
      <c r="AC208" s="331">
        <v>83490.124143431603</v>
      </c>
      <c r="AD208" s="648"/>
    </row>
    <row r="209" spans="1:30">
      <c r="A209" s="376">
        <v>202</v>
      </c>
      <c r="B209" s="16">
        <v>891</v>
      </c>
      <c r="C209" s="356" t="s">
        <v>353</v>
      </c>
      <c r="D209" s="377"/>
      <c r="E209" s="376" t="s">
        <v>291</v>
      </c>
      <c r="F209" s="377"/>
      <c r="G209" s="385">
        <f t="shared" si="39"/>
        <v>497327.22000000003</v>
      </c>
      <c r="H209" s="6"/>
      <c r="I209" s="381" t="s">
        <v>291</v>
      </c>
      <c r="J209" s="6"/>
      <c r="K209" s="331">
        <f t="shared" si="40"/>
        <v>509769.67425050912</v>
      </c>
      <c r="M209" s="338"/>
      <c r="N209" s="508">
        <f t="shared" si="41"/>
        <v>0.66922258241140919</v>
      </c>
      <c r="O209" s="517">
        <f t="shared" si="42"/>
        <v>332822.60647188703</v>
      </c>
      <c r="P209" s="545">
        <f>'FERC Accts by Customer Class'!H203</f>
        <v>341149.37783694855</v>
      </c>
      <c r="Q209" s="507"/>
      <c r="R209" s="653"/>
      <c r="S209" s="385">
        <v>497327.22000000003</v>
      </c>
      <c r="T209" s="6"/>
      <c r="U209" s="381" t="s">
        <v>291</v>
      </c>
      <c r="V209" s="6"/>
      <c r="W209" s="331">
        <v>517018.79350646381</v>
      </c>
      <c r="X209" s="648"/>
      <c r="Y209" s="385">
        <v>497327.22000000003</v>
      </c>
      <c r="Z209" s="6"/>
      <c r="AA209" s="381" t="s">
        <v>291</v>
      </c>
      <c r="AB209" s="6"/>
      <c r="AC209" s="331">
        <v>509769.67425050912</v>
      </c>
      <c r="AD209" s="648"/>
    </row>
    <row r="210" spans="1:30">
      <c r="A210" s="376">
        <v>203</v>
      </c>
      <c r="B210" s="16">
        <v>892</v>
      </c>
      <c r="C210" s="356" t="s">
        <v>354</v>
      </c>
      <c r="D210" s="377"/>
      <c r="E210" s="376" t="s">
        <v>291</v>
      </c>
      <c r="F210" s="377"/>
      <c r="G210" s="385">
        <f t="shared" si="39"/>
        <v>422368.78</v>
      </c>
      <c r="H210" s="6"/>
      <c r="I210" s="381" t="s">
        <v>291</v>
      </c>
      <c r="J210" s="6"/>
      <c r="K210" s="331">
        <f t="shared" si="40"/>
        <v>455433.99012575269</v>
      </c>
      <c r="M210" s="338"/>
      <c r="N210" s="508">
        <f t="shared" si="41"/>
        <v>0.99321562173604461</v>
      </c>
      <c r="O210" s="517">
        <f t="shared" si="42"/>
        <v>419503.27042959468</v>
      </c>
      <c r="P210" s="545">
        <f>'FERC Accts by Customer Class'!H204</f>
        <v>452344.15366247704</v>
      </c>
      <c r="Q210" s="507"/>
      <c r="R210" s="653"/>
      <c r="S210" s="385">
        <v>422368.78</v>
      </c>
      <c r="T210" s="6"/>
      <c r="U210" s="381" t="s">
        <v>291</v>
      </c>
      <c r="V210" s="6"/>
      <c r="W210" s="331">
        <v>466193.6705827298</v>
      </c>
      <c r="X210" s="648"/>
      <c r="Y210" s="385">
        <v>422368.78</v>
      </c>
      <c r="Z210" s="6"/>
      <c r="AA210" s="381" t="s">
        <v>291</v>
      </c>
      <c r="AB210" s="6"/>
      <c r="AC210" s="331">
        <v>455433.99012575269</v>
      </c>
      <c r="AD210" s="648"/>
    </row>
    <row r="211" spans="1:30">
      <c r="A211" s="376">
        <v>204</v>
      </c>
      <c r="B211" s="16">
        <v>893</v>
      </c>
      <c r="C211" s="356" t="s">
        <v>355</v>
      </c>
      <c r="D211" s="377"/>
      <c r="E211" s="376" t="s">
        <v>291</v>
      </c>
      <c r="F211" s="377"/>
      <c r="G211" s="385">
        <f t="shared" si="39"/>
        <v>1021188.2499999999</v>
      </c>
      <c r="H211" s="6"/>
      <c r="I211" s="381" t="s">
        <v>291</v>
      </c>
      <c r="J211" s="6"/>
      <c r="K211" s="331">
        <f t="shared" si="40"/>
        <v>1070351.1555256925</v>
      </c>
      <c r="M211" s="338"/>
      <c r="N211" s="508">
        <f t="shared" si="41"/>
        <v>0.8690390269115793</v>
      </c>
      <c r="O211" s="517">
        <f t="shared" si="42"/>
        <v>887452.44307353848</v>
      </c>
      <c r="P211" s="545">
        <f>'FERC Accts by Customer Class'!H205</f>
        <v>930176.9266517323</v>
      </c>
      <c r="Q211" s="507"/>
      <c r="R211" s="653"/>
      <c r="S211" s="385">
        <v>1021188.2499999999</v>
      </c>
      <c r="T211" s="6"/>
      <c r="U211" s="381" t="s">
        <v>291</v>
      </c>
      <c r="V211" s="6"/>
      <c r="W211" s="331">
        <v>1091228.2249314047</v>
      </c>
      <c r="X211" s="648"/>
      <c r="Y211" s="385">
        <v>1021188.2499999999</v>
      </c>
      <c r="Z211" s="6"/>
      <c r="AA211" s="381" t="s">
        <v>291</v>
      </c>
      <c r="AB211" s="6"/>
      <c r="AC211" s="331">
        <v>1070351.1555256925</v>
      </c>
      <c r="AD211" s="648"/>
    </row>
    <row r="212" spans="1:30">
      <c r="A212" s="376">
        <v>205</v>
      </c>
      <c r="B212" s="16">
        <v>894</v>
      </c>
      <c r="C212" s="356" t="s">
        <v>356</v>
      </c>
      <c r="D212" s="377"/>
      <c r="E212" s="376" t="s">
        <v>291</v>
      </c>
      <c r="F212" s="377"/>
      <c r="G212" s="386">
        <f t="shared" si="39"/>
        <v>131915.78000000003</v>
      </c>
      <c r="H212" s="6"/>
      <c r="I212" s="381" t="s">
        <v>291</v>
      </c>
      <c r="J212" s="6"/>
      <c r="K212" s="332">
        <f t="shared" si="40"/>
        <v>146627.87107701585</v>
      </c>
      <c r="M212" s="338"/>
      <c r="N212" s="490">
        <f t="shared" si="41"/>
        <v>0.86168707657505883</v>
      </c>
      <c r="O212" s="518">
        <f t="shared" si="42"/>
        <v>113670.12282231863</v>
      </c>
      <c r="P212" s="546">
        <f>'FERC Accts by Customer Class'!H206</f>
        <v>126347.34157277842</v>
      </c>
      <c r="Q212" s="507"/>
      <c r="R212" s="653"/>
      <c r="S212" s="386">
        <v>131915.78000000003</v>
      </c>
      <c r="T212" s="6"/>
      <c r="U212" s="381" t="s">
        <v>291</v>
      </c>
      <c r="V212" s="6"/>
      <c r="W212" s="332">
        <v>150048.84414227656</v>
      </c>
      <c r="X212" s="648"/>
      <c r="Y212" s="386">
        <v>131915.78000000003</v>
      </c>
      <c r="Z212" s="6"/>
      <c r="AA212" s="381" t="s">
        <v>291</v>
      </c>
      <c r="AB212" s="6"/>
      <c r="AC212" s="332">
        <v>146627.87107701585</v>
      </c>
      <c r="AD212" s="648"/>
    </row>
    <row r="213" spans="1:30">
      <c r="A213" s="376">
        <v>206</v>
      </c>
      <c r="B213" s="16"/>
      <c r="C213" s="348" t="s">
        <v>357</v>
      </c>
      <c r="D213" s="377"/>
      <c r="E213" s="376"/>
      <c r="F213" s="377"/>
      <c r="G213" s="320">
        <f t="shared" si="39"/>
        <v>2965936.04</v>
      </c>
      <c r="H213" s="6"/>
      <c r="I213" s="10"/>
      <c r="J213" s="6"/>
      <c r="K213" s="24">
        <f t="shared" si="40"/>
        <v>3099225.9007256473</v>
      </c>
      <c r="M213" s="338"/>
      <c r="N213" s="508">
        <f t="shared" si="41"/>
        <v>0.82733495007210101</v>
      </c>
      <c r="O213" s="523">
        <f>SUM(O203:O212)</f>
        <v>2449223.6076234509</v>
      </c>
      <c r="P213" s="523">
        <f>SUM(P203:P212)</f>
        <v>2564097.9058390157</v>
      </c>
      <c r="Q213" s="507"/>
      <c r="R213" s="653"/>
      <c r="S213" s="320">
        <v>2965936.04</v>
      </c>
      <c r="T213" s="6"/>
      <c r="U213" s="10"/>
      <c r="V213" s="6"/>
      <c r="W213" s="24">
        <v>3161290.370370619</v>
      </c>
      <c r="X213" s="648"/>
      <c r="Y213" s="320">
        <v>2965936.04</v>
      </c>
      <c r="Z213" s="6"/>
      <c r="AA213" s="10"/>
      <c r="AB213" s="6"/>
      <c r="AC213" s="24">
        <v>3099225.9007256473</v>
      </c>
      <c r="AD213" s="648"/>
    </row>
    <row r="214" spans="1:30">
      <c r="A214" s="376">
        <v>207</v>
      </c>
      <c r="B214" s="16"/>
      <c r="D214" s="377"/>
      <c r="E214" s="376"/>
      <c r="F214" s="377"/>
      <c r="H214" s="6"/>
      <c r="I214" s="10"/>
      <c r="J214" s="6"/>
      <c r="K214" s="7"/>
      <c r="M214" s="338"/>
      <c r="O214" s="507"/>
      <c r="P214" s="507"/>
      <c r="Q214" s="507"/>
      <c r="R214" s="653"/>
      <c r="S214" s="320"/>
      <c r="T214" s="6"/>
      <c r="U214" s="10"/>
      <c r="V214" s="6"/>
      <c r="W214" s="7"/>
      <c r="X214" s="648"/>
      <c r="Y214" s="320"/>
      <c r="Z214" s="6"/>
      <c r="AA214" s="10"/>
      <c r="AB214" s="6"/>
      <c r="AC214" s="7"/>
      <c r="AD214" s="648"/>
    </row>
    <row r="215" spans="1:30">
      <c r="A215" s="376">
        <v>208</v>
      </c>
      <c r="B215" s="16"/>
      <c r="C215" s="348" t="s">
        <v>358</v>
      </c>
      <c r="D215" s="380"/>
      <c r="E215" s="316"/>
      <c r="F215" s="380"/>
      <c r="G215" s="323">
        <f>IF($AF$3=0,$S215,$Y215)</f>
        <v>27047945.5</v>
      </c>
      <c r="H215" s="25"/>
      <c r="I215" s="26"/>
      <c r="J215" s="25"/>
      <c r="K215" s="15">
        <f>IF($AF$3=0,$W215,$AC215)</f>
        <v>28527152.454658844</v>
      </c>
      <c r="M215" s="338"/>
      <c r="N215" s="508">
        <f>IF(P215&lt;&gt;0,P215/K215," ")</f>
        <v>0.85717035573490874</v>
      </c>
      <c r="O215" s="521">
        <f>G215*N215</f>
        <v>23184697.066133425</v>
      </c>
      <c r="P215" s="521">
        <f>'FERC Accts by Customer Class'!H209</f>
        <v>24452629.417663895</v>
      </c>
      <c r="Q215" s="507"/>
      <c r="R215" s="653"/>
      <c r="S215" s="323">
        <v>27047945.5</v>
      </c>
      <c r="T215" s="25"/>
      <c r="U215" s="26"/>
      <c r="V215" s="25"/>
      <c r="W215" s="15">
        <v>29255461.799419198</v>
      </c>
      <c r="X215" s="648"/>
      <c r="Y215" s="323">
        <v>27047945.5</v>
      </c>
      <c r="Z215" s="25"/>
      <c r="AA215" s="26"/>
      <c r="AB215" s="25"/>
      <c r="AC215" s="15">
        <v>28527152.454658844</v>
      </c>
      <c r="AD215" s="648"/>
    </row>
    <row r="216" spans="1:30">
      <c r="A216" s="376">
        <v>209</v>
      </c>
      <c r="B216" s="16"/>
      <c r="D216" s="377"/>
      <c r="E216" s="376"/>
      <c r="F216" s="377"/>
      <c r="H216" s="6"/>
      <c r="I216" s="10"/>
      <c r="J216" s="6"/>
      <c r="K216" s="7"/>
      <c r="M216" s="338"/>
      <c r="O216" s="507"/>
      <c r="P216" s="507"/>
      <c r="Q216" s="507"/>
      <c r="R216" s="653"/>
      <c r="S216" s="320"/>
      <c r="T216" s="6"/>
      <c r="U216" s="10"/>
      <c r="V216" s="6"/>
      <c r="W216" s="7"/>
      <c r="X216" s="648"/>
      <c r="Y216" s="320"/>
      <c r="Z216" s="6"/>
      <c r="AA216" s="10"/>
      <c r="AB216" s="6"/>
      <c r="AC216" s="7"/>
      <c r="AD216" s="648"/>
    </row>
    <row r="217" spans="1:30">
      <c r="A217" s="376">
        <v>210</v>
      </c>
      <c r="B217" s="16"/>
      <c r="C217" s="348" t="s">
        <v>359</v>
      </c>
      <c r="D217" s="377"/>
      <c r="E217" s="376"/>
      <c r="F217" s="377"/>
      <c r="H217" s="6"/>
      <c r="I217" s="10"/>
      <c r="J217" s="6"/>
      <c r="K217" s="7"/>
      <c r="O217" s="507"/>
      <c r="P217" s="507"/>
      <c r="Q217" s="507"/>
      <c r="R217" s="653"/>
      <c r="S217" s="320"/>
      <c r="T217" s="6"/>
      <c r="U217" s="10"/>
      <c r="V217" s="6"/>
      <c r="W217" s="7"/>
      <c r="X217" s="648"/>
      <c r="Y217" s="320"/>
      <c r="Z217" s="6"/>
      <c r="AA217" s="10"/>
      <c r="AB217" s="6"/>
      <c r="AC217" s="7"/>
      <c r="AD217" s="648"/>
    </row>
    <row r="218" spans="1:30" ht="13.5">
      <c r="A218" s="376">
        <v>211</v>
      </c>
      <c r="B218" s="16"/>
      <c r="C218" s="358" t="s">
        <v>326</v>
      </c>
      <c r="D218" s="377"/>
      <c r="E218" s="376"/>
      <c r="F218" s="377"/>
      <c r="H218" s="6"/>
      <c r="I218" s="10"/>
      <c r="J218" s="6"/>
      <c r="K218" s="7"/>
      <c r="O218" s="507"/>
      <c r="P218" s="507"/>
      <c r="Q218" s="507"/>
      <c r="R218" s="653"/>
      <c r="S218" s="320"/>
      <c r="T218" s="6"/>
      <c r="U218" s="10"/>
      <c r="V218" s="6"/>
      <c r="W218" s="7"/>
      <c r="X218" s="648"/>
      <c r="Y218" s="320"/>
      <c r="Z218" s="6"/>
      <c r="AA218" s="10"/>
      <c r="AB218" s="6"/>
      <c r="AC218" s="7"/>
      <c r="AD218" s="648"/>
    </row>
    <row r="219" spans="1:30">
      <c r="A219" s="376">
        <v>212</v>
      </c>
      <c r="B219" s="16">
        <v>901</v>
      </c>
      <c r="C219" s="359" t="s">
        <v>570</v>
      </c>
      <c r="D219" s="377"/>
      <c r="E219" s="376" t="s">
        <v>291</v>
      </c>
      <c r="F219" s="377"/>
      <c r="G219" s="320">
        <f t="shared" ref="G219:G224" si="43">IF($AF$3=0,$S219,$Y219)</f>
        <v>254770.15999999997</v>
      </c>
      <c r="H219" s="22"/>
      <c r="I219" s="27" t="s">
        <v>291</v>
      </c>
      <c r="J219" s="22"/>
      <c r="K219" s="320">
        <f t="shared" ref="K219:K224" si="44">IF($AF$3=0,$W219,$AC219)</f>
        <v>258554.74256354259</v>
      </c>
      <c r="N219" s="508">
        <f t="shared" ref="N219:N224" si="45">IF(P219&lt;&gt;0,P219/K219," ")</f>
        <v>0.94873241983789069</v>
      </c>
      <c r="O219" s="517">
        <f>G219*N219</f>
        <v>241708.71039928656</v>
      </c>
      <c r="P219" s="545">
        <f>'FERC Accts by Customer Class'!H225</f>
        <v>245299.26657287264</v>
      </c>
      <c r="Q219" s="507"/>
      <c r="R219" s="653"/>
      <c r="S219" s="320">
        <v>254770.15999999997</v>
      </c>
      <c r="T219" s="22"/>
      <c r="U219" s="27" t="s">
        <v>291</v>
      </c>
      <c r="V219" s="22"/>
      <c r="W219" s="320">
        <v>259161.58313258324</v>
      </c>
      <c r="X219" s="648"/>
      <c r="Y219" s="320">
        <v>254770.15999999997</v>
      </c>
      <c r="Z219" s="22"/>
      <c r="AA219" s="27" t="s">
        <v>291</v>
      </c>
      <c r="AB219" s="22"/>
      <c r="AC219" s="320">
        <v>258554.74256354259</v>
      </c>
      <c r="AD219" s="648"/>
    </row>
    <row r="220" spans="1:30">
      <c r="A220" s="376">
        <v>213</v>
      </c>
      <c r="B220" s="16">
        <v>902</v>
      </c>
      <c r="C220" s="359" t="s">
        <v>571</v>
      </c>
      <c r="D220" s="377"/>
      <c r="E220" s="376" t="s">
        <v>291</v>
      </c>
      <c r="F220" s="377"/>
      <c r="G220" s="112">
        <f t="shared" si="43"/>
        <v>664994.84</v>
      </c>
      <c r="H220" s="6"/>
      <c r="I220" s="381" t="s">
        <v>291</v>
      </c>
      <c r="J220" s="6"/>
      <c r="K220" s="324">
        <f t="shared" si="44"/>
        <v>714264.13289960171</v>
      </c>
      <c r="M220" s="338"/>
      <c r="N220" s="508">
        <f t="shared" si="45"/>
        <v>0.94873241983789069</v>
      </c>
      <c r="O220" s="517">
        <f>G220*N220</f>
        <v>630902.16373291088</v>
      </c>
      <c r="P220" s="545">
        <f>'FERC Accts by Customer Class'!H226</f>
        <v>677645.53920925187</v>
      </c>
      <c r="Q220" s="507"/>
      <c r="R220" s="653"/>
      <c r="S220" s="112">
        <v>664994.84</v>
      </c>
      <c r="T220" s="6"/>
      <c r="U220" s="381" t="s">
        <v>291</v>
      </c>
      <c r="V220" s="6"/>
      <c r="W220" s="324">
        <v>730550.91679643432</v>
      </c>
      <c r="X220" s="648"/>
      <c r="Y220" s="112">
        <v>664994.84</v>
      </c>
      <c r="Z220" s="6"/>
      <c r="AA220" s="381" t="s">
        <v>291</v>
      </c>
      <c r="AB220" s="6"/>
      <c r="AC220" s="324">
        <v>714264.13289960171</v>
      </c>
      <c r="AD220" s="648"/>
    </row>
    <row r="221" spans="1:30">
      <c r="A221" s="376">
        <v>214</v>
      </c>
      <c r="B221" s="16">
        <v>903</v>
      </c>
      <c r="C221" s="359" t="s">
        <v>572</v>
      </c>
      <c r="D221" s="377"/>
      <c r="E221" s="376" t="s">
        <v>291</v>
      </c>
      <c r="F221" s="377"/>
      <c r="G221" s="112">
        <f t="shared" si="43"/>
        <v>5763196.2599999998</v>
      </c>
      <c r="H221" s="6"/>
      <c r="I221" s="381" t="s">
        <v>291</v>
      </c>
      <c r="J221" s="6"/>
      <c r="K221" s="324">
        <f t="shared" si="44"/>
        <v>6055809.61893583</v>
      </c>
      <c r="M221" s="338"/>
      <c r="N221" s="508">
        <f t="shared" si="45"/>
        <v>0.94873241983789069</v>
      </c>
      <c r="O221" s="517">
        <f>G221*N221</f>
        <v>5467731.1337504815</v>
      </c>
      <c r="P221" s="545">
        <f>'FERC Accts by Customer Class'!H227</f>
        <v>5745342.9138505645</v>
      </c>
      <c r="Q221" s="507"/>
      <c r="R221" s="653"/>
      <c r="S221" s="112">
        <v>5763196.2599999998</v>
      </c>
      <c r="T221" s="6"/>
      <c r="U221" s="381" t="s">
        <v>291</v>
      </c>
      <c r="V221" s="6"/>
      <c r="W221" s="324">
        <v>6094717.5331304381</v>
      </c>
      <c r="X221" s="648"/>
      <c r="Y221" s="112">
        <v>5763196.2599999998</v>
      </c>
      <c r="Z221" s="6"/>
      <c r="AA221" s="381" t="s">
        <v>291</v>
      </c>
      <c r="AB221" s="6"/>
      <c r="AC221" s="324">
        <v>6055809.61893583</v>
      </c>
      <c r="AD221" s="648"/>
    </row>
    <row r="222" spans="1:30">
      <c r="A222" s="376">
        <v>215</v>
      </c>
      <c r="B222" s="16">
        <v>904</v>
      </c>
      <c r="C222" s="359" t="s">
        <v>165</v>
      </c>
      <c r="D222" s="377"/>
      <c r="E222" s="376" t="s">
        <v>291</v>
      </c>
      <c r="F222" s="377"/>
      <c r="G222" s="112">
        <f t="shared" si="43"/>
        <v>519241.04000000004</v>
      </c>
      <c r="H222" s="6"/>
      <c r="I222" s="381" t="s">
        <v>291</v>
      </c>
      <c r="J222" s="6"/>
      <c r="K222" s="324">
        <f t="shared" si="44"/>
        <v>664748.74297257431</v>
      </c>
      <c r="M222" s="338" t="s">
        <v>645</v>
      </c>
      <c r="N222" s="508">
        <f t="shared" si="45"/>
        <v>0.94873241983789081</v>
      </c>
      <c r="O222" s="517">
        <f>G222*N222</f>
        <v>492620.80835834309</v>
      </c>
      <c r="P222" s="545">
        <f>'FERC Accts by Customer Class'!H228</f>
        <v>630668.68350456655</v>
      </c>
      <c r="Q222" s="507"/>
      <c r="R222" s="653"/>
      <c r="S222" s="112">
        <v>519241.04000000004</v>
      </c>
      <c r="T222" s="6"/>
      <c r="U222" s="381" t="s">
        <v>291</v>
      </c>
      <c r="V222" s="6"/>
      <c r="W222" s="324">
        <v>697023.42663560389</v>
      </c>
      <c r="X222" s="648"/>
      <c r="Y222" s="112">
        <v>519241.04000000004</v>
      </c>
      <c r="Z222" s="6"/>
      <c r="AA222" s="381" t="s">
        <v>291</v>
      </c>
      <c r="AB222" s="6"/>
      <c r="AC222" s="324">
        <v>664748.74297257431</v>
      </c>
      <c r="AD222" s="648"/>
    </row>
    <row r="223" spans="1:30">
      <c r="A223" s="376">
        <v>216</v>
      </c>
      <c r="B223" s="16">
        <v>905</v>
      </c>
      <c r="C223" s="360" t="s">
        <v>573</v>
      </c>
      <c r="D223" s="377"/>
      <c r="E223" s="376" t="s">
        <v>291</v>
      </c>
      <c r="F223" s="377"/>
      <c r="G223" s="322">
        <f t="shared" si="43"/>
        <v>161857.26</v>
      </c>
      <c r="H223" s="6"/>
      <c r="I223" s="381" t="s">
        <v>291</v>
      </c>
      <c r="J223" s="6"/>
      <c r="K223" s="325">
        <f t="shared" si="44"/>
        <v>165908.54092312654</v>
      </c>
      <c r="M223" s="338"/>
      <c r="N223" s="490">
        <f t="shared" si="45"/>
        <v>0.94873241983789069</v>
      </c>
      <c r="O223" s="518">
        <f>G223*N223</f>
        <v>153559.22994813064</v>
      </c>
      <c r="P223" s="546">
        <f>'FERC Accts by Customer Class'!H229</f>
        <v>157402.81150177156</v>
      </c>
      <c r="Q223" s="507"/>
      <c r="R223" s="653"/>
      <c r="S223" s="322">
        <v>161857.26</v>
      </c>
      <c r="T223" s="6"/>
      <c r="U223" s="381" t="s">
        <v>291</v>
      </c>
      <c r="V223" s="6"/>
      <c r="W223" s="325">
        <v>166714.08763222297</v>
      </c>
      <c r="X223" s="648"/>
      <c r="Y223" s="322">
        <v>161857.26</v>
      </c>
      <c r="Z223" s="6"/>
      <c r="AA223" s="381" t="s">
        <v>291</v>
      </c>
      <c r="AB223" s="6"/>
      <c r="AC223" s="325">
        <v>165908.54092312654</v>
      </c>
      <c r="AD223" s="648"/>
    </row>
    <row r="224" spans="1:30">
      <c r="A224" s="376">
        <v>217</v>
      </c>
      <c r="B224" s="16"/>
      <c r="C224" s="348" t="s">
        <v>360</v>
      </c>
      <c r="D224" s="377"/>
      <c r="E224" s="376"/>
      <c r="F224" s="377"/>
      <c r="G224" s="320">
        <f t="shared" si="43"/>
        <v>7364059.5599999996</v>
      </c>
      <c r="H224" s="6"/>
      <c r="I224" s="10"/>
      <c r="J224" s="6"/>
      <c r="K224" s="24">
        <f t="shared" si="44"/>
        <v>7859285.7782946751</v>
      </c>
      <c r="M224" s="338"/>
      <c r="N224" s="508">
        <f t="shared" si="45"/>
        <v>0.94873241983789058</v>
      </c>
      <c r="O224" s="523">
        <f>SUM(O219:O223)</f>
        <v>6986522.0461891526</v>
      </c>
      <c r="P224" s="523">
        <f>SUM(P219:P223)</f>
        <v>7456359.2146390267</v>
      </c>
      <c r="Q224" s="507"/>
      <c r="R224" s="653"/>
      <c r="S224" s="320">
        <v>7364059.5599999996</v>
      </c>
      <c r="T224" s="6"/>
      <c r="U224" s="10"/>
      <c r="V224" s="6"/>
      <c r="W224" s="24">
        <v>7948167.5473272828</v>
      </c>
      <c r="X224" s="648"/>
      <c r="Y224" s="320">
        <v>7364059.5599999996</v>
      </c>
      <c r="Z224" s="6"/>
      <c r="AA224" s="10"/>
      <c r="AB224" s="6"/>
      <c r="AC224" s="24">
        <v>7859285.7782946751</v>
      </c>
      <c r="AD224" s="648"/>
    </row>
    <row r="225" spans="1:30">
      <c r="A225" s="376">
        <v>218</v>
      </c>
      <c r="B225" s="16"/>
      <c r="D225" s="377"/>
      <c r="E225" s="376"/>
      <c r="F225" s="377"/>
      <c r="H225" s="6"/>
      <c r="I225" s="10"/>
      <c r="J225" s="6"/>
      <c r="K225" s="7"/>
      <c r="M225" s="338"/>
      <c r="O225" s="507"/>
      <c r="P225" s="507"/>
      <c r="Q225" s="507"/>
      <c r="R225" s="653"/>
      <c r="S225" s="320"/>
      <c r="T225" s="6"/>
      <c r="U225" s="10"/>
      <c r="V225" s="6"/>
      <c r="W225" s="7"/>
      <c r="X225" s="648"/>
      <c r="Y225" s="320"/>
      <c r="Z225" s="6"/>
      <c r="AA225" s="10"/>
      <c r="AB225" s="6"/>
      <c r="AC225" s="7"/>
      <c r="AD225" s="648"/>
    </row>
    <row r="226" spans="1:30">
      <c r="A226" s="376">
        <v>219</v>
      </c>
      <c r="B226" s="16"/>
      <c r="C226" s="348" t="s">
        <v>361</v>
      </c>
      <c r="D226" s="377"/>
      <c r="E226" s="376"/>
      <c r="F226" s="377"/>
      <c r="H226" s="6"/>
      <c r="I226" s="10"/>
      <c r="J226" s="6"/>
      <c r="K226" s="7"/>
      <c r="M226" s="338"/>
      <c r="O226" s="507"/>
      <c r="P226" s="507"/>
      <c r="Q226" s="507"/>
      <c r="R226" s="653"/>
      <c r="S226" s="320"/>
      <c r="T226" s="6"/>
      <c r="U226" s="10"/>
      <c r="V226" s="6"/>
      <c r="W226" s="7"/>
      <c r="X226" s="648"/>
      <c r="Y226" s="320"/>
      <c r="Z226" s="6"/>
      <c r="AA226" s="10"/>
      <c r="AB226" s="6"/>
      <c r="AC226" s="7"/>
      <c r="AD226" s="648"/>
    </row>
    <row r="227" spans="1:30" ht="13.5">
      <c r="A227" s="376">
        <v>220</v>
      </c>
      <c r="B227" s="16"/>
      <c r="C227" s="358" t="s">
        <v>326</v>
      </c>
      <c r="D227" s="377"/>
      <c r="E227" s="376"/>
      <c r="F227" s="377"/>
      <c r="H227" s="6"/>
      <c r="I227" s="10"/>
      <c r="J227" s="6"/>
      <c r="K227" s="7"/>
      <c r="M227" s="338"/>
      <c r="O227" s="507"/>
      <c r="P227" s="507"/>
      <c r="Q227" s="507"/>
      <c r="R227" s="653"/>
      <c r="S227" s="320"/>
      <c r="T227" s="6"/>
      <c r="U227" s="10"/>
      <c r="V227" s="6"/>
      <c r="W227" s="7"/>
      <c r="X227" s="648"/>
      <c r="Y227" s="320"/>
      <c r="Z227" s="6"/>
      <c r="AA227" s="10"/>
      <c r="AB227" s="6"/>
      <c r="AC227" s="7"/>
      <c r="AD227" s="648"/>
    </row>
    <row r="228" spans="1:30">
      <c r="A228" s="376">
        <v>221</v>
      </c>
      <c r="B228" s="16">
        <v>907</v>
      </c>
      <c r="C228" s="359" t="s">
        <v>162</v>
      </c>
      <c r="D228" s="377"/>
      <c r="E228" s="376" t="s">
        <v>291</v>
      </c>
      <c r="F228" s="377"/>
      <c r="G228" s="320">
        <f>IF($AF$3=0,$S228,$Y228)</f>
        <v>101887.28</v>
      </c>
      <c r="H228" s="6"/>
      <c r="I228" s="376" t="s">
        <v>291</v>
      </c>
      <c r="J228" s="6"/>
      <c r="K228" s="320">
        <f>IF($AF$3=0,$W228,$AC228)</f>
        <v>103310.22256000002</v>
      </c>
      <c r="M228" s="338"/>
      <c r="N228" s="508">
        <f>IF(P228&lt;&gt;0,P228/K228," ")</f>
        <v>0.84322344405581251</v>
      </c>
      <c r="O228" s="517">
        <f>G228*N228</f>
        <v>85913.743147078902</v>
      </c>
      <c r="P228" s="545">
        <f>'FERC Accts by Customer Class'!H233</f>
        <v>87113.601673215715</v>
      </c>
      <c r="Q228" s="507"/>
      <c r="R228" s="653"/>
      <c r="S228" s="320">
        <v>101887.28</v>
      </c>
      <c r="T228" s="6"/>
      <c r="U228" s="376" t="s">
        <v>291</v>
      </c>
      <c r="V228" s="6"/>
      <c r="W228" s="320">
        <v>103107.22072100003</v>
      </c>
      <c r="X228" s="648"/>
      <c r="Y228" s="320">
        <v>101887.28</v>
      </c>
      <c r="Z228" s="6"/>
      <c r="AA228" s="376" t="s">
        <v>291</v>
      </c>
      <c r="AB228" s="6"/>
      <c r="AC228" s="320">
        <v>103310.22256000002</v>
      </c>
      <c r="AD228" s="648"/>
    </row>
    <row r="229" spans="1:30">
      <c r="A229" s="376">
        <v>222</v>
      </c>
      <c r="B229" s="16">
        <v>908</v>
      </c>
      <c r="C229" s="359" t="s">
        <v>167</v>
      </c>
      <c r="D229" s="377"/>
      <c r="E229" s="376" t="s">
        <v>291</v>
      </c>
      <c r="F229" s="377"/>
      <c r="G229" s="112">
        <f>IF($AF$3=0,$S229,$Y229)</f>
        <v>132163.63</v>
      </c>
      <c r="H229" s="6"/>
      <c r="I229" s="381" t="s">
        <v>291</v>
      </c>
      <c r="J229" s="6"/>
      <c r="K229" s="324">
        <f>IF($AF$3=0,$W229,$AC229)</f>
        <v>131313.89288500001</v>
      </c>
      <c r="M229" s="338"/>
      <c r="N229" s="508">
        <f>IF(P229&lt;&gt;0,P229/K229," ")</f>
        <v>0.84322344405581229</v>
      </c>
      <c r="O229" s="517">
        <f>G229*N229</f>
        <v>111443.47126751808</v>
      </c>
      <c r="P229" s="545">
        <f>'FERC Accts by Customer Class'!H234</f>
        <v>110726.95301086573</v>
      </c>
      <c r="Q229" s="507"/>
      <c r="R229" s="653"/>
      <c r="S229" s="112">
        <v>132163.63</v>
      </c>
      <c r="T229" s="6"/>
      <c r="U229" s="381" t="s">
        <v>291</v>
      </c>
      <c r="V229" s="6"/>
      <c r="W229" s="324">
        <v>132593.32484100002</v>
      </c>
      <c r="X229" s="648"/>
      <c r="Y229" s="112">
        <v>132163.63</v>
      </c>
      <c r="Z229" s="6"/>
      <c r="AA229" s="381" t="s">
        <v>291</v>
      </c>
      <c r="AB229" s="6"/>
      <c r="AC229" s="324">
        <v>131313.89288500001</v>
      </c>
      <c r="AD229" s="648"/>
    </row>
    <row r="230" spans="1:30">
      <c r="A230" s="376">
        <v>223</v>
      </c>
      <c r="B230" s="16">
        <v>909</v>
      </c>
      <c r="C230" s="359" t="s">
        <v>574</v>
      </c>
      <c r="D230" s="377"/>
      <c r="E230" s="376" t="s">
        <v>291</v>
      </c>
      <c r="F230" s="377"/>
      <c r="G230" s="112">
        <f>IF($AF$3=0,$S230,$Y230)</f>
        <v>17849.540000000005</v>
      </c>
      <c r="H230" s="6"/>
      <c r="I230" s="381" t="s">
        <v>291</v>
      </c>
      <c r="J230" s="6"/>
      <c r="K230" s="324">
        <f>IF($AF$3=0,$W230,$AC230)</f>
        <v>664.92460000000392</v>
      </c>
      <c r="N230" s="508">
        <f>IF(P230&lt;&gt;0,P230/K230," ")</f>
        <v>0.84322344405581251</v>
      </c>
      <c r="O230" s="517">
        <f>G230*N230</f>
        <v>15051.150593611992</v>
      </c>
      <c r="P230" s="545">
        <f>'FERC Accts by Customer Class'!H235</f>
        <v>560.6800112494368</v>
      </c>
      <c r="Q230" s="507"/>
      <c r="R230" s="653"/>
      <c r="S230" s="112">
        <v>17849.540000000005</v>
      </c>
      <c r="T230" s="6"/>
      <c r="U230" s="381" t="s">
        <v>291</v>
      </c>
      <c r="V230" s="6"/>
      <c r="W230" s="324">
        <v>663.68779200000426</v>
      </c>
      <c r="X230" s="648"/>
      <c r="Y230" s="112">
        <v>17849.540000000005</v>
      </c>
      <c r="Z230" s="6"/>
      <c r="AA230" s="381" t="s">
        <v>291</v>
      </c>
      <c r="AB230" s="6"/>
      <c r="AC230" s="324">
        <v>664.92460000000392</v>
      </c>
      <c r="AD230" s="648"/>
    </row>
    <row r="231" spans="1:30">
      <c r="A231" s="376">
        <v>224</v>
      </c>
      <c r="B231" s="16">
        <v>910</v>
      </c>
      <c r="C231" s="360" t="s">
        <v>575</v>
      </c>
      <c r="D231" s="377"/>
      <c r="E231" s="376" t="s">
        <v>291</v>
      </c>
      <c r="F231" s="377"/>
      <c r="G231" s="322">
        <f>IF($AF$3=0,$S231,$Y231)</f>
        <v>3856.7599999999998</v>
      </c>
      <c r="H231" s="6"/>
      <c r="I231" s="381" t="s">
        <v>291</v>
      </c>
      <c r="J231" s="6"/>
      <c r="K231" s="325">
        <f>IF($AF$3=0,$W231,$AC231)</f>
        <v>3812.6019309999997</v>
      </c>
      <c r="N231" s="490">
        <f>IF(P231&lt;&gt;0,P231/K231," ")</f>
        <v>0.84322344405581251</v>
      </c>
      <c r="O231" s="518">
        <f>G231*N231</f>
        <v>3252.1104500966953</v>
      </c>
      <c r="P231" s="546">
        <f>'FERC Accts by Customer Class'!H236</f>
        <v>3214.8753310716611</v>
      </c>
      <c r="Q231" s="507"/>
      <c r="R231" s="653"/>
      <c r="S231" s="322">
        <v>3856.7599999999998</v>
      </c>
      <c r="T231" s="6"/>
      <c r="U231" s="381" t="s">
        <v>291</v>
      </c>
      <c r="V231" s="6"/>
      <c r="W231" s="325">
        <v>3810.847585</v>
      </c>
      <c r="X231" s="648"/>
      <c r="Y231" s="322">
        <v>3856.7599999999998</v>
      </c>
      <c r="Z231" s="6"/>
      <c r="AA231" s="381" t="s">
        <v>291</v>
      </c>
      <c r="AB231" s="6"/>
      <c r="AC231" s="325">
        <v>3812.6019309999997</v>
      </c>
      <c r="AD231" s="648"/>
    </row>
    <row r="232" spans="1:30">
      <c r="A232" s="376">
        <v>225</v>
      </c>
      <c r="B232" s="16"/>
      <c r="C232" s="348" t="s">
        <v>362</v>
      </c>
      <c r="D232" s="377"/>
      <c r="E232" s="376"/>
      <c r="F232" s="377"/>
      <c r="G232" s="320">
        <f>IF($AF$3=0,$S232,$Y232)</f>
        <v>255757.21000000002</v>
      </c>
      <c r="H232" s="6"/>
      <c r="I232" s="10"/>
      <c r="J232" s="6"/>
      <c r="K232" s="24">
        <f>IF($AF$3=0,$W232,$AC232)</f>
        <v>239101.64197600004</v>
      </c>
      <c r="M232" s="338"/>
      <c r="N232" s="508">
        <f>IF(P232&lt;&gt;0,P232/K232," ")</f>
        <v>0.84322344405581251</v>
      </c>
      <c r="O232" s="523">
        <f>SUM(O228:O231)</f>
        <v>215660.47545830565</v>
      </c>
      <c r="P232" s="523">
        <f>SUM(P228:P231)</f>
        <v>201616.11002640257</v>
      </c>
      <c r="Q232" s="507"/>
      <c r="R232" s="653"/>
      <c r="S232" s="320">
        <v>255757.21000000002</v>
      </c>
      <c r="T232" s="6"/>
      <c r="U232" s="10"/>
      <c r="V232" s="6"/>
      <c r="W232" s="24">
        <v>240175.08093900009</v>
      </c>
      <c r="X232" s="648"/>
      <c r="Y232" s="320">
        <v>255757.21000000002</v>
      </c>
      <c r="Z232" s="6"/>
      <c r="AA232" s="10"/>
      <c r="AB232" s="6"/>
      <c r="AC232" s="24">
        <v>239101.64197600004</v>
      </c>
      <c r="AD232" s="648"/>
    </row>
    <row r="233" spans="1:30">
      <c r="A233" s="376">
        <v>226</v>
      </c>
      <c r="B233" s="16"/>
      <c r="D233" s="377"/>
      <c r="E233" s="376"/>
      <c r="F233" s="377"/>
      <c r="H233" s="6"/>
      <c r="I233" s="10"/>
      <c r="J233" s="6"/>
      <c r="K233" s="7"/>
      <c r="M233" s="338"/>
      <c r="O233" s="528"/>
      <c r="P233" s="528"/>
      <c r="Q233" s="507"/>
      <c r="R233" s="653"/>
      <c r="S233" s="320"/>
      <c r="T233" s="6"/>
      <c r="U233" s="10"/>
      <c r="V233" s="6"/>
      <c r="W233" s="7"/>
      <c r="X233" s="648"/>
      <c r="Y233" s="320"/>
      <c r="Z233" s="6"/>
      <c r="AA233" s="10"/>
      <c r="AB233" s="6"/>
      <c r="AC233" s="7"/>
      <c r="AD233" s="648"/>
    </row>
    <row r="234" spans="1:30">
      <c r="A234" s="376">
        <v>227</v>
      </c>
      <c r="B234" s="16"/>
      <c r="C234" s="348" t="s">
        <v>363</v>
      </c>
      <c r="D234" s="377"/>
      <c r="E234" s="376"/>
      <c r="F234" s="377"/>
      <c r="G234" s="323">
        <f>IF($AF$3=0,$S234,$Y234)</f>
        <v>7619816.7699999996</v>
      </c>
      <c r="H234" s="6"/>
      <c r="I234" s="10"/>
      <c r="J234" s="6"/>
      <c r="K234" s="15">
        <f>IF($AF$3=0,$W234,$AC234)</f>
        <v>8098387.4202706749</v>
      </c>
      <c r="M234" s="338"/>
      <c r="N234" s="508">
        <f>IF(P234&lt;&gt;0,P234/K234," ")</f>
        <v>0.94561730962600377</v>
      </c>
      <c r="O234" s="519">
        <f>+O224+O232</f>
        <v>7202182.521647458</v>
      </c>
      <c r="P234" s="519">
        <f>+P224+P232</f>
        <v>7657975.3246654291</v>
      </c>
      <c r="Q234" s="507"/>
      <c r="R234" s="653"/>
      <c r="S234" s="323">
        <v>7619816.7699999996</v>
      </c>
      <c r="T234" s="6"/>
      <c r="U234" s="10"/>
      <c r="V234" s="6"/>
      <c r="W234" s="15">
        <v>8188342.6282662833</v>
      </c>
      <c r="X234" s="648"/>
      <c r="Y234" s="323">
        <v>7619816.7699999996</v>
      </c>
      <c r="Z234" s="6"/>
      <c r="AA234" s="10"/>
      <c r="AB234" s="6"/>
      <c r="AC234" s="15">
        <v>8098387.4202706749</v>
      </c>
      <c r="AD234" s="648"/>
    </row>
    <row r="235" spans="1:30">
      <c r="A235" s="376">
        <v>228</v>
      </c>
      <c r="B235" s="16"/>
      <c r="D235" s="377"/>
      <c r="E235" s="376"/>
      <c r="F235" s="377"/>
      <c r="H235" s="6"/>
      <c r="I235" s="10"/>
      <c r="J235" s="6"/>
      <c r="K235" s="7"/>
      <c r="M235" s="338"/>
      <c r="O235" s="507"/>
      <c r="P235" s="507"/>
      <c r="Q235" s="507"/>
      <c r="R235" s="653"/>
      <c r="S235" s="320"/>
      <c r="T235" s="6"/>
      <c r="U235" s="10"/>
      <c r="V235" s="6"/>
      <c r="W235" s="7"/>
      <c r="X235" s="648"/>
      <c r="Y235" s="320"/>
      <c r="Z235" s="6"/>
      <c r="AA235" s="10"/>
      <c r="AB235" s="6"/>
      <c r="AC235" s="7"/>
      <c r="AD235" s="648"/>
    </row>
    <row r="236" spans="1:30">
      <c r="A236" s="376">
        <v>229</v>
      </c>
      <c r="C236" s="348" t="s">
        <v>364</v>
      </c>
      <c r="D236" s="377"/>
      <c r="E236" s="376"/>
      <c r="F236" s="377"/>
      <c r="H236" s="6"/>
      <c r="I236" s="10"/>
      <c r="J236" s="6"/>
      <c r="K236" s="7"/>
      <c r="M236" s="338"/>
      <c r="O236" s="507"/>
      <c r="P236" s="507"/>
      <c r="Q236" s="507"/>
      <c r="R236" s="653"/>
      <c r="S236" s="320"/>
      <c r="T236" s="6"/>
      <c r="U236" s="10"/>
      <c r="V236" s="6"/>
      <c r="W236" s="7"/>
      <c r="X236" s="648"/>
      <c r="Y236" s="320"/>
      <c r="Z236" s="6"/>
      <c r="AA236" s="10"/>
      <c r="AB236" s="6"/>
      <c r="AC236" s="7"/>
      <c r="AD236" s="648"/>
    </row>
    <row r="237" spans="1:30" ht="13.5">
      <c r="A237" s="376">
        <v>230</v>
      </c>
      <c r="C237" s="358" t="s">
        <v>326</v>
      </c>
      <c r="D237" s="377"/>
      <c r="E237" s="376"/>
      <c r="F237" s="377"/>
      <c r="H237" s="6"/>
      <c r="I237" s="10"/>
      <c r="J237" s="6"/>
      <c r="K237" s="7"/>
      <c r="M237" s="338"/>
      <c r="O237" s="507"/>
      <c r="P237" s="507"/>
      <c r="Q237" s="507"/>
      <c r="R237" s="653"/>
      <c r="S237" s="320"/>
      <c r="T237" s="6"/>
      <c r="U237" s="10"/>
      <c r="V237" s="6"/>
      <c r="W237" s="7"/>
      <c r="X237" s="648"/>
      <c r="Y237" s="320"/>
      <c r="Z237" s="6"/>
      <c r="AA237" s="10"/>
      <c r="AB237" s="6"/>
      <c r="AC237" s="7"/>
      <c r="AD237" s="648"/>
    </row>
    <row r="238" spans="1:30">
      <c r="A238" s="376">
        <v>231</v>
      </c>
      <c r="B238" s="16">
        <v>911</v>
      </c>
      <c r="C238" s="359" t="s">
        <v>162</v>
      </c>
      <c r="D238" s="377"/>
      <c r="E238" s="376" t="s">
        <v>291</v>
      </c>
      <c r="F238" s="377"/>
      <c r="G238" s="320">
        <f>IF($AF$3=0,$S238,$Y238)</f>
        <v>0</v>
      </c>
      <c r="H238" s="6"/>
      <c r="I238" s="376" t="s">
        <v>291</v>
      </c>
      <c r="J238" s="6"/>
      <c r="K238" s="320">
        <f>IF($AF$3=0,$W238,$AC238)</f>
        <v>0</v>
      </c>
      <c r="M238" s="338"/>
      <c r="N238" s="508" t="str">
        <f>IF(P238&lt;&gt;0,P238/K238," ")</f>
        <v xml:space="preserve"> </v>
      </c>
      <c r="O238" s="517"/>
      <c r="P238" s="545">
        <f>'FERC Accts by Customer Class'!H240</f>
        <v>0</v>
      </c>
      <c r="Q238" s="507"/>
      <c r="R238" s="653"/>
      <c r="S238" s="320">
        <v>0</v>
      </c>
      <c r="T238" s="6"/>
      <c r="U238" s="376" t="s">
        <v>291</v>
      </c>
      <c r="V238" s="6"/>
      <c r="W238" s="320">
        <v>0</v>
      </c>
      <c r="X238" s="648"/>
      <c r="Y238" s="320">
        <v>0</v>
      </c>
      <c r="Z238" s="6"/>
      <c r="AA238" s="376" t="s">
        <v>291</v>
      </c>
      <c r="AB238" s="6"/>
      <c r="AC238" s="320">
        <v>0</v>
      </c>
      <c r="AD238" s="648"/>
    </row>
    <row r="239" spans="1:30">
      <c r="A239" s="376">
        <v>232</v>
      </c>
      <c r="B239" s="16">
        <v>912</v>
      </c>
      <c r="C239" s="359" t="s">
        <v>576</v>
      </c>
      <c r="D239" s="377"/>
      <c r="E239" s="376" t="s">
        <v>291</v>
      </c>
      <c r="F239" s="377"/>
      <c r="G239" s="112">
        <f>IF($AF$3=0,$S239,$Y239)</f>
        <v>352923.03</v>
      </c>
      <c r="H239" s="6"/>
      <c r="I239" s="381" t="s">
        <v>291</v>
      </c>
      <c r="J239" s="6"/>
      <c r="K239" s="324">
        <f>IF($AF$3=0,$W239,$AC239)</f>
        <v>343832.69154115691</v>
      </c>
      <c r="N239" s="508">
        <f>IF(P239&lt;&gt;0,P239/K239," ")</f>
        <v>0.8432234440558124</v>
      </c>
      <c r="O239" s="517">
        <f>G239*N239</f>
        <v>297592.97284321283</v>
      </c>
      <c r="P239" s="545">
        <f>'FERC Accts by Customer Class'!H241</f>
        <v>289927.78634031414</v>
      </c>
      <c r="Q239" s="507"/>
      <c r="R239" s="653"/>
      <c r="S239" s="112">
        <v>352923.03</v>
      </c>
      <c r="T239" s="6"/>
      <c r="U239" s="381" t="s">
        <v>291</v>
      </c>
      <c r="V239" s="6"/>
      <c r="W239" s="324">
        <v>347037.05396737414</v>
      </c>
      <c r="X239" s="648"/>
      <c r="Y239" s="112">
        <v>352923.03</v>
      </c>
      <c r="Z239" s="6"/>
      <c r="AA239" s="381" t="s">
        <v>291</v>
      </c>
      <c r="AB239" s="6"/>
      <c r="AC239" s="324">
        <v>343832.69154115691</v>
      </c>
      <c r="AD239" s="648"/>
    </row>
    <row r="240" spans="1:30">
      <c r="A240" s="376">
        <v>233</v>
      </c>
      <c r="B240" s="16">
        <v>913</v>
      </c>
      <c r="C240" s="359" t="s">
        <v>171</v>
      </c>
      <c r="D240" s="377"/>
      <c r="E240" s="376" t="s">
        <v>291</v>
      </c>
      <c r="F240" s="377"/>
      <c r="G240" s="112">
        <f>IF($AF$3=0,$S240,$Y240)</f>
        <v>208274.19999999998</v>
      </c>
      <c r="H240" s="6"/>
      <c r="I240" s="381" t="s">
        <v>291</v>
      </c>
      <c r="J240" s="6"/>
      <c r="K240" s="324">
        <f>IF($AF$3=0,$W240,$AC240)</f>
        <v>1679.8951108373317</v>
      </c>
      <c r="M240" s="338"/>
      <c r="N240" s="508">
        <f>IF(P240&lt;&gt;0,P240/K240," ")</f>
        <v>0.84322344405581251</v>
      </c>
      <c r="O240" s="517">
        <f>G240*N240</f>
        <v>175621.68823196908</v>
      </c>
      <c r="P240" s="545">
        <f>'FERC Accts by Customer Class'!H242</f>
        <v>1416.5269410127758</v>
      </c>
      <c r="Q240" s="507"/>
      <c r="R240" s="653"/>
      <c r="S240" s="112">
        <v>208274.19999999998</v>
      </c>
      <c r="T240" s="6"/>
      <c r="U240" s="381" t="s">
        <v>291</v>
      </c>
      <c r="V240" s="6"/>
      <c r="W240" s="324">
        <v>1735.0241958385559</v>
      </c>
      <c r="X240" s="648"/>
      <c r="Y240" s="112">
        <v>208274.19999999998</v>
      </c>
      <c r="Z240" s="6"/>
      <c r="AA240" s="381" t="s">
        <v>291</v>
      </c>
      <c r="AB240" s="6"/>
      <c r="AC240" s="324">
        <v>1679.8951108373317</v>
      </c>
      <c r="AD240" s="648"/>
    </row>
    <row r="241" spans="1:30">
      <c r="A241" s="376">
        <v>234</v>
      </c>
      <c r="B241" s="16">
        <v>916</v>
      </c>
      <c r="C241" s="360" t="s">
        <v>577</v>
      </c>
      <c r="D241" s="377"/>
      <c r="E241" s="376" t="s">
        <v>291</v>
      </c>
      <c r="F241" s="377"/>
      <c r="G241" s="322">
        <f>IF($AF$3=0,$S241,$Y241)</f>
        <v>326.2700000000001</v>
      </c>
      <c r="H241" s="6"/>
      <c r="I241" s="381" t="s">
        <v>291</v>
      </c>
      <c r="J241" s="6"/>
      <c r="K241" s="325">
        <f>IF($AF$3=0,$W241,$AC241)</f>
        <v>320.97294399999987</v>
      </c>
      <c r="N241" s="490">
        <f>IF(P241&lt;&gt;0,P241/K241," ")</f>
        <v>0.84322344405581251</v>
      </c>
      <c r="O241" s="518">
        <f>G241*N241</f>
        <v>275.11851309209004</v>
      </c>
      <c r="P241" s="546">
        <f>'FERC Accts by Customer Class'!H243</f>
        <v>270.65191128841332</v>
      </c>
      <c r="Q241" s="507"/>
      <c r="R241" s="653"/>
      <c r="S241" s="322">
        <v>326.2700000000001</v>
      </c>
      <c r="T241" s="6"/>
      <c r="U241" s="381" t="s">
        <v>291</v>
      </c>
      <c r="V241" s="6"/>
      <c r="W241" s="325">
        <v>327.05634599999991</v>
      </c>
      <c r="X241" s="648"/>
      <c r="Y241" s="322">
        <v>326.2700000000001</v>
      </c>
      <c r="Z241" s="6"/>
      <c r="AA241" s="381" t="s">
        <v>291</v>
      </c>
      <c r="AB241" s="6"/>
      <c r="AC241" s="325">
        <v>320.97294399999987</v>
      </c>
      <c r="AD241" s="648"/>
    </row>
    <row r="242" spans="1:30">
      <c r="A242" s="376">
        <v>235</v>
      </c>
      <c r="B242" s="16"/>
      <c r="C242" s="348" t="s">
        <v>365</v>
      </c>
      <c r="D242" s="377"/>
      <c r="E242" s="376"/>
      <c r="F242" s="377"/>
      <c r="G242" s="323">
        <f>IF($AF$3=0,$S242,$Y242)</f>
        <v>561523.5</v>
      </c>
      <c r="H242" s="6"/>
      <c r="I242" s="10"/>
      <c r="J242" s="6"/>
      <c r="K242" s="15">
        <f>IF($AF$3=0,$W242,$AC242)</f>
        <v>345833.55959599424</v>
      </c>
      <c r="N242" s="508">
        <f>IF(P242&lt;&gt;0,P242/K242," ")</f>
        <v>0.84322344405581251</v>
      </c>
      <c r="O242" s="523">
        <f>SUM(O238:O241)</f>
        <v>473489.77958827402</v>
      </c>
      <c r="P242" s="523">
        <f>SUM(P238:P241)</f>
        <v>291614.96519261535</v>
      </c>
      <c r="Q242" s="507"/>
      <c r="R242" s="653"/>
      <c r="S242" s="323">
        <v>561523.5</v>
      </c>
      <c r="T242" s="6"/>
      <c r="U242" s="10"/>
      <c r="V242" s="6"/>
      <c r="W242" s="15">
        <v>349099.13450921269</v>
      </c>
      <c r="X242" s="648"/>
      <c r="Y242" s="323">
        <v>561523.5</v>
      </c>
      <c r="Z242" s="6"/>
      <c r="AA242" s="10"/>
      <c r="AB242" s="6"/>
      <c r="AC242" s="15">
        <v>345833.55959599424</v>
      </c>
      <c r="AD242" s="648"/>
    </row>
    <row r="243" spans="1:30">
      <c r="A243" s="376">
        <v>236</v>
      </c>
      <c r="B243" s="16"/>
      <c r="D243" s="377"/>
      <c r="E243" s="376"/>
      <c r="F243" s="377"/>
      <c r="H243" s="6"/>
      <c r="I243" s="10"/>
      <c r="J243" s="6"/>
      <c r="K243" s="7"/>
      <c r="O243" s="507"/>
      <c r="P243" s="507"/>
      <c r="Q243" s="507"/>
      <c r="R243" s="653"/>
      <c r="S243" s="320"/>
      <c r="T243" s="6"/>
      <c r="U243" s="10"/>
      <c r="V243" s="6"/>
      <c r="W243" s="7"/>
      <c r="X243" s="648"/>
      <c r="Y243" s="320"/>
      <c r="Z243" s="6"/>
      <c r="AA243" s="10"/>
      <c r="AB243" s="6"/>
      <c r="AC243" s="7"/>
      <c r="AD243" s="648"/>
    </row>
    <row r="244" spans="1:30">
      <c r="A244" s="376">
        <v>237</v>
      </c>
      <c r="C244" s="348" t="s">
        <v>366</v>
      </c>
      <c r="D244" s="377"/>
      <c r="E244" s="376"/>
      <c r="F244" s="377"/>
      <c r="H244" s="6"/>
      <c r="I244" s="10"/>
      <c r="J244" s="6"/>
      <c r="K244" s="7"/>
      <c r="M244" s="338"/>
      <c r="O244" s="507"/>
      <c r="P244" s="507"/>
      <c r="Q244" s="507"/>
      <c r="R244" s="653"/>
      <c r="S244" s="320"/>
      <c r="T244" s="6"/>
      <c r="U244" s="10"/>
      <c r="V244" s="6"/>
      <c r="W244" s="7"/>
      <c r="X244" s="648"/>
      <c r="Y244" s="320"/>
      <c r="Z244" s="6"/>
      <c r="AA244" s="10"/>
      <c r="AB244" s="6"/>
      <c r="AC244" s="7"/>
      <c r="AD244" s="648"/>
    </row>
    <row r="245" spans="1:30" ht="13.5">
      <c r="A245" s="376">
        <v>238</v>
      </c>
      <c r="C245" s="358" t="s">
        <v>326</v>
      </c>
      <c r="D245" s="377"/>
      <c r="E245" s="376"/>
      <c r="F245" s="377"/>
      <c r="H245" s="6"/>
      <c r="J245" s="6"/>
      <c r="K245" s="7"/>
      <c r="M245" s="338"/>
      <c r="O245" s="507"/>
      <c r="P245" s="507"/>
      <c r="Q245" s="507"/>
      <c r="R245" s="653"/>
      <c r="S245" s="320"/>
      <c r="T245" s="6"/>
      <c r="U245" s="376"/>
      <c r="V245" s="6"/>
      <c r="W245" s="7"/>
      <c r="X245" s="648"/>
      <c r="Y245" s="320"/>
      <c r="Z245" s="6"/>
      <c r="AA245" s="376"/>
      <c r="AB245" s="6"/>
      <c r="AC245" s="7"/>
      <c r="AD245" s="648"/>
    </row>
    <row r="246" spans="1:30">
      <c r="A246" s="376">
        <v>239</v>
      </c>
      <c r="B246" s="16">
        <v>920</v>
      </c>
      <c r="C246" s="359" t="s">
        <v>578</v>
      </c>
      <c r="D246" s="377"/>
      <c r="E246" s="376" t="s">
        <v>291</v>
      </c>
      <c r="F246" s="377"/>
      <c r="G246" s="320">
        <f t="shared" ref="G246:G257" si="46">IF($AF$3=0,$S246,$Y246)</f>
        <v>11029387.559999999</v>
      </c>
      <c r="H246" s="22"/>
      <c r="I246" s="376" t="s">
        <v>291</v>
      </c>
      <c r="J246" s="22"/>
      <c r="K246" s="320">
        <f t="shared" ref="K246:K257" si="47">IF($AF$3=0,$W246,$AC246)</f>
        <v>12443583.055497548</v>
      </c>
      <c r="M246" s="338"/>
      <c r="N246" s="508">
        <f t="shared" ref="N246:N257" si="48">IF(P246&lt;&gt;0,P246/K246," ")</f>
        <v>0.87194347602411748</v>
      </c>
      <c r="O246" s="517">
        <f t="shared" ref="O246:O256" si="49">G246*N246</f>
        <v>9617002.5274835583</v>
      </c>
      <c r="P246" s="545">
        <f>'FERC Accts by Customer Class'!H248</f>
        <v>10850101.06360534</v>
      </c>
      <c r="Q246" s="507"/>
      <c r="R246" s="653"/>
      <c r="S246" s="320">
        <v>11029387.559999999</v>
      </c>
      <c r="T246" s="22"/>
      <c r="U246" s="376" t="s">
        <v>291</v>
      </c>
      <c r="V246" s="22"/>
      <c r="W246" s="320">
        <v>13348166.643355893</v>
      </c>
      <c r="X246" s="648"/>
      <c r="Y246" s="320">
        <v>11029387.559999999</v>
      </c>
      <c r="Z246" s="22"/>
      <c r="AA246" s="376" t="s">
        <v>291</v>
      </c>
      <c r="AB246" s="22"/>
      <c r="AC246" s="320">
        <v>12443583.055497548</v>
      </c>
      <c r="AD246" s="648"/>
    </row>
    <row r="247" spans="1:30">
      <c r="A247" s="376">
        <v>240</v>
      </c>
      <c r="B247" s="16">
        <v>921</v>
      </c>
      <c r="C247" s="359" t="s">
        <v>579</v>
      </c>
      <c r="D247" s="377"/>
      <c r="E247" s="376" t="s">
        <v>291</v>
      </c>
      <c r="F247" s="377"/>
      <c r="G247" s="112">
        <f t="shared" si="46"/>
        <v>3723829.26</v>
      </c>
      <c r="H247" s="6"/>
      <c r="I247" s="381" t="s">
        <v>291</v>
      </c>
      <c r="J247" s="6"/>
      <c r="K247" s="324">
        <f t="shared" si="47"/>
        <v>4275928.9665266424</v>
      </c>
      <c r="M247" s="338"/>
      <c r="N247" s="508">
        <f t="shared" si="48"/>
        <v>0.87194347602411748</v>
      </c>
      <c r="O247" s="517">
        <f t="shared" si="49"/>
        <v>3246968.629084717</v>
      </c>
      <c r="P247" s="545">
        <f>'FERC Accts by Customer Class'!H249</f>
        <v>3728368.3663054528</v>
      </c>
      <c r="Q247" s="507"/>
      <c r="R247" s="653"/>
      <c r="S247" s="112">
        <v>3723829.26</v>
      </c>
      <c r="T247" s="6"/>
      <c r="U247" s="381" t="s">
        <v>291</v>
      </c>
      <c r="V247" s="6"/>
      <c r="W247" s="324">
        <v>4316379.6667028219</v>
      </c>
      <c r="X247" s="648"/>
      <c r="Y247" s="112">
        <v>3723829.26</v>
      </c>
      <c r="Z247" s="6"/>
      <c r="AA247" s="381" t="s">
        <v>291</v>
      </c>
      <c r="AB247" s="6"/>
      <c r="AC247" s="324">
        <v>4275928.9665266424</v>
      </c>
      <c r="AD247" s="648"/>
    </row>
    <row r="248" spans="1:30">
      <c r="A248" s="376">
        <v>241</v>
      </c>
      <c r="B248" s="16">
        <v>922</v>
      </c>
      <c r="C248" s="359" t="s">
        <v>580</v>
      </c>
      <c r="D248" s="377"/>
      <c r="E248" s="376" t="s">
        <v>291</v>
      </c>
      <c r="F248" s="377"/>
      <c r="G248" s="112">
        <f t="shared" si="46"/>
        <v>-2373972.4499999993</v>
      </c>
      <c r="H248" s="6"/>
      <c r="I248" s="381" t="s">
        <v>291</v>
      </c>
      <c r="J248" s="6"/>
      <c r="K248" s="324">
        <f t="shared" si="47"/>
        <v>-3248588.9635294112</v>
      </c>
      <c r="M248" s="338"/>
      <c r="N248" s="508">
        <f t="shared" si="48"/>
        <v>0.87194347602411748</v>
      </c>
      <c r="O248" s="517">
        <f t="shared" si="49"/>
        <v>-2069969.7900384897</v>
      </c>
      <c r="P248" s="545">
        <f>'FERC Accts by Customer Class'!H250</f>
        <v>-2832585.9530334198</v>
      </c>
      <c r="Q248" s="507"/>
      <c r="R248" s="653"/>
      <c r="S248" s="112">
        <v>-2373972.4499999993</v>
      </c>
      <c r="T248" s="6"/>
      <c r="U248" s="381" t="s">
        <v>291</v>
      </c>
      <c r="V248" s="6"/>
      <c r="W248" s="324">
        <v>-3248588.9635294112</v>
      </c>
      <c r="X248" s="648"/>
      <c r="Y248" s="112">
        <v>-2373972.4499999993</v>
      </c>
      <c r="Z248" s="6"/>
      <c r="AA248" s="381" t="s">
        <v>291</v>
      </c>
      <c r="AB248" s="6"/>
      <c r="AC248" s="324">
        <v>-3248588.9635294112</v>
      </c>
      <c r="AD248" s="648"/>
    </row>
    <row r="249" spans="1:30">
      <c r="A249" s="376">
        <v>242</v>
      </c>
      <c r="B249" s="16">
        <v>923</v>
      </c>
      <c r="C249" s="359" t="s">
        <v>176</v>
      </c>
      <c r="D249" s="377"/>
      <c r="E249" s="376" t="s">
        <v>291</v>
      </c>
      <c r="F249" s="377"/>
      <c r="G249" s="112">
        <f t="shared" si="46"/>
        <v>3281236.84</v>
      </c>
      <c r="H249" s="6"/>
      <c r="I249" s="381" t="s">
        <v>291</v>
      </c>
      <c r="J249" s="6"/>
      <c r="K249" s="324">
        <f t="shared" si="47"/>
        <v>3019470.8495949991</v>
      </c>
      <c r="M249" s="338"/>
      <c r="N249" s="508">
        <f t="shared" si="48"/>
        <v>0.87194347602411737</v>
      </c>
      <c r="O249" s="517">
        <f t="shared" si="49"/>
        <v>2861053.0559279905</v>
      </c>
      <c r="P249" s="545">
        <f>'FERC Accts by Customer Class'!H251</f>
        <v>2632807.9083493585</v>
      </c>
      <c r="Q249" s="507"/>
      <c r="R249" s="653"/>
      <c r="S249" s="112">
        <v>3281236.84</v>
      </c>
      <c r="T249" s="6"/>
      <c r="U249" s="381" t="s">
        <v>291</v>
      </c>
      <c r="V249" s="6"/>
      <c r="W249" s="324">
        <v>3033050.5322919991</v>
      </c>
      <c r="X249" s="648"/>
      <c r="Y249" s="112">
        <v>3281236.84</v>
      </c>
      <c r="Z249" s="6"/>
      <c r="AA249" s="381" t="s">
        <v>291</v>
      </c>
      <c r="AB249" s="6"/>
      <c r="AC249" s="324">
        <v>3019470.8495949991</v>
      </c>
      <c r="AD249" s="648"/>
    </row>
    <row r="250" spans="1:30">
      <c r="A250" s="376">
        <v>243</v>
      </c>
      <c r="B250" s="16">
        <v>924</v>
      </c>
      <c r="C250" s="359" t="s">
        <v>177</v>
      </c>
      <c r="D250" s="377"/>
      <c r="E250" s="376" t="s">
        <v>291</v>
      </c>
      <c r="F250" s="377"/>
      <c r="G250" s="112">
        <f t="shared" si="46"/>
        <v>31740.009999999995</v>
      </c>
      <c r="H250" s="6"/>
      <c r="I250" s="381" t="s">
        <v>291</v>
      </c>
      <c r="J250" s="6"/>
      <c r="K250" s="324">
        <f t="shared" si="47"/>
        <v>31815.740631999994</v>
      </c>
      <c r="M250" s="338"/>
      <c r="N250" s="508">
        <f t="shared" si="48"/>
        <v>0.86405857965908184</v>
      </c>
      <c r="O250" s="517">
        <f t="shared" si="49"/>
        <v>27425.22795896505</v>
      </c>
      <c r="P250" s="545">
        <f>'FERC Accts by Customer Class'!H252</f>
        <v>27490.663661287654</v>
      </c>
      <c r="Q250" s="507"/>
      <c r="R250" s="653"/>
      <c r="S250" s="112">
        <v>31740.009999999995</v>
      </c>
      <c r="T250" s="6"/>
      <c r="U250" s="381" t="s">
        <v>291</v>
      </c>
      <c r="V250" s="6"/>
      <c r="W250" s="324">
        <v>31814.862921999993</v>
      </c>
      <c r="X250" s="648"/>
      <c r="Y250" s="112">
        <v>31740.009999999995</v>
      </c>
      <c r="Z250" s="6"/>
      <c r="AA250" s="381" t="s">
        <v>291</v>
      </c>
      <c r="AB250" s="6"/>
      <c r="AC250" s="324">
        <v>31815.740631999994</v>
      </c>
      <c r="AD250" s="648"/>
    </row>
    <row r="251" spans="1:30">
      <c r="A251" s="376">
        <v>244</v>
      </c>
      <c r="B251" s="16">
        <v>925</v>
      </c>
      <c r="C251" s="359" t="s">
        <v>581</v>
      </c>
      <c r="D251" s="377"/>
      <c r="E251" s="376" t="s">
        <v>291</v>
      </c>
      <c r="F251" s="377"/>
      <c r="G251" s="112">
        <f t="shared" si="46"/>
        <v>1439451.3399999999</v>
      </c>
      <c r="H251" s="6"/>
      <c r="I251" s="381" t="s">
        <v>291</v>
      </c>
      <c r="J251" s="6"/>
      <c r="K251" s="324">
        <f t="shared" si="47"/>
        <v>1449686.3842979998</v>
      </c>
      <c r="M251" s="338"/>
      <c r="N251" s="508">
        <f t="shared" si="48"/>
        <v>0.87194347602411759</v>
      </c>
      <c r="O251" s="517">
        <f t="shared" si="49"/>
        <v>1255120.2049671737</v>
      </c>
      <c r="P251" s="545">
        <f>'FERC Accts by Customer Class'!H253</f>
        <v>1264044.5850696326</v>
      </c>
      <c r="Q251" s="507"/>
      <c r="R251" s="653"/>
      <c r="S251" s="112">
        <v>1439451.3399999999</v>
      </c>
      <c r="T251" s="6"/>
      <c r="U251" s="381" t="s">
        <v>291</v>
      </c>
      <c r="V251" s="6"/>
      <c r="W251" s="324">
        <v>1527652.398396</v>
      </c>
      <c r="X251" s="648"/>
      <c r="Y251" s="112">
        <v>1439451.3399999999</v>
      </c>
      <c r="Z251" s="6"/>
      <c r="AA251" s="381" t="s">
        <v>291</v>
      </c>
      <c r="AB251" s="6"/>
      <c r="AC251" s="324">
        <v>1449686.3842979998</v>
      </c>
      <c r="AD251" s="648"/>
    </row>
    <row r="252" spans="1:30">
      <c r="A252" s="376">
        <v>245</v>
      </c>
      <c r="B252" s="16">
        <v>926</v>
      </c>
      <c r="C252" s="359" t="s">
        <v>179</v>
      </c>
      <c r="D252" s="377"/>
      <c r="E252" s="376" t="s">
        <v>291</v>
      </c>
      <c r="F252" s="377"/>
      <c r="G252" s="112">
        <f t="shared" si="46"/>
        <v>8937872.1399999969</v>
      </c>
      <c r="H252" s="6"/>
      <c r="I252" s="381" t="s">
        <v>291</v>
      </c>
      <c r="J252" s="6"/>
      <c r="K252" s="324">
        <f t="shared" si="47"/>
        <v>11712168.159590755</v>
      </c>
      <c r="M252" s="338"/>
      <c r="N252" s="508">
        <f t="shared" si="48"/>
        <v>0.87194347602411737</v>
      </c>
      <c r="O252" s="517">
        <f t="shared" si="49"/>
        <v>7793319.3020107141</v>
      </c>
      <c r="P252" s="545">
        <f>'FERC Accts by Customer Class'!H254</f>
        <v>10212348.616852552</v>
      </c>
      <c r="Q252" s="507"/>
      <c r="R252" s="653"/>
      <c r="S252" s="112">
        <v>8937872.1399999969</v>
      </c>
      <c r="T252" s="6"/>
      <c r="U252" s="381" t="s">
        <v>291</v>
      </c>
      <c r="V252" s="6"/>
      <c r="W252" s="324">
        <v>11968685.662484374</v>
      </c>
      <c r="X252" s="648"/>
      <c r="Y252" s="112">
        <v>8937872.1399999969</v>
      </c>
      <c r="Z252" s="6"/>
      <c r="AA252" s="381" t="s">
        <v>291</v>
      </c>
      <c r="AB252" s="6"/>
      <c r="AC252" s="324">
        <v>11712168.159590755</v>
      </c>
      <c r="AD252" s="648"/>
    </row>
    <row r="253" spans="1:30">
      <c r="A253" s="376">
        <v>246</v>
      </c>
      <c r="B253" s="16">
        <v>929</v>
      </c>
      <c r="C253" s="359" t="s">
        <v>546</v>
      </c>
      <c r="D253" s="377"/>
      <c r="E253" s="376" t="s">
        <v>291</v>
      </c>
      <c r="F253" s="377"/>
      <c r="G253" s="112">
        <f t="shared" si="46"/>
        <v>-1239.8400000000001</v>
      </c>
      <c r="H253" s="6"/>
      <c r="I253" s="381" t="s">
        <v>291</v>
      </c>
      <c r="J253" s="6"/>
      <c r="K253" s="324">
        <f t="shared" si="47"/>
        <v>-1267.5361799999996</v>
      </c>
      <c r="M253" s="338"/>
      <c r="N253" s="508">
        <f t="shared" si="48"/>
        <v>0.87194347602411737</v>
      </c>
      <c r="O253" s="517">
        <f t="shared" si="49"/>
        <v>-1081.0703993137417</v>
      </c>
      <c r="P253" s="545">
        <f>'FERC Accts by Customer Class'!H255</f>
        <v>-1105.219902775531</v>
      </c>
      <c r="Q253" s="507"/>
      <c r="R253" s="653"/>
      <c r="S253" s="112">
        <v>-1239.8400000000001</v>
      </c>
      <c r="T253" s="6"/>
      <c r="U253" s="381" t="s">
        <v>291</v>
      </c>
      <c r="V253" s="6"/>
      <c r="W253" s="324">
        <v>-1269.7227079999998</v>
      </c>
      <c r="X253" s="648"/>
      <c r="Y253" s="112">
        <v>-1239.8400000000001</v>
      </c>
      <c r="Z253" s="6"/>
      <c r="AA253" s="381" t="s">
        <v>291</v>
      </c>
      <c r="AB253" s="6"/>
      <c r="AC253" s="324">
        <v>-1267.5361799999996</v>
      </c>
      <c r="AD253" s="648"/>
    </row>
    <row r="254" spans="1:30">
      <c r="A254" s="376">
        <v>247</v>
      </c>
      <c r="B254" s="16">
        <v>930.1</v>
      </c>
      <c r="C254" s="359" t="s">
        <v>582</v>
      </c>
      <c r="D254" s="377"/>
      <c r="E254" s="376" t="s">
        <v>291</v>
      </c>
      <c r="F254" s="377"/>
      <c r="G254" s="112">
        <f t="shared" si="46"/>
        <v>410817.20999999996</v>
      </c>
      <c r="H254" s="6"/>
      <c r="I254" s="381" t="s">
        <v>291</v>
      </c>
      <c r="J254" s="6"/>
      <c r="K254" s="324">
        <f t="shared" si="47"/>
        <v>-3895.8865290000103</v>
      </c>
      <c r="N254" s="508">
        <f t="shared" si="48"/>
        <v>0.87194347602411737</v>
      </c>
      <c r="O254" s="517">
        <f t="shared" si="49"/>
        <v>358209.38609792973</v>
      </c>
      <c r="P254" s="545">
        <f>'FERC Accts by Customer Class'!H256</f>
        <v>-3396.9928422918024</v>
      </c>
      <c r="Q254" s="507"/>
      <c r="R254" s="653"/>
      <c r="S254" s="112">
        <v>410817.20999999996</v>
      </c>
      <c r="T254" s="6"/>
      <c r="U254" s="381" t="s">
        <v>291</v>
      </c>
      <c r="V254" s="6"/>
      <c r="W254" s="324">
        <v>-3506.7472800000105</v>
      </c>
      <c r="X254" s="648"/>
      <c r="Y254" s="112">
        <v>410817.20999999996</v>
      </c>
      <c r="Z254" s="6"/>
      <c r="AA254" s="381" t="s">
        <v>291</v>
      </c>
      <c r="AB254" s="6"/>
      <c r="AC254" s="324">
        <v>-3895.8865290000103</v>
      </c>
      <c r="AD254" s="648"/>
    </row>
    <row r="255" spans="1:30">
      <c r="A255" s="376">
        <v>248</v>
      </c>
      <c r="B255" s="16">
        <v>930.2</v>
      </c>
      <c r="C255" s="359" t="s">
        <v>583</v>
      </c>
      <c r="D255" s="377"/>
      <c r="E255" s="376" t="s">
        <v>291</v>
      </c>
      <c r="F255" s="377"/>
      <c r="G255" s="112">
        <f t="shared" si="46"/>
        <v>1331686.07</v>
      </c>
      <c r="H255" s="6"/>
      <c r="I255" s="381" t="s">
        <v>291</v>
      </c>
      <c r="J255" s="6"/>
      <c r="K255" s="324">
        <f t="shared" si="47"/>
        <v>1449059.2693973777</v>
      </c>
      <c r="N255" s="508">
        <f t="shared" si="48"/>
        <v>0.87194347602411748</v>
      </c>
      <c r="O255" s="517">
        <f t="shared" si="49"/>
        <v>1161154.9808486963</v>
      </c>
      <c r="P255" s="545">
        <f>'FERC Accts by Customer Class'!H257</f>
        <v>1263497.7763233176</v>
      </c>
      <c r="Q255" s="507"/>
      <c r="R255" s="653"/>
      <c r="S255" s="112">
        <v>1331686.07</v>
      </c>
      <c r="T255" s="6"/>
      <c r="U255" s="381" t="s">
        <v>291</v>
      </c>
      <c r="V255" s="6"/>
      <c r="W255" s="324">
        <v>1449006.751801891</v>
      </c>
      <c r="X255" s="648"/>
      <c r="Y255" s="112">
        <v>1331686.07</v>
      </c>
      <c r="Z255" s="6"/>
      <c r="AA255" s="381" t="s">
        <v>291</v>
      </c>
      <c r="AB255" s="6"/>
      <c r="AC255" s="324">
        <v>1449059.2693973777</v>
      </c>
      <c r="AD255" s="648"/>
    </row>
    <row r="256" spans="1:30">
      <c r="A256" s="376">
        <v>249</v>
      </c>
      <c r="B256" s="16">
        <v>931</v>
      </c>
      <c r="C256" s="360" t="s">
        <v>156</v>
      </c>
      <c r="D256" s="377"/>
      <c r="E256" s="376" t="s">
        <v>291</v>
      </c>
      <c r="F256" s="377"/>
      <c r="G256" s="322">
        <f t="shared" si="46"/>
        <v>2465661.6599999992</v>
      </c>
      <c r="H256" s="6"/>
      <c r="I256" s="381" t="s">
        <v>291</v>
      </c>
      <c r="J256" s="6"/>
      <c r="K256" s="325">
        <f t="shared" si="47"/>
        <v>3097703.9937409996</v>
      </c>
      <c r="N256" s="490">
        <f t="shared" si="48"/>
        <v>0.87194347602411726</v>
      </c>
      <c r="O256" s="518">
        <f t="shared" si="49"/>
        <v>2149917.5985197946</v>
      </c>
      <c r="P256" s="546">
        <f>'FERC Accts by Customer Class'!H258</f>
        <v>2701022.7879963177</v>
      </c>
      <c r="Q256" s="507"/>
      <c r="R256" s="653"/>
      <c r="S256" s="322">
        <v>2465661.6599999992</v>
      </c>
      <c r="T256" s="6"/>
      <c r="U256" s="381" t="s">
        <v>291</v>
      </c>
      <c r="V256" s="6"/>
      <c r="W256" s="325">
        <v>3163053.1049959995</v>
      </c>
      <c r="X256" s="648"/>
      <c r="Y256" s="322">
        <v>2465661.6599999992</v>
      </c>
      <c r="Z256" s="6"/>
      <c r="AA256" s="381" t="s">
        <v>291</v>
      </c>
      <c r="AB256" s="6"/>
      <c r="AC256" s="325">
        <v>3097703.9937409996</v>
      </c>
      <c r="AD256" s="648"/>
    </row>
    <row r="257" spans="1:30">
      <c r="A257" s="376">
        <v>250</v>
      </c>
      <c r="B257" s="16"/>
      <c r="C257" s="348" t="s">
        <v>367</v>
      </c>
      <c r="D257" s="377"/>
      <c r="E257" s="376"/>
      <c r="F257" s="377"/>
      <c r="G257" s="320">
        <f t="shared" si="46"/>
        <v>30276469.799999997</v>
      </c>
      <c r="H257" s="6"/>
      <c r="I257" s="10"/>
      <c r="J257" s="6"/>
      <c r="K257" s="320">
        <f t="shared" si="47"/>
        <v>34225664.033039913</v>
      </c>
      <c r="M257" s="337" t="s">
        <v>646</v>
      </c>
      <c r="N257" s="508">
        <f t="shared" si="48"/>
        <v>0.87193614632505245</v>
      </c>
      <c r="O257" s="517"/>
      <c r="P257" s="507">
        <f>SUM(P246:P256)</f>
        <v>29842593.602384776</v>
      </c>
      <c r="Q257" s="507"/>
      <c r="R257" s="653"/>
      <c r="S257" s="320">
        <v>30276469.799999997</v>
      </c>
      <c r="T257" s="6"/>
      <c r="U257" s="10"/>
      <c r="V257" s="6"/>
      <c r="W257" s="320">
        <v>35584444.18943356</v>
      </c>
      <c r="X257" s="648"/>
      <c r="Y257" s="320">
        <v>30276469.799999997</v>
      </c>
      <c r="Z257" s="6"/>
      <c r="AA257" s="10"/>
      <c r="AB257" s="6"/>
      <c r="AC257" s="320">
        <v>34225664.033039913</v>
      </c>
      <c r="AD257" s="648"/>
    </row>
    <row r="258" spans="1:30">
      <c r="A258" s="376">
        <v>251</v>
      </c>
      <c r="B258" s="16"/>
      <c r="C258" s="348"/>
      <c r="D258" s="377"/>
      <c r="E258" s="376"/>
      <c r="F258" s="377"/>
      <c r="G258" s="323"/>
      <c r="H258" s="6"/>
      <c r="I258" s="10"/>
      <c r="J258" s="6"/>
      <c r="K258" s="15"/>
      <c r="O258" s="507"/>
      <c r="P258" s="507"/>
      <c r="Q258" s="507"/>
      <c r="R258" s="653"/>
      <c r="S258" s="323"/>
      <c r="T258" s="6"/>
      <c r="U258" s="10"/>
      <c r="V258" s="6"/>
      <c r="W258" s="15"/>
      <c r="X258" s="648"/>
      <c r="Y258" s="323"/>
      <c r="Z258" s="6"/>
      <c r="AA258" s="10"/>
      <c r="AB258" s="6"/>
      <c r="AC258" s="15"/>
      <c r="AD258" s="648"/>
    </row>
    <row r="259" spans="1:30" ht="13.5">
      <c r="A259" s="376">
        <v>252</v>
      </c>
      <c r="B259" s="16"/>
      <c r="C259" s="358" t="s">
        <v>333</v>
      </c>
      <c r="D259" s="377"/>
      <c r="E259" s="376"/>
      <c r="F259" s="377"/>
      <c r="G259" s="323"/>
      <c r="H259" s="6"/>
      <c r="I259" s="10"/>
      <c r="J259" s="6"/>
      <c r="K259" s="15"/>
      <c r="O259" s="507"/>
      <c r="P259" s="507"/>
      <c r="Q259" s="507"/>
      <c r="R259" s="653"/>
      <c r="S259" s="323"/>
      <c r="T259" s="6"/>
      <c r="U259" s="10"/>
      <c r="V259" s="6"/>
      <c r="W259" s="15"/>
      <c r="X259" s="648"/>
      <c r="Y259" s="323"/>
      <c r="Z259" s="6"/>
      <c r="AA259" s="10"/>
      <c r="AB259" s="6"/>
      <c r="AC259" s="15"/>
      <c r="AD259" s="648"/>
    </row>
    <row r="260" spans="1:30">
      <c r="A260" s="376">
        <v>253</v>
      </c>
      <c r="B260" s="16">
        <v>932</v>
      </c>
      <c r="C260" s="359" t="s">
        <v>180</v>
      </c>
      <c r="D260" s="377"/>
      <c r="E260" s="376" t="s">
        <v>291</v>
      </c>
      <c r="F260" s="377"/>
      <c r="G260" s="388">
        <f>IF($AF$3=0,$S260,$Y260)</f>
        <v>1670500.8499999996</v>
      </c>
      <c r="H260" s="6"/>
      <c r="I260" s="376" t="s">
        <v>291</v>
      </c>
      <c r="J260" s="6"/>
      <c r="K260" s="28">
        <f>IF($AF$3=0,$W260,$AC260)</f>
        <v>1706136.4170074337</v>
      </c>
      <c r="N260" s="490">
        <f>IF(P260&lt;&gt;0,P260/K260," ")</f>
        <v>0.87943321418081011</v>
      </c>
      <c r="O260" s="548">
        <f>G260*N260</f>
        <v>1469093.9318072749</v>
      </c>
      <c r="P260" s="524">
        <f>'FERC Accts by Customer Class'!H259</f>
        <v>1500433.0330397785</v>
      </c>
      <c r="Q260" s="507"/>
      <c r="R260" s="653"/>
      <c r="S260" s="388">
        <v>1670500.8499999996</v>
      </c>
      <c r="T260" s="6"/>
      <c r="U260" s="376" t="s">
        <v>291</v>
      </c>
      <c r="V260" s="6"/>
      <c r="W260" s="28">
        <v>1707153.3392183662</v>
      </c>
      <c r="X260" s="648"/>
      <c r="Y260" s="388">
        <v>1670500.8499999996</v>
      </c>
      <c r="Z260" s="6"/>
      <c r="AA260" s="376" t="s">
        <v>291</v>
      </c>
      <c r="AB260" s="6"/>
      <c r="AC260" s="28">
        <v>1706136.4170074337</v>
      </c>
      <c r="AD260" s="648"/>
    </row>
    <row r="261" spans="1:30">
      <c r="A261" s="376">
        <v>254</v>
      </c>
      <c r="C261" s="348" t="s">
        <v>368</v>
      </c>
      <c r="D261" s="377"/>
      <c r="E261" s="376"/>
      <c r="F261" s="377"/>
      <c r="G261" s="320">
        <f>IF($AF$3=0,$S261,$Y261)</f>
        <v>1670500.8499999996</v>
      </c>
      <c r="H261" s="6"/>
      <c r="I261" s="10"/>
      <c r="J261" s="6"/>
      <c r="K261" s="29">
        <f>IF($AF$3=0,$W261,$AC261)</f>
        <v>1706136.4170074337</v>
      </c>
      <c r="N261" s="508">
        <f>IF(P261&lt;&gt;0,P261/K261," ")</f>
        <v>0.87943321418081011</v>
      </c>
      <c r="O261" s="523">
        <f>O260</f>
        <v>1469093.9318072749</v>
      </c>
      <c r="P261" s="523">
        <f>P260</f>
        <v>1500433.0330397785</v>
      </c>
      <c r="Q261" s="507"/>
      <c r="R261" s="653"/>
      <c r="S261" s="320">
        <v>1670500.8499999996</v>
      </c>
      <c r="T261" s="6"/>
      <c r="U261" s="10"/>
      <c r="V261" s="6"/>
      <c r="W261" s="29">
        <v>1707153.3392183662</v>
      </c>
      <c r="X261" s="648"/>
      <c r="Y261" s="320">
        <v>1670500.8499999996</v>
      </c>
      <c r="Z261" s="6"/>
      <c r="AA261" s="10"/>
      <c r="AB261" s="6"/>
      <c r="AC261" s="29">
        <v>1706136.4170074337</v>
      </c>
      <c r="AD261" s="648"/>
    </row>
    <row r="262" spans="1:30">
      <c r="A262" s="376">
        <v>255</v>
      </c>
      <c r="B262" s="16"/>
      <c r="C262" s="348"/>
      <c r="D262" s="377"/>
      <c r="E262" s="376"/>
      <c r="F262" s="377"/>
      <c r="G262" s="323"/>
      <c r="H262" s="6"/>
      <c r="I262" s="10"/>
      <c r="J262" s="6"/>
      <c r="K262" s="15"/>
      <c r="M262" s="338"/>
      <c r="O262" s="549"/>
      <c r="P262" s="549"/>
      <c r="Q262" s="507"/>
      <c r="R262" s="653"/>
      <c r="S262" s="323"/>
      <c r="T262" s="6"/>
      <c r="U262" s="10"/>
      <c r="V262" s="6"/>
      <c r="W262" s="15"/>
      <c r="X262" s="648"/>
      <c r="Y262" s="323"/>
      <c r="Z262" s="6"/>
      <c r="AA262" s="10"/>
      <c r="AB262" s="6"/>
      <c r="AC262" s="15"/>
      <c r="AD262" s="648"/>
    </row>
    <row r="263" spans="1:30">
      <c r="A263" s="376">
        <v>256</v>
      </c>
      <c r="B263" s="16"/>
      <c r="C263" s="348" t="s">
        <v>369</v>
      </c>
      <c r="D263" s="377"/>
      <c r="E263" s="376"/>
      <c r="F263" s="377"/>
      <c r="G263" s="323">
        <f>IF($AF$3=0,$S263,$Y263)</f>
        <v>31946970.649999999</v>
      </c>
      <c r="H263" s="6"/>
      <c r="I263" s="10"/>
      <c r="J263" s="6"/>
      <c r="K263" s="15">
        <f>IF($AF$3=0,$W263,$AC263)</f>
        <v>35931800.450047344</v>
      </c>
      <c r="M263" s="338"/>
      <c r="N263" s="513">
        <f>IF(P263&lt;&gt;0,P263/K263," ")</f>
        <v>0.87229212683060131</v>
      </c>
      <c r="O263" s="521">
        <f>O257+O261</f>
        <v>1469093.9318072749</v>
      </c>
      <c r="P263" s="521">
        <f>'FERC Accts by Customer Class'!H260</f>
        <v>31343026.635424554</v>
      </c>
      <c r="Q263" s="507"/>
      <c r="R263" s="653"/>
      <c r="S263" s="323">
        <v>31946970.649999999</v>
      </c>
      <c r="T263" s="6"/>
      <c r="U263" s="10"/>
      <c r="V263" s="6"/>
      <c r="W263" s="15">
        <v>37291597.528651923</v>
      </c>
      <c r="X263" s="648"/>
      <c r="Y263" s="323">
        <v>31946970.649999999</v>
      </c>
      <c r="Z263" s="6"/>
      <c r="AA263" s="10"/>
      <c r="AB263" s="6"/>
      <c r="AC263" s="15">
        <v>35931800.450047344</v>
      </c>
      <c r="AD263" s="648"/>
    </row>
    <row r="264" spans="1:30">
      <c r="A264" s="376">
        <v>257</v>
      </c>
      <c r="B264" s="376"/>
      <c r="D264" s="377"/>
      <c r="E264" s="376"/>
      <c r="F264" s="377"/>
      <c r="H264" s="6"/>
      <c r="I264" s="10"/>
      <c r="J264" s="6"/>
      <c r="K264" s="7"/>
      <c r="M264" s="338"/>
      <c r="O264" s="549"/>
      <c r="P264" s="549"/>
      <c r="Q264" s="507"/>
      <c r="R264" s="653"/>
      <c r="S264" s="320"/>
      <c r="T264" s="6"/>
      <c r="U264" s="10"/>
      <c r="V264" s="6"/>
      <c r="W264" s="7"/>
      <c r="X264" s="648"/>
      <c r="Y264" s="320"/>
      <c r="Z264" s="6"/>
      <c r="AA264" s="10"/>
      <c r="AB264" s="6"/>
      <c r="AC264" s="7"/>
      <c r="AD264" s="648"/>
    </row>
    <row r="265" spans="1:30">
      <c r="A265" s="376">
        <v>258</v>
      </c>
      <c r="B265" s="376"/>
      <c r="C265" s="348" t="s">
        <v>370</v>
      </c>
      <c r="D265" s="377"/>
      <c r="E265" s="376"/>
      <c r="F265" s="377"/>
      <c r="G265" s="323">
        <f>IF($AF$3=0,$S265,$Y265)</f>
        <v>143067313.11999997</v>
      </c>
      <c r="H265" s="323"/>
      <c r="I265" s="323"/>
      <c r="J265" s="323"/>
      <c r="K265" s="323">
        <f>IF($AF$3=0,$W265,$AC265)</f>
        <v>73261868.646502465</v>
      </c>
      <c r="M265" s="338" t="s">
        <v>647</v>
      </c>
      <c r="N265" s="513">
        <f>IF(P265&lt;&gt;0,P265/K265," ")</f>
        <v>0.87280610892950994</v>
      </c>
      <c r="O265" s="519">
        <f>+O137+O185+O215+O224+O232+O242+O263+O161+O124+O114</f>
        <v>32531220.489729945</v>
      </c>
      <c r="P265" s="519">
        <f>'FERC Accts by Customer Class'!H262</f>
        <v>63943406.506258681</v>
      </c>
      <c r="Q265" s="507"/>
      <c r="R265" s="653"/>
      <c r="S265" s="323">
        <v>143067313.11999997</v>
      </c>
      <c r="T265" s="323"/>
      <c r="U265" s="323"/>
      <c r="V265" s="323"/>
      <c r="W265" s="323">
        <v>75451784.754911885</v>
      </c>
      <c r="X265" s="648"/>
      <c r="Y265" s="323">
        <v>143067313.11999997</v>
      </c>
      <c r="Z265" s="323"/>
      <c r="AA265" s="323"/>
      <c r="AB265" s="323"/>
      <c r="AC265" s="323">
        <v>73261868.646502465</v>
      </c>
      <c r="AD265" s="648"/>
    </row>
    <row r="266" spans="1:30">
      <c r="A266" s="376">
        <v>259</v>
      </c>
      <c r="B266" s="376"/>
      <c r="D266" s="377"/>
      <c r="E266" s="376"/>
      <c r="F266" s="377"/>
      <c r="H266" s="6"/>
      <c r="I266" s="10"/>
      <c r="J266" s="6"/>
      <c r="K266" s="638"/>
      <c r="M266" s="338" t="s">
        <v>648</v>
      </c>
      <c r="O266" s="638"/>
      <c r="P266" s="638"/>
      <c r="Q266" s="507"/>
      <c r="R266" s="653"/>
      <c r="S266" s="320"/>
      <c r="T266" s="6"/>
      <c r="U266" s="10"/>
      <c r="V266" s="6"/>
      <c r="W266" s="638"/>
      <c r="X266" s="648"/>
      <c r="Y266" s="320"/>
      <c r="Z266" s="6"/>
      <c r="AA266" s="10"/>
      <c r="AB266" s="6"/>
      <c r="AC266" s="638"/>
      <c r="AD266" s="648"/>
    </row>
    <row r="267" spans="1:30">
      <c r="A267" s="376">
        <v>260</v>
      </c>
      <c r="B267" s="376"/>
      <c r="C267" s="348" t="s">
        <v>122</v>
      </c>
      <c r="D267" s="377"/>
      <c r="E267" s="376"/>
      <c r="F267" s="377"/>
      <c r="H267" s="6"/>
      <c r="I267" s="10"/>
      <c r="J267" s="6"/>
      <c r="K267" s="6"/>
      <c r="M267" s="338"/>
      <c r="O267" s="529"/>
      <c r="P267" s="529"/>
      <c r="Q267" s="507"/>
      <c r="R267" s="653"/>
      <c r="S267" s="320"/>
      <c r="T267" s="6"/>
      <c r="U267" s="10"/>
      <c r="V267" s="6"/>
      <c r="W267" s="6"/>
      <c r="X267" s="648"/>
      <c r="Y267" s="320"/>
      <c r="Z267" s="6"/>
      <c r="AA267" s="10"/>
      <c r="AB267" s="6"/>
      <c r="AC267" s="6"/>
      <c r="AD267" s="648"/>
    </row>
    <row r="268" spans="1:30">
      <c r="A268" s="376">
        <v>261</v>
      </c>
      <c r="B268" s="376"/>
      <c r="C268" s="337" t="s">
        <v>104</v>
      </c>
      <c r="D268" s="377"/>
      <c r="E268" s="376" t="s">
        <v>371</v>
      </c>
      <c r="F268" s="377"/>
      <c r="G268" s="320">
        <f t="shared" ref="G268:G276" si="50">IF($AF$3=0,$S268,$Y268)</f>
        <v>33980.25</v>
      </c>
      <c r="H268" s="6"/>
      <c r="I268" s="376" t="s">
        <v>371</v>
      </c>
      <c r="J268" s="6"/>
      <c r="K268" s="320">
        <f t="shared" ref="K268:K276" si="51">IF($AF$3=0,$W268,$AC268)</f>
        <v>75057</v>
      </c>
      <c r="M268" s="338"/>
      <c r="N268" s="508">
        <f t="shared" ref="N268:N276" si="52">IF(P268&lt;&gt;0,P268/K268," ")</f>
        <v>0.87194347602411748</v>
      </c>
      <c r="O268" s="529">
        <f>G268*N268</f>
        <v>29628.857301168518</v>
      </c>
      <c r="P268" s="530">
        <f>'FERC Accts by Customer Class'!H279</f>
        <v>65445.461479942183</v>
      </c>
      <c r="Q268" s="507"/>
      <c r="R268" s="653"/>
      <c r="S268" s="320">
        <v>33980.25</v>
      </c>
      <c r="T268" s="6"/>
      <c r="U268" s="376" t="s">
        <v>371</v>
      </c>
      <c r="V268" s="6"/>
      <c r="W268" s="320">
        <v>75057</v>
      </c>
      <c r="X268" s="648"/>
      <c r="Y268" s="320">
        <v>33980.25</v>
      </c>
      <c r="Z268" s="6"/>
      <c r="AA268" s="376" t="s">
        <v>371</v>
      </c>
      <c r="AB268" s="6"/>
      <c r="AC268" s="320">
        <v>75057</v>
      </c>
      <c r="AD268" s="648"/>
    </row>
    <row r="269" spans="1:30">
      <c r="A269" s="376">
        <v>262</v>
      </c>
      <c r="B269" s="376"/>
      <c r="C269" s="337" t="s">
        <v>372</v>
      </c>
      <c r="D269" s="377"/>
      <c r="E269" s="376" t="s">
        <v>371</v>
      </c>
      <c r="F269" s="377"/>
      <c r="G269" s="112">
        <f t="shared" si="50"/>
        <v>0</v>
      </c>
      <c r="H269" s="6"/>
      <c r="I269" s="376" t="s">
        <v>371</v>
      </c>
      <c r="J269" s="6"/>
      <c r="K269" s="112">
        <f t="shared" si="51"/>
        <v>0</v>
      </c>
      <c r="M269" s="338"/>
      <c r="N269" s="508" t="str">
        <f t="shared" si="52"/>
        <v xml:space="preserve"> </v>
      </c>
      <c r="O269" s="550"/>
      <c r="P269" s="551"/>
      <c r="Q269" s="507"/>
      <c r="R269" s="653"/>
      <c r="S269" s="112">
        <v>0</v>
      </c>
      <c r="T269" s="6"/>
      <c r="U269" s="376" t="s">
        <v>371</v>
      </c>
      <c r="V269" s="6"/>
      <c r="W269" s="112">
        <v>0</v>
      </c>
      <c r="X269" s="648"/>
      <c r="Y269" s="112">
        <v>0</v>
      </c>
      <c r="Z269" s="6"/>
      <c r="AA269" s="376" t="s">
        <v>371</v>
      </c>
      <c r="AB269" s="6"/>
      <c r="AC269" s="112">
        <v>0</v>
      </c>
      <c r="AD269" s="648"/>
    </row>
    <row r="270" spans="1:30">
      <c r="A270" s="376">
        <v>263</v>
      </c>
      <c r="B270" s="376"/>
      <c r="C270" s="337" t="s">
        <v>278</v>
      </c>
      <c r="D270" s="377"/>
      <c r="E270" s="376" t="s">
        <v>371</v>
      </c>
      <c r="F270" s="377"/>
      <c r="G270" s="112">
        <f t="shared" si="50"/>
        <v>0</v>
      </c>
      <c r="H270" s="6"/>
      <c r="I270" s="376" t="s">
        <v>371</v>
      </c>
      <c r="J270" s="6"/>
      <c r="K270" s="112">
        <f t="shared" si="51"/>
        <v>0</v>
      </c>
      <c r="N270" s="508" t="str">
        <f t="shared" si="52"/>
        <v xml:space="preserve"> </v>
      </c>
      <c r="O270" s="550"/>
      <c r="P270" s="551"/>
      <c r="Q270" s="507"/>
      <c r="R270" s="653"/>
      <c r="S270" s="112">
        <v>0</v>
      </c>
      <c r="T270" s="6"/>
      <c r="U270" s="376" t="s">
        <v>371</v>
      </c>
      <c r="V270" s="6"/>
      <c r="W270" s="112">
        <v>0</v>
      </c>
      <c r="X270" s="648"/>
      <c r="Y270" s="112">
        <v>0</v>
      </c>
      <c r="Z270" s="6"/>
      <c r="AA270" s="376" t="s">
        <v>371</v>
      </c>
      <c r="AB270" s="6"/>
      <c r="AC270" s="112">
        <v>0</v>
      </c>
      <c r="AD270" s="648"/>
    </row>
    <row r="271" spans="1:30">
      <c r="A271" s="376">
        <v>264</v>
      </c>
      <c r="B271" s="376"/>
      <c r="C271" s="337" t="s">
        <v>42</v>
      </c>
      <c r="D271" s="377"/>
      <c r="E271" s="376" t="s">
        <v>371</v>
      </c>
      <c r="F271" s="377"/>
      <c r="G271" s="112">
        <f t="shared" si="50"/>
        <v>49688.100000000006</v>
      </c>
      <c r="H271" s="6"/>
      <c r="I271" s="376" t="s">
        <v>371</v>
      </c>
      <c r="J271" s="6"/>
      <c r="K271" s="112">
        <f t="shared" si="51"/>
        <v>40586</v>
      </c>
      <c r="N271" s="508">
        <f t="shared" si="52"/>
        <v>0.5568929519996636</v>
      </c>
      <c r="O271" s="550">
        <f>G271*N271</f>
        <v>27670.952688254489</v>
      </c>
      <c r="P271" s="551">
        <f>'FERC Accts by Customer Class'!H280</f>
        <v>22602.057349858347</v>
      </c>
      <c r="Q271" s="507"/>
      <c r="R271" s="653"/>
      <c r="S271" s="112">
        <v>49688.100000000006</v>
      </c>
      <c r="T271" s="6"/>
      <c r="U271" s="376" t="s">
        <v>371</v>
      </c>
      <c r="V271" s="6"/>
      <c r="W271" s="112">
        <v>40586</v>
      </c>
      <c r="X271" s="648"/>
      <c r="Y271" s="112">
        <v>49688.100000000006</v>
      </c>
      <c r="Z271" s="6"/>
      <c r="AA271" s="376" t="s">
        <v>371</v>
      </c>
      <c r="AB271" s="6"/>
      <c r="AC271" s="112">
        <v>40586</v>
      </c>
      <c r="AD271" s="648"/>
    </row>
    <row r="272" spans="1:30">
      <c r="A272" s="376">
        <v>265</v>
      </c>
      <c r="B272" s="376"/>
      <c r="C272" s="337" t="s">
        <v>45</v>
      </c>
      <c r="D272" s="377"/>
      <c r="E272" s="376" t="s">
        <v>371</v>
      </c>
      <c r="F272" s="377"/>
      <c r="G272" s="112">
        <f t="shared" si="50"/>
        <v>19753043.210000001</v>
      </c>
      <c r="H272" s="6"/>
      <c r="I272" s="376" t="s">
        <v>371</v>
      </c>
      <c r="J272" s="6"/>
      <c r="K272" s="324">
        <f t="shared" si="51"/>
        <v>16164555</v>
      </c>
      <c r="N272" s="508">
        <f t="shared" si="52"/>
        <v>0.86168707657505894</v>
      </c>
      <c r="O272" s="550">
        <f>G272*N272</f>
        <v>17020942.057085719</v>
      </c>
      <c r="P272" s="551">
        <f>'FERC Accts by Customer Class'!H281</f>
        <v>13928788.142086752</v>
      </c>
      <c r="Q272" s="507"/>
      <c r="R272" s="653"/>
      <c r="S272" s="112">
        <v>19753043.210000001</v>
      </c>
      <c r="T272" s="6"/>
      <c r="U272" s="376" t="s">
        <v>371</v>
      </c>
      <c r="V272" s="6"/>
      <c r="W272" s="324">
        <v>18103068</v>
      </c>
      <c r="X272" s="648"/>
      <c r="Y272" s="112">
        <v>19753043.210000001</v>
      </c>
      <c r="Z272" s="6"/>
      <c r="AA272" s="376" t="s">
        <v>371</v>
      </c>
      <c r="AB272" s="6"/>
      <c r="AC272" s="324">
        <v>16164555</v>
      </c>
      <c r="AD272" s="648"/>
    </row>
    <row r="273" spans="1:30">
      <c r="A273" s="376">
        <v>266</v>
      </c>
      <c r="B273" s="376"/>
      <c r="C273" s="337" t="s">
        <v>105</v>
      </c>
      <c r="D273" s="377"/>
      <c r="E273" s="376" t="s">
        <v>371</v>
      </c>
      <c r="F273" s="377"/>
      <c r="G273" s="112">
        <f t="shared" si="50"/>
        <v>868500.7699999999</v>
      </c>
      <c r="H273" s="6"/>
      <c r="I273" s="381" t="s">
        <v>371</v>
      </c>
      <c r="J273" s="6"/>
      <c r="K273" s="324">
        <f t="shared" si="51"/>
        <v>2449921.4246473559</v>
      </c>
      <c r="M273" s="338"/>
      <c r="N273" s="508">
        <f t="shared" si="52"/>
        <v>0.87943321418081022</v>
      </c>
      <c r="O273" s="550">
        <f>G273*N273</f>
        <v>763788.4236796085</v>
      </c>
      <c r="P273" s="551">
        <f>'FERC Accts by Customer Class'!H282</f>
        <v>2154542.2729680538</v>
      </c>
      <c r="Q273" s="507"/>
      <c r="R273" s="653"/>
      <c r="S273" s="112">
        <v>868500.7699999999</v>
      </c>
      <c r="T273" s="6"/>
      <c r="U273" s="381" t="s">
        <v>371</v>
      </c>
      <c r="V273" s="6"/>
      <c r="W273" s="324">
        <v>2309626.4267111854</v>
      </c>
      <c r="X273" s="648"/>
      <c r="Y273" s="112">
        <v>868500.7699999999</v>
      </c>
      <c r="Z273" s="6"/>
      <c r="AA273" s="381" t="s">
        <v>371</v>
      </c>
      <c r="AB273" s="6"/>
      <c r="AC273" s="324">
        <v>2449921.4246473559</v>
      </c>
      <c r="AD273" s="648"/>
    </row>
    <row r="274" spans="1:30">
      <c r="A274" s="376">
        <v>267</v>
      </c>
      <c r="B274" s="376"/>
      <c r="C274" s="337" t="s">
        <v>619</v>
      </c>
      <c r="D274" s="377"/>
      <c r="E274" s="376" t="s">
        <v>371</v>
      </c>
      <c r="F274" s="377"/>
      <c r="G274" s="112">
        <f t="shared" si="50"/>
        <v>2044147.88</v>
      </c>
      <c r="H274" s="6"/>
      <c r="I274" s="381" t="s">
        <v>371</v>
      </c>
      <c r="J274" s="6"/>
      <c r="K274" s="324">
        <f t="shared" si="51"/>
        <v>1053497.7467970264</v>
      </c>
      <c r="M274" s="338"/>
      <c r="N274" s="508">
        <f t="shared" si="52"/>
        <v>0.94873241983789069</v>
      </c>
      <c r="O274" s="550">
        <f>G274*N274</f>
        <v>1939349.3646988941</v>
      </c>
      <c r="P274" s="551">
        <f>'FERC Accts by Customer Class'!H283</f>
        <v>999487.46661250829</v>
      </c>
      <c r="Q274" s="507"/>
      <c r="R274" s="653"/>
      <c r="S274" s="112">
        <v>2044147.88</v>
      </c>
      <c r="T274" s="6"/>
      <c r="U274" s="381" t="s">
        <v>371</v>
      </c>
      <c r="V274" s="6"/>
      <c r="W274" s="324">
        <v>1024594.0612960308</v>
      </c>
      <c r="X274" s="648"/>
      <c r="Y274" s="112">
        <v>2044147.88</v>
      </c>
      <c r="Z274" s="6"/>
      <c r="AA274" s="381" t="s">
        <v>371</v>
      </c>
      <c r="AB274" s="6"/>
      <c r="AC274" s="324">
        <v>1053497.7467970264</v>
      </c>
      <c r="AD274" s="648"/>
    </row>
    <row r="275" spans="1:30">
      <c r="A275" s="376">
        <v>268</v>
      </c>
      <c r="B275" s="376"/>
      <c r="C275" s="337" t="s">
        <v>620</v>
      </c>
      <c r="D275" s="377"/>
      <c r="E275" s="376" t="s">
        <v>371</v>
      </c>
      <c r="F275" s="377"/>
      <c r="G275" s="322">
        <f t="shared" si="50"/>
        <v>1287326.53</v>
      </c>
      <c r="H275" s="6"/>
      <c r="I275" s="381" t="s">
        <v>371</v>
      </c>
      <c r="J275" s="6"/>
      <c r="K275" s="325">
        <f t="shared" si="51"/>
        <v>1901496.2532029736</v>
      </c>
      <c r="N275" s="490">
        <f t="shared" si="52"/>
        <v>0.87194347602411737</v>
      </c>
      <c r="O275" s="552">
        <f>G275*N275</f>
        <v>1122475.9693462653</v>
      </c>
      <c r="P275" s="553">
        <f>'FERC Accts by Customer Class'!H284</f>
        <v>1657997.2526646361</v>
      </c>
      <c r="Q275" s="507"/>
      <c r="R275" s="653"/>
      <c r="S275" s="322">
        <v>1287326.53</v>
      </c>
      <c r="T275" s="6"/>
      <c r="U275" s="381" t="s">
        <v>371</v>
      </c>
      <c r="V275" s="6"/>
      <c r="W275" s="325">
        <v>1816716.9387039691</v>
      </c>
      <c r="X275" s="648"/>
      <c r="Y275" s="322">
        <v>1287326.53</v>
      </c>
      <c r="Z275" s="6"/>
      <c r="AA275" s="381" t="s">
        <v>371</v>
      </c>
      <c r="AB275" s="6"/>
      <c r="AC275" s="325">
        <v>1901496.2532029736</v>
      </c>
      <c r="AD275" s="648"/>
    </row>
    <row r="276" spans="1:30">
      <c r="A276" s="376">
        <v>269</v>
      </c>
      <c r="B276" s="376"/>
      <c r="C276" s="348" t="s">
        <v>373</v>
      </c>
      <c r="D276" s="377"/>
      <c r="E276" s="376"/>
      <c r="F276" s="377"/>
      <c r="G276" s="320">
        <f t="shared" si="50"/>
        <v>24036686.740000002</v>
      </c>
      <c r="H276" s="6"/>
      <c r="I276" s="10"/>
      <c r="J276" s="6"/>
      <c r="K276" s="320">
        <f t="shared" si="51"/>
        <v>21685113.424647357</v>
      </c>
      <c r="N276" s="508">
        <f t="shared" si="52"/>
        <v>0.86828518184095893</v>
      </c>
      <c r="O276" s="523">
        <f>SUM(O268:O275)</f>
        <v>20903855.624799911</v>
      </c>
      <c r="P276" s="523">
        <f>SUM(P268:P275)</f>
        <v>18828862.653161749</v>
      </c>
      <c r="Q276" s="507"/>
      <c r="R276" s="653"/>
      <c r="S276" s="320">
        <v>24036686.740000002</v>
      </c>
      <c r="T276" s="6"/>
      <c r="U276" s="10"/>
      <c r="V276" s="6"/>
      <c r="W276" s="320">
        <v>23369648.426711187</v>
      </c>
      <c r="X276" s="648"/>
      <c r="Y276" s="320">
        <v>24036686.740000002</v>
      </c>
      <c r="Z276" s="6"/>
      <c r="AA276" s="10"/>
      <c r="AB276" s="6"/>
      <c r="AC276" s="320">
        <v>21685113.424647357</v>
      </c>
      <c r="AD276" s="648"/>
    </row>
    <row r="277" spans="1:30">
      <c r="A277" s="376">
        <v>270</v>
      </c>
      <c r="B277" s="376"/>
      <c r="D277" s="377"/>
      <c r="E277" s="376"/>
      <c r="F277" s="377"/>
      <c r="H277" s="6"/>
      <c r="I277" s="10"/>
      <c r="J277" s="6"/>
      <c r="K277" s="7"/>
      <c r="M277" s="338"/>
      <c r="O277" s="529"/>
      <c r="P277" s="529"/>
      <c r="Q277" s="507"/>
      <c r="R277" s="653"/>
      <c r="S277" s="320"/>
      <c r="T277" s="6"/>
      <c r="U277" s="10"/>
      <c r="V277" s="6"/>
      <c r="W277" s="7"/>
      <c r="X277" s="648"/>
      <c r="Y277" s="320"/>
      <c r="Z277" s="6"/>
      <c r="AA277" s="10"/>
      <c r="AB277" s="6"/>
      <c r="AC277" s="7"/>
      <c r="AD277" s="648"/>
    </row>
    <row r="278" spans="1:30">
      <c r="A278" s="376">
        <v>271</v>
      </c>
      <c r="B278" s="376"/>
      <c r="C278" s="348" t="s">
        <v>374</v>
      </c>
      <c r="D278" s="377"/>
      <c r="E278" s="376"/>
      <c r="F278" s="377"/>
      <c r="G278" s="389"/>
      <c r="H278" s="6"/>
      <c r="I278" s="10"/>
      <c r="J278" s="6"/>
      <c r="K278" s="30"/>
      <c r="M278" s="338"/>
      <c r="O278" s="547"/>
      <c r="P278" s="547"/>
      <c r="Q278" s="507"/>
      <c r="R278" s="653"/>
      <c r="S278" s="389"/>
      <c r="T278" s="6"/>
      <c r="U278" s="10"/>
      <c r="V278" s="6"/>
      <c r="W278" s="30"/>
      <c r="X278" s="648"/>
      <c r="Y278" s="389"/>
      <c r="Z278" s="6"/>
      <c r="AA278" s="10"/>
      <c r="AB278" s="6"/>
      <c r="AC278" s="30"/>
      <c r="AD278" s="648"/>
    </row>
    <row r="279" spans="1:30">
      <c r="A279" s="376">
        <v>272</v>
      </c>
      <c r="B279" s="376"/>
      <c r="C279" s="337" t="s">
        <v>584</v>
      </c>
      <c r="D279" s="377"/>
      <c r="E279" s="376" t="s">
        <v>376</v>
      </c>
      <c r="F279" s="377"/>
      <c r="G279" s="320">
        <f t="shared" ref="G279:G284" si="53">IF($AF$3=0,$S279,$Y279)</f>
        <v>3909166.01</v>
      </c>
      <c r="H279" s="6"/>
      <c r="I279" s="376" t="s">
        <v>376</v>
      </c>
      <c r="J279" s="6"/>
      <c r="K279" s="320">
        <f t="shared" ref="K279:K284" si="54">IF($AF$3=0,$W279,$AC279)</f>
        <v>4699301.969868673</v>
      </c>
      <c r="M279" s="338"/>
      <c r="N279" s="508">
        <f t="shared" ref="N279:N284" si="55">IF(P279&lt;&gt;0,P279/K279," ")</f>
        <v>0.86405857965908184</v>
      </c>
      <c r="O279" s="529">
        <f>G279*N279</f>
        <v>3377748.4302521599</v>
      </c>
      <c r="P279" s="530">
        <f>'FERC Accts by Customer Class'!H288</f>
        <v>4060472.1854738509</v>
      </c>
      <c r="Q279" s="507"/>
      <c r="R279" s="653"/>
      <c r="S279" s="320">
        <v>3909166.01</v>
      </c>
      <c r="T279" s="6"/>
      <c r="U279" s="376" t="s">
        <v>376</v>
      </c>
      <c r="V279" s="6"/>
      <c r="W279" s="320">
        <v>4660325.2383528184</v>
      </c>
      <c r="X279" s="648"/>
      <c r="Y279" s="320">
        <v>3909166.01</v>
      </c>
      <c r="Z279" s="6"/>
      <c r="AA279" s="376" t="s">
        <v>376</v>
      </c>
      <c r="AB279" s="6"/>
      <c r="AC279" s="320">
        <v>4699301.969868673</v>
      </c>
      <c r="AD279" s="648"/>
    </row>
    <row r="280" spans="1:30">
      <c r="A280" s="376">
        <v>273</v>
      </c>
      <c r="B280" s="376"/>
      <c r="C280" s="337" t="s">
        <v>124</v>
      </c>
      <c r="D280" s="377"/>
      <c r="E280" s="376" t="s">
        <v>376</v>
      </c>
      <c r="F280" s="377"/>
      <c r="G280" s="112">
        <f t="shared" si="53"/>
        <v>2264966.2599999984</v>
      </c>
      <c r="H280" s="6"/>
      <c r="I280" s="381" t="s">
        <v>376</v>
      </c>
      <c r="J280" s="6"/>
      <c r="K280" s="324">
        <f t="shared" si="54"/>
        <v>2412941.167860203</v>
      </c>
      <c r="M280" s="338"/>
      <c r="N280" s="508">
        <f t="shared" si="55"/>
        <v>0.87194347602411726</v>
      </c>
      <c r="O280" s="550">
        <f>G280*N280</f>
        <v>1974922.5538217432</v>
      </c>
      <c r="P280" s="551">
        <f>'FERC Accts by Customer Class'!H289</f>
        <v>2103948.3093457185</v>
      </c>
      <c r="Q280" s="507"/>
      <c r="R280" s="653"/>
      <c r="S280" s="112">
        <v>2264966.2599999984</v>
      </c>
      <c r="T280" s="6"/>
      <c r="U280" s="381" t="s">
        <v>376</v>
      </c>
      <c r="V280" s="6"/>
      <c r="W280" s="324">
        <v>2492433.2599999984</v>
      </c>
      <c r="X280" s="648"/>
      <c r="Y280" s="112">
        <v>2264966.2599999984</v>
      </c>
      <c r="Z280" s="6"/>
      <c r="AA280" s="381" t="s">
        <v>376</v>
      </c>
      <c r="AB280" s="6"/>
      <c r="AC280" s="324">
        <v>2412941.167860203</v>
      </c>
      <c r="AD280" s="648"/>
    </row>
    <row r="281" spans="1:30">
      <c r="A281" s="376">
        <v>274</v>
      </c>
      <c r="B281" s="376"/>
      <c r="C281" s="337" t="s">
        <v>377</v>
      </c>
      <c r="D281" s="377"/>
      <c r="E281" s="376" t="s">
        <v>376</v>
      </c>
      <c r="F281" s="377"/>
      <c r="G281" s="112">
        <f t="shared" si="53"/>
        <v>23120.46</v>
      </c>
      <c r="H281" s="6"/>
      <c r="I281" s="381" t="s">
        <v>376</v>
      </c>
      <c r="J281" s="6"/>
      <c r="K281" s="324">
        <f t="shared" si="54"/>
        <v>23120.46</v>
      </c>
      <c r="M281" s="338"/>
      <c r="N281" s="508">
        <f t="shared" si="55"/>
        <v>0.87194347602411748</v>
      </c>
      <c r="O281" s="550">
        <f>G281*N281</f>
        <v>20159.734259676567</v>
      </c>
      <c r="P281" s="551">
        <f>'FERC Accts by Customer Class'!H290</f>
        <v>20159.734259676567</v>
      </c>
      <c r="Q281" s="507"/>
      <c r="R281" s="653"/>
      <c r="S281" s="112">
        <v>23120.46</v>
      </c>
      <c r="T281" s="6"/>
      <c r="U281" s="381" t="s">
        <v>376</v>
      </c>
      <c r="V281" s="6"/>
      <c r="W281" s="324">
        <v>23120.46</v>
      </c>
      <c r="X281" s="648"/>
      <c r="Y281" s="112">
        <v>23120.46</v>
      </c>
      <c r="Z281" s="6"/>
      <c r="AA281" s="381" t="s">
        <v>376</v>
      </c>
      <c r="AB281" s="6"/>
      <c r="AC281" s="324">
        <v>23120.46</v>
      </c>
      <c r="AD281" s="648"/>
    </row>
    <row r="282" spans="1:30">
      <c r="A282" s="376">
        <v>275</v>
      </c>
      <c r="B282" s="376"/>
      <c r="C282" s="337" t="s">
        <v>378</v>
      </c>
      <c r="D282" s="377"/>
      <c r="E282" s="376" t="s">
        <v>376</v>
      </c>
      <c r="F282" s="377"/>
      <c r="G282" s="112">
        <f t="shared" si="53"/>
        <v>28765.899999999998</v>
      </c>
      <c r="H282" s="6"/>
      <c r="I282" s="381" t="s">
        <v>376</v>
      </c>
      <c r="J282" s="6"/>
      <c r="K282" s="324">
        <f t="shared" si="54"/>
        <v>28765.899999999998</v>
      </c>
      <c r="M282" s="338"/>
      <c r="N282" s="508">
        <f t="shared" si="55"/>
        <v>0.87194347602411737</v>
      </c>
      <c r="O282" s="550">
        <f>G282*N282</f>
        <v>25082.238836962155</v>
      </c>
      <c r="P282" s="551">
        <f>'FERC Accts by Customer Class'!H291</f>
        <v>25082.238836962155</v>
      </c>
      <c r="Q282" s="507"/>
      <c r="R282" s="653"/>
      <c r="S282" s="112">
        <v>28765.899999999998</v>
      </c>
      <c r="T282" s="6"/>
      <c r="U282" s="381" t="s">
        <v>376</v>
      </c>
      <c r="V282" s="6"/>
      <c r="W282" s="324">
        <v>28765.899999999998</v>
      </c>
      <c r="X282" s="648"/>
      <c r="Y282" s="112">
        <v>28765.899999999998</v>
      </c>
      <c r="Z282" s="6"/>
      <c r="AA282" s="381" t="s">
        <v>376</v>
      </c>
      <c r="AB282" s="6"/>
      <c r="AC282" s="324">
        <v>28765.899999999998</v>
      </c>
      <c r="AD282" s="648"/>
    </row>
    <row r="283" spans="1:30">
      <c r="A283" s="376">
        <v>276</v>
      </c>
      <c r="B283" s="376"/>
      <c r="C283" s="350" t="s">
        <v>125</v>
      </c>
      <c r="D283" s="377"/>
      <c r="E283" s="376" t="s">
        <v>376</v>
      </c>
      <c r="F283" s="377"/>
      <c r="G283" s="322">
        <f t="shared" si="53"/>
        <v>-350166.07999999996</v>
      </c>
      <c r="H283" s="6"/>
      <c r="I283" s="381" t="s">
        <v>376</v>
      </c>
      <c r="J283" s="6"/>
      <c r="K283" s="325">
        <f t="shared" si="54"/>
        <v>-118693.07999999999</v>
      </c>
      <c r="N283" s="490">
        <f t="shared" si="55"/>
        <v>0.87194347602411737</v>
      </c>
      <c r="O283" s="552">
        <f>G283*N283</f>
        <v>-305325.02898093913</v>
      </c>
      <c r="P283" s="553">
        <f>'FERC Accts by Customer Class'!H292</f>
        <v>-103493.65675520863</v>
      </c>
      <c r="Q283" s="507"/>
      <c r="R283" s="653"/>
      <c r="S283" s="322">
        <v>-350166.07999999996</v>
      </c>
      <c r="T283" s="6"/>
      <c r="U283" s="381" t="s">
        <v>376</v>
      </c>
      <c r="V283" s="6"/>
      <c r="W283" s="325">
        <v>-118693.07999999999</v>
      </c>
      <c r="X283" s="648"/>
      <c r="Y283" s="322">
        <v>-350166.07999999996</v>
      </c>
      <c r="Z283" s="6"/>
      <c r="AA283" s="381" t="s">
        <v>376</v>
      </c>
      <c r="AB283" s="6"/>
      <c r="AC283" s="325">
        <v>-118693.07999999999</v>
      </c>
      <c r="AD283" s="648"/>
    </row>
    <row r="284" spans="1:30">
      <c r="A284" s="376">
        <v>277</v>
      </c>
      <c r="B284" s="376"/>
      <c r="C284" s="348" t="s">
        <v>379</v>
      </c>
      <c r="D284" s="377"/>
      <c r="E284" s="376"/>
      <c r="F284" s="377"/>
      <c r="G284" s="320">
        <f t="shared" si="53"/>
        <v>5875852.549999998</v>
      </c>
      <c r="H284" s="6"/>
      <c r="I284" s="10"/>
      <c r="J284" s="6"/>
      <c r="K284" s="320">
        <f t="shared" si="54"/>
        <v>7045436.4177288758</v>
      </c>
      <c r="N284" s="508">
        <f t="shared" si="55"/>
        <v>0.86668425476038091</v>
      </c>
      <c r="O284" s="523">
        <f>SUM(O279:O283)</f>
        <v>5092587.9281896027</v>
      </c>
      <c r="P284" s="523">
        <f>SUM(P279:P283)</f>
        <v>6106168.8111609984</v>
      </c>
      <c r="Q284" s="507"/>
      <c r="R284" s="653"/>
      <c r="S284" s="320">
        <v>5875852.549999998</v>
      </c>
      <c r="T284" s="6"/>
      <c r="U284" s="10"/>
      <c r="V284" s="6"/>
      <c r="W284" s="320">
        <v>7085951.7783528166</v>
      </c>
      <c r="X284" s="648"/>
      <c r="Y284" s="320">
        <v>5875852.549999998</v>
      </c>
      <c r="Z284" s="6"/>
      <c r="AA284" s="10"/>
      <c r="AB284" s="6"/>
      <c r="AC284" s="320">
        <v>7045436.4177288758</v>
      </c>
      <c r="AD284" s="648"/>
    </row>
    <row r="285" spans="1:30">
      <c r="A285" s="376">
        <v>278</v>
      </c>
      <c r="B285" s="376"/>
      <c r="D285" s="377"/>
      <c r="E285" s="376"/>
      <c r="F285" s="377"/>
      <c r="H285" s="6"/>
      <c r="I285" s="10"/>
      <c r="J285" s="6"/>
      <c r="K285" s="7"/>
      <c r="M285" s="338"/>
      <c r="O285" s="529"/>
      <c r="P285" s="529"/>
      <c r="Q285" s="507"/>
      <c r="R285" s="653"/>
      <c r="S285" s="320"/>
      <c r="T285" s="6"/>
      <c r="U285" s="10"/>
      <c r="V285" s="6"/>
      <c r="W285" s="7"/>
      <c r="X285" s="648"/>
      <c r="Y285" s="320"/>
      <c r="Z285" s="6"/>
      <c r="AA285" s="10"/>
      <c r="AB285" s="6"/>
      <c r="AC285" s="7"/>
      <c r="AD285" s="648"/>
    </row>
    <row r="286" spans="1:30">
      <c r="A286" s="376">
        <v>279</v>
      </c>
      <c r="B286" s="376"/>
      <c r="C286" s="348" t="s">
        <v>380</v>
      </c>
      <c r="D286" s="380"/>
      <c r="E286" s="316"/>
      <c r="F286" s="380"/>
      <c r="G286" s="323">
        <f>IF($AF$3=0,$S286,$Y286)</f>
        <v>172979852.41</v>
      </c>
      <c r="H286" s="25"/>
      <c r="I286" s="26"/>
      <c r="J286" s="25"/>
      <c r="K286" s="15">
        <f>IF($AF$3=0,$W286,$AC286)</f>
        <v>101992418.4888787</v>
      </c>
      <c r="M286" s="338"/>
      <c r="O286" s="521">
        <f>O265+O276+O284</f>
        <v>58527664.042719461</v>
      </c>
      <c r="P286" s="521">
        <f>P265+P276+P284</f>
        <v>88878437.970581427</v>
      </c>
      <c r="Q286" s="507"/>
      <c r="R286" s="653"/>
      <c r="S286" s="323">
        <v>172979852.41</v>
      </c>
      <c r="T286" s="25"/>
      <c r="U286" s="26"/>
      <c r="V286" s="25"/>
      <c r="W286" s="15">
        <v>105907384.95997588</v>
      </c>
      <c r="X286" s="648"/>
      <c r="Y286" s="323">
        <v>172979852.41</v>
      </c>
      <c r="Z286" s="25"/>
      <c r="AA286" s="26"/>
      <c r="AB286" s="25"/>
      <c r="AC286" s="15">
        <v>101992418.4888787</v>
      </c>
      <c r="AD286" s="648"/>
    </row>
    <row r="287" spans="1:30">
      <c r="A287" s="376">
        <v>280</v>
      </c>
      <c r="B287" s="376"/>
      <c r="D287" s="377"/>
      <c r="E287" s="376"/>
      <c r="F287" s="377"/>
      <c r="H287" s="6"/>
      <c r="I287" s="10"/>
      <c r="J287" s="6"/>
      <c r="K287" s="6"/>
      <c r="M287" s="338"/>
      <c r="O287" s="507"/>
      <c r="P287" s="507"/>
      <c r="Q287" s="507"/>
      <c r="R287" s="653"/>
      <c r="S287" s="320"/>
      <c r="T287" s="6"/>
      <c r="U287" s="10"/>
      <c r="V287" s="6"/>
      <c r="W287" s="6"/>
      <c r="X287" s="648"/>
      <c r="Y287" s="320"/>
      <c r="Z287" s="6"/>
      <c r="AA287" s="10"/>
      <c r="AB287" s="6"/>
      <c r="AC287" s="6"/>
      <c r="AD287" s="648"/>
    </row>
    <row r="288" spans="1:30">
      <c r="A288" s="376">
        <v>281</v>
      </c>
      <c r="B288" s="376"/>
      <c r="C288" s="348" t="s">
        <v>381</v>
      </c>
      <c r="D288" s="377"/>
      <c r="E288" s="376"/>
      <c r="F288" s="377"/>
      <c r="H288" s="6"/>
      <c r="I288" s="10"/>
      <c r="J288" s="6"/>
      <c r="K288" s="6"/>
      <c r="M288" s="338"/>
      <c r="O288" s="507"/>
      <c r="P288" s="507"/>
      <c r="Q288" s="507"/>
      <c r="R288" s="653"/>
      <c r="S288" s="320"/>
      <c r="T288" s="6"/>
      <c r="U288" s="10"/>
      <c r="V288" s="6"/>
      <c r="W288" s="6"/>
      <c r="X288" s="648"/>
      <c r="Y288" s="320"/>
      <c r="Z288" s="6"/>
      <c r="AA288" s="10"/>
      <c r="AB288" s="6"/>
      <c r="AC288" s="6"/>
      <c r="AD288" s="648"/>
    </row>
    <row r="289" spans="1:32">
      <c r="A289" s="376">
        <v>282</v>
      </c>
      <c r="B289" s="376"/>
      <c r="C289" s="337" t="s">
        <v>382</v>
      </c>
      <c r="D289" s="377"/>
      <c r="E289" s="376" t="s">
        <v>383</v>
      </c>
      <c r="F289" s="377"/>
      <c r="G289" s="320">
        <f t="shared" ref="G289:G294" si="56">IF($AF$3=0,$S289,$Y289)</f>
        <v>0</v>
      </c>
      <c r="H289" s="6"/>
      <c r="I289" s="376" t="s">
        <v>383</v>
      </c>
      <c r="J289" s="6"/>
      <c r="K289" s="320">
        <f t="shared" ref="K289:K294" si="57">IF($AF$3=0,$W289,$AC289)</f>
        <v>0</v>
      </c>
      <c r="M289" s="338"/>
      <c r="N289" s="508" t="str">
        <f t="shared" ref="N289:N294" si="58">IF(P289&lt;&gt;0,P289/K289," ")</f>
        <v xml:space="preserve"> </v>
      </c>
      <c r="O289" s="529"/>
      <c r="P289" s="507"/>
      <c r="Q289" s="507"/>
      <c r="R289" s="653"/>
      <c r="S289" s="320">
        <v>0</v>
      </c>
      <c r="T289" s="6"/>
      <c r="U289" s="376" t="s">
        <v>383</v>
      </c>
      <c r="V289" s="6"/>
      <c r="W289" s="320">
        <v>0</v>
      </c>
      <c r="X289" s="648"/>
      <c r="Y289" s="320">
        <v>0</v>
      </c>
      <c r="Z289" s="6"/>
      <c r="AA289" s="376" t="s">
        <v>383</v>
      </c>
      <c r="AB289" s="6"/>
      <c r="AC289" s="320">
        <v>0</v>
      </c>
      <c r="AD289" s="648"/>
    </row>
    <row r="290" spans="1:32">
      <c r="A290" s="376">
        <v>283</v>
      </c>
      <c r="B290" s="376"/>
      <c r="C290" s="337" t="s">
        <v>48</v>
      </c>
      <c r="D290" s="377"/>
      <c r="E290" s="376" t="s">
        <v>383</v>
      </c>
      <c r="F290" s="377"/>
      <c r="G290" s="112">
        <f t="shared" si="56"/>
        <v>715622.31999999972</v>
      </c>
      <c r="H290" s="6"/>
      <c r="I290" s="376" t="s">
        <v>383</v>
      </c>
      <c r="J290" s="6"/>
      <c r="K290" s="112">
        <f t="shared" si="57"/>
        <v>508107.31999999972</v>
      </c>
      <c r="M290" s="338"/>
      <c r="N290" s="508">
        <f t="shared" si="58"/>
        <v>1</v>
      </c>
      <c r="O290" s="550">
        <f>G290*N290</f>
        <v>715622.31999999972</v>
      </c>
      <c r="P290" s="551">
        <f>'FERC Accts by Customer Class'!H296</f>
        <v>508107.31999999972</v>
      </c>
      <c r="Q290" s="507"/>
      <c r="R290" s="653"/>
      <c r="S290" s="112">
        <v>715622.31999999972</v>
      </c>
      <c r="T290" s="6"/>
      <c r="U290" s="376" t="s">
        <v>383</v>
      </c>
      <c r="V290" s="6"/>
      <c r="W290" s="112">
        <v>715622.31999999972</v>
      </c>
      <c r="X290" s="648"/>
      <c r="Y290" s="112">
        <v>715622.31999999972</v>
      </c>
      <c r="Z290" s="6"/>
      <c r="AA290" s="376" t="s">
        <v>383</v>
      </c>
      <c r="AB290" s="6"/>
      <c r="AC290" s="112">
        <v>508107.31999999972</v>
      </c>
      <c r="AD290" s="648"/>
    </row>
    <row r="291" spans="1:32">
      <c r="A291" s="376">
        <v>284</v>
      </c>
      <c r="B291" s="376"/>
      <c r="C291" s="337" t="s">
        <v>384</v>
      </c>
      <c r="D291" s="377"/>
      <c r="E291" s="376" t="s">
        <v>383</v>
      </c>
      <c r="F291" s="377"/>
      <c r="G291" s="112">
        <f t="shared" si="56"/>
        <v>2910285.26</v>
      </c>
      <c r="H291" s="6"/>
      <c r="I291" s="376" t="s">
        <v>383</v>
      </c>
      <c r="J291" s="6"/>
      <c r="K291" s="112">
        <f t="shared" si="57"/>
        <v>3507226.26</v>
      </c>
      <c r="M291" s="338"/>
      <c r="N291" s="508">
        <f t="shared" si="58"/>
        <v>0.87194347602411737</v>
      </c>
      <c r="O291" s="550">
        <f>G291*N291</f>
        <v>2537604.2458261522</v>
      </c>
      <c r="P291" s="551">
        <f>'FERC Accts by Customer Class'!H297</f>
        <v>3058103.0563474647</v>
      </c>
      <c r="Q291" s="507"/>
      <c r="R291" s="653"/>
      <c r="S291" s="112">
        <v>2910285.26</v>
      </c>
      <c r="T291" s="6"/>
      <c r="U291" s="376" t="s">
        <v>383</v>
      </c>
      <c r="V291" s="6"/>
      <c r="W291" s="112">
        <v>2910285.26</v>
      </c>
      <c r="X291" s="648"/>
      <c r="Y291" s="112">
        <v>2910285.26</v>
      </c>
      <c r="Z291" s="6"/>
      <c r="AA291" s="376" t="s">
        <v>383</v>
      </c>
      <c r="AB291" s="6"/>
      <c r="AC291" s="112">
        <v>3507226.26</v>
      </c>
      <c r="AD291" s="648"/>
    </row>
    <row r="292" spans="1:32">
      <c r="A292" s="376">
        <v>285</v>
      </c>
      <c r="B292" s="376"/>
      <c r="C292" s="337" t="s">
        <v>385</v>
      </c>
      <c r="D292" s="377"/>
      <c r="E292" s="376" t="s">
        <v>383</v>
      </c>
      <c r="F292" s="377"/>
      <c r="G292" s="112">
        <f t="shared" si="56"/>
        <v>1000</v>
      </c>
      <c r="H292" s="6"/>
      <c r="I292" s="376" t="s">
        <v>383</v>
      </c>
      <c r="J292" s="6"/>
      <c r="K292" s="112">
        <f t="shared" si="57"/>
        <v>998809.62342833867</v>
      </c>
      <c r="M292" s="338"/>
      <c r="N292" s="508">
        <f t="shared" si="58"/>
        <v>0.86221468298308335</v>
      </c>
      <c r="O292" s="550">
        <f>G292*N292</f>
        <v>862.21468298308332</v>
      </c>
      <c r="P292" s="551">
        <f>'FERC Accts by Customer Class'!H298</f>
        <v>861188.32282471785</v>
      </c>
      <c r="Q292" s="507"/>
      <c r="R292" s="653"/>
      <c r="S292" s="112">
        <v>1000</v>
      </c>
      <c r="T292" s="6"/>
      <c r="U292" s="376" t="s">
        <v>383</v>
      </c>
      <c r="V292" s="6"/>
      <c r="W292" s="112">
        <v>1023703.6978733661</v>
      </c>
      <c r="X292" s="648"/>
      <c r="Y292" s="112">
        <v>1000</v>
      </c>
      <c r="Z292" s="6"/>
      <c r="AA292" s="376" t="s">
        <v>383</v>
      </c>
      <c r="AB292" s="6"/>
      <c r="AC292" s="112">
        <v>998809.62342833867</v>
      </c>
      <c r="AD292" s="648"/>
    </row>
    <row r="293" spans="1:32">
      <c r="A293" s="376">
        <v>286</v>
      </c>
      <c r="B293" s="376"/>
      <c r="C293" s="350" t="s">
        <v>386</v>
      </c>
      <c r="D293" s="377"/>
      <c r="E293" s="376" t="s">
        <v>383</v>
      </c>
      <c r="F293" s="377"/>
      <c r="G293" s="322">
        <f t="shared" si="56"/>
        <v>653819.56999999995</v>
      </c>
      <c r="H293" s="6"/>
      <c r="I293" s="376" t="s">
        <v>383</v>
      </c>
      <c r="J293" s="6"/>
      <c r="K293" s="322">
        <f t="shared" si="57"/>
        <v>653819.56999999995</v>
      </c>
      <c r="N293" s="490">
        <f t="shared" si="58"/>
        <v>0.87194347602411748</v>
      </c>
      <c r="O293" s="552">
        <f>G293*N293</f>
        <v>570093.70855839376</v>
      </c>
      <c r="P293" s="553">
        <f>'FERC Accts by Customer Class'!H299</f>
        <v>570093.70855839376</v>
      </c>
      <c r="Q293" s="507"/>
      <c r="R293" s="653"/>
      <c r="S293" s="322">
        <v>653819.56999999995</v>
      </c>
      <c r="T293" s="6"/>
      <c r="U293" s="376" t="s">
        <v>383</v>
      </c>
      <c r="V293" s="6"/>
      <c r="W293" s="322">
        <v>653819.56999999995</v>
      </c>
      <c r="X293" s="648"/>
      <c r="Y293" s="322">
        <v>653819.56999999995</v>
      </c>
      <c r="Z293" s="6"/>
      <c r="AA293" s="376" t="s">
        <v>383</v>
      </c>
      <c r="AB293" s="6"/>
      <c r="AC293" s="322">
        <v>653819.56999999995</v>
      </c>
      <c r="AD293" s="648"/>
    </row>
    <row r="294" spans="1:32">
      <c r="A294" s="376">
        <v>287</v>
      </c>
      <c r="B294" s="376"/>
      <c r="C294" s="348" t="s">
        <v>387</v>
      </c>
      <c r="D294" s="377"/>
      <c r="E294" s="376" t="s">
        <v>383</v>
      </c>
      <c r="F294" s="377"/>
      <c r="G294" s="320">
        <f t="shared" si="56"/>
        <v>4280727.1499999994</v>
      </c>
      <c r="H294" s="22"/>
      <c r="I294" s="376" t="s">
        <v>383</v>
      </c>
      <c r="J294" s="22"/>
      <c r="K294" s="320">
        <f t="shared" si="57"/>
        <v>5667962.7734283386</v>
      </c>
      <c r="N294" s="508">
        <f t="shared" si="58"/>
        <v>0.88170875630288936</v>
      </c>
      <c r="O294" s="523">
        <f>G294*N294</f>
        <v>3774354.6114985114</v>
      </c>
      <c r="P294" s="523">
        <f>SUM(P290:P293)</f>
        <v>4997492.4077305757</v>
      </c>
      <c r="Q294" s="507"/>
      <c r="R294" s="653"/>
      <c r="S294" s="320">
        <v>4280727.1499999994</v>
      </c>
      <c r="T294" s="22"/>
      <c r="U294" s="376" t="s">
        <v>383</v>
      </c>
      <c r="V294" s="22"/>
      <c r="W294" s="320">
        <v>5303430.8478733655</v>
      </c>
      <c r="X294" s="648"/>
      <c r="Y294" s="320">
        <v>4280727.1499999994</v>
      </c>
      <c r="Z294" s="22"/>
      <c r="AA294" s="376" t="s">
        <v>383</v>
      </c>
      <c r="AB294" s="22"/>
      <c r="AC294" s="320">
        <v>5667962.7734283386</v>
      </c>
      <c r="AD294" s="648"/>
    </row>
    <row r="295" spans="1:32">
      <c r="A295" s="376">
        <v>288</v>
      </c>
      <c r="B295" s="376"/>
      <c r="D295" s="377"/>
      <c r="E295" s="376"/>
      <c r="F295" s="377"/>
      <c r="H295" s="6"/>
      <c r="J295" s="6"/>
      <c r="K295" s="7"/>
      <c r="O295" s="507"/>
      <c r="P295" s="507"/>
      <c r="Q295" s="507"/>
      <c r="R295" s="653"/>
      <c r="S295" s="320"/>
      <c r="T295" s="6"/>
      <c r="U295" s="376"/>
      <c r="V295" s="6"/>
      <c r="W295" s="7"/>
      <c r="X295" s="648"/>
      <c r="Y295" s="320"/>
      <c r="Z295" s="6"/>
      <c r="AA295" s="376"/>
      <c r="AB295" s="6"/>
      <c r="AC295" s="7"/>
      <c r="AD295" s="648"/>
    </row>
    <row r="296" spans="1:32">
      <c r="A296" s="376">
        <v>289</v>
      </c>
      <c r="B296" s="376"/>
      <c r="C296" s="348" t="s">
        <v>388</v>
      </c>
      <c r="D296" s="377"/>
      <c r="E296" s="376"/>
      <c r="F296" s="377"/>
      <c r="H296" s="6"/>
      <c r="J296" s="6"/>
      <c r="K296" s="7"/>
      <c r="O296" s="507"/>
      <c r="P296" s="507"/>
      <c r="Q296" s="507"/>
      <c r="R296" s="653"/>
      <c r="S296" s="320"/>
      <c r="T296" s="6"/>
      <c r="U296" s="376"/>
      <c r="V296" s="6"/>
      <c r="W296" s="7"/>
      <c r="X296" s="648"/>
      <c r="Y296" s="320"/>
      <c r="Z296" s="6"/>
      <c r="AA296" s="376"/>
      <c r="AB296" s="6"/>
      <c r="AC296" s="7"/>
      <c r="AD296" s="648"/>
    </row>
    <row r="297" spans="1:32">
      <c r="A297" s="376">
        <v>290</v>
      </c>
      <c r="B297" s="376"/>
      <c r="C297" s="337" t="s">
        <v>622</v>
      </c>
      <c r="D297" s="377"/>
      <c r="E297" s="376" t="s">
        <v>383</v>
      </c>
      <c r="F297" s="377"/>
      <c r="G297" s="320">
        <f>IF($AF$3=0,$S297,$Y297)</f>
        <v>214623486.08000001</v>
      </c>
      <c r="H297" s="22"/>
      <c r="I297" s="376" t="s">
        <v>383</v>
      </c>
      <c r="J297" s="22"/>
      <c r="K297" s="29">
        <f>IF($AF$3=0,$W297,$AC297)</f>
        <v>141375984.50891411</v>
      </c>
      <c r="M297" s="338"/>
      <c r="N297" s="317"/>
      <c r="O297" s="507"/>
      <c r="P297" s="507"/>
      <c r="Q297" s="507"/>
      <c r="R297" s="653"/>
      <c r="S297" s="320">
        <v>214623486.08000001</v>
      </c>
      <c r="T297" s="22"/>
      <c r="U297" s="376" t="s">
        <v>383</v>
      </c>
      <c r="V297" s="22"/>
      <c r="W297" s="29">
        <v>141311437.50891411</v>
      </c>
      <c r="X297" s="648"/>
      <c r="Y297" s="320">
        <v>214623486.08000001</v>
      </c>
      <c r="Z297" s="22"/>
      <c r="AA297" s="376" t="s">
        <v>383</v>
      </c>
      <c r="AB297" s="22"/>
      <c r="AC297" s="29">
        <v>141375984.50891411</v>
      </c>
      <c r="AD297" s="648"/>
      <c r="AE297" s="316"/>
      <c r="AF297" s="316"/>
    </row>
    <row r="298" spans="1:32">
      <c r="A298" s="376">
        <v>291</v>
      </c>
      <c r="B298" s="376"/>
      <c r="C298" s="350"/>
      <c r="D298" s="377"/>
      <c r="E298" s="376"/>
      <c r="F298" s="377"/>
      <c r="G298" s="388"/>
      <c r="H298" s="6"/>
      <c r="I298" s="10"/>
      <c r="J298" s="6"/>
      <c r="K298" s="31"/>
      <c r="M298" s="338"/>
      <c r="O298" s="507"/>
      <c r="P298" s="507"/>
      <c r="Q298" s="507"/>
      <c r="R298" s="653"/>
      <c r="S298" s="388"/>
      <c r="T298" s="6"/>
      <c r="U298" s="10"/>
      <c r="V298" s="6"/>
      <c r="W298" s="31"/>
      <c r="X298" s="648"/>
      <c r="Y298" s="388"/>
      <c r="Z298" s="6"/>
      <c r="AA298" s="10"/>
      <c r="AB298" s="6"/>
      <c r="AC298" s="31"/>
      <c r="AD298" s="648"/>
    </row>
    <row r="299" spans="1:32">
      <c r="A299" s="376">
        <v>292</v>
      </c>
      <c r="B299" s="376"/>
      <c r="C299" s="337" t="s">
        <v>603</v>
      </c>
      <c r="D299" s="377"/>
      <c r="E299" s="376" t="s">
        <v>383</v>
      </c>
      <c r="F299" s="377"/>
      <c r="G299" s="323">
        <f>IF($AF$3=0,$S299,$Y299)</f>
        <v>214623486.08000001</v>
      </c>
      <c r="H299" s="6"/>
      <c r="I299" s="10" t="s">
        <v>383</v>
      </c>
      <c r="J299" s="6"/>
      <c r="K299" s="15">
        <f>IF($AF$3=0,$W299,$AC299)</f>
        <v>141375984.50891411</v>
      </c>
      <c r="M299" s="338"/>
      <c r="O299" s="507"/>
      <c r="P299" s="507"/>
      <c r="Q299" s="507"/>
      <c r="R299" s="653"/>
      <c r="S299" s="323">
        <v>214623486.08000001</v>
      </c>
      <c r="T299" s="6"/>
      <c r="U299" s="10" t="s">
        <v>383</v>
      </c>
      <c r="V299" s="6"/>
      <c r="W299" s="15">
        <v>141311437.50891411</v>
      </c>
      <c r="X299" s="648"/>
      <c r="Y299" s="323">
        <v>214623486.08000001</v>
      </c>
      <c r="Z299" s="6"/>
      <c r="AA299" s="10" t="s">
        <v>383</v>
      </c>
      <c r="AB299" s="6"/>
      <c r="AC299" s="15">
        <v>141375984.50891411</v>
      </c>
      <c r="AD299" s="648"/>
    </row>
    <row r="300" spans="1:32">
      <c r="A300" s="376">
        <v>293</v>
      </c>
      <c r="B300" s="376"/>
      <c r="D300" s="377"/>
      <c r="E300" s="376"/>
      <c r="F300" s="377"/>
      <c r="G300" s="335"/>
      <c r="H300" s="6"/>
      <c r="I300" s="10"/>
      <c r="J300" s="6"/>
      <c r="K300" s="32"/>
      <c r="O300" s="507"/>
      <c r="P300" s="507"/>
      <c r="Q300" s="507"/>
      <c r="R300" s="653"/>
      <c r="S300" s="335"/>
      <c r="T300" s="6"/>
      <c r="U300" s="10"/>
      <c r="V300" s="6"/>
      <c r="W300" s="32"/>
      <c r="X300" s="648"/>
      <c r="Y300" s="335"/>
      <c r="Z300" s="6"/>
      <c r="AA300" s="10"/>
      <c r="AB300" s="6"/>
      <c r="AC300" s="32"/>
      <c r="AD300" s="648"/>
    </row>
    <row r="301" spans="1:32">
      <c r="A301" s="376">
        <v>294</v>
      </c>
      <c r="B301" s="376"/>
      <c r="C301" s="337" t="s">
        <v>390</v>
      </c>
      <c r="D301" s="377"/>
      <c r="E301" s="376"/>
      <c r="F301" s="377"/>
      <c r="G301" s="323">
        <f>IF($AF$3=0,$S301,$Y301)</f>
        <v>172979852.41</v>
      </c>
      <c r="H301" s="6"/>
      <c r="I301" s="10"/>
      <c r="J301" s="6"/>
      <c r="K301" s="15">
        <f>IF($AF$3=0,$W301,$AC301)</f>
        <v>101992418.4888787</v>
      </c>
      <c r="O301" s="507"/>
      <c r="P301" s="507"/>
      <c r="Q301" s="507"/>
      <c r="R301" s="653"/>
      <c r="S301" s="323">
        <v>172979852.41</v>
      </c>
      <c r="T301" s="6"/>
      <c r="U301" s="10"/>
      <c r="V301" s="6"/>
      <c r="W301" s="15">
        <v>105907384.95997588</v>
      </c>
      <c r="X301" s="648"/>
      <c r="Y301" s="323">
        <v>172979852.41</v>
      </c>
      <c r="Z301" s="6"/>
      <c r="AA301" s="10"/>
      <c r="AB301" s="6"/>
      <c r="AC301" s="15">
        <v>101992418.4888787</v>
      </c>
      <c r="AD301" s="648"/>
    </row>
    <row r="302" spans="1:32">
      <c r="A302" s="376">
        <v>295</v>
      </c>
      <c r="B302" s="376"/>
      <c r="C302" s="350"/>
      <c r="D302" s="377"/>
      <c r="E302" s="376"/>
      <c r="F302" s="377"/>
      <c r="G302" s="388"/>
      <c r="H302" s="6"/>
      <c r="I302" s="10"/>
      <c r="J302" s="6"/>
      <c r="K302" s="31"/>
      <c r="O302" s="507"/>
      <c r="P302" s="507"/>
      <c r="Q302" s="507"/>
      <c r="R302" s="653"/>
      <c r="S302" s="388"/>
      <c r="T302" s="6"/>
      <c r="U302" s="10"/>
      <c r="V302" s="6"/>
      <c r="W302" s="31"/>
      <c r="X302" s="648"/>
      <c r="Y302" s="388"/>
      <c r="Z302" s="6"/>
      <c r="AA302" s="10"/>
      <c r="AB302" s="6"/>
      <c r="AC302" s="31"/>
      <c r="AD302" s="648"/>
    </row>
    <row r="303" spans="1:32">
      <c r="A303" s="376">
        <v>296</v>
      </c>
      <c r="B303" s="376"/>
      <c r="C303" s="337" t="s">
        <v>391</v>
      </c>
      <c r="D303" s="377"/>
      <c r="E303" s="376"/>
      <c r="F303" s="377"/>
      <c r="G303" s="323">
        <f>IF($AF$3=0,$S303,$Y303)</f>
        <v>45924360.820000023</v>
      </c>
      <c r="H303" s="6"/>
      <c r="I303" s="10"/>
      <c r="J303" s="6"/>
      <c r="K303" s="15">
        <f>IF($AF$3=0,$W303,$AC303)</f>
        <v>45051528.793463767</v>
      </c>
      <c r="M303" s="338"/>
      <c r="O303" s="507"/>
      <c r="P303" s="507"/>
      <c r="Q303" s="507"/>
      <c r="R303" s="653"/>
      <c r="S303" s="323">
        <v>45924360.820000023</v>
      </c>
      <c r="T303" s="6"/>
      <c r="U303" s="10"/>
      <c r="V303" s="6"/>
      <c r="W303" s="15">
        <v>40707483.39681159</v>
      </c>
      <c r="X303" s="648"/>
      <c r="Y303" s="323">
        <v>45924360.820000023</v>
      </c>
      <c r="Z303" s="6"/>
      <c r="AA303" s="10"/>
      <c r="AB303" s="6"/>
      <c r="AC303" s="15">
        <v>45051528.793463767</v>
      </c>
      <c r="AD303" s="648"/>
    </row>
    <row r="304" spans="1:32">
      <c r="A304" s="376">
        <v>297</v>
      </c>
      <c r="B304" s="376"/>
      <c r="D304" s="377"/>
      <c r="E304" s="376"/>
      <c r="F304" s="377"/>
      <c r="G304" s="320" t="s">
        <v>392</v>
      </c>
      <c r="H304" s="6"/>
      <c r="I304" s="10"/>
      <c r="J304" s="6"/>
      <c r="K304" s="6"/>
      <c r="M304" s="338"/>
      <c r="O304" s="507"/>
      <c r="P304" s="507"/>
      <c r="Q304" s="507"/>
      <c r="R304" s="653"/>
      <c r="S304" s="320" t="s">
        <v>392</v>
      </c>
      <c r="T304" s="6"/>
      <c r="U304" s="10"/>
      <c r="V304" s="6"/>
      <c r="W304" s="6"/>
      <c r="X304" s="648"/>
      <c r="Y304" s="320" t="s">
        <v>392</v>
      </c>
      <c r="Z304" s="6"/>
      <c r="AA304" s="10"/>
      <c r="AB304" s="6"/>
      <c r="AC304" s="6"/>
      <c r="AD304" s="648"/>
    </row>
    <row r="305" spans="1:30">
      <c r="A305" s="376">
        <v>298</v>
      </c>
      <c r="B305" s="376"/>
      <c r="C305" s="348" t="s">
        <v>393</v>
      </c>
      <c r="D305" s="377"/>
      <c r="E305" s="376"/>
      <c r="F305" s="377"/>
      <c r="H305" s="6"/>
      <c r="I305" s="10"/>
      <c r="J305" s="6"/>
      <c r="K305" s="6"/>
      <c r="M305" s="338"/>
      <c r="O305" s="507"/>
      <c r="P305" s="507"/>
      <c r="Q305" s="507"/>
      <c r="R305" s="653"/>
      <c r="S305" s="320"/>
      <c r="T305" s="6"/>
      <c r="U305" s="10"/>
      <c r="V305" s="6"/>
      <c r="W305" s="6"/>
      <c r="X305" s="648"/>
      <c r="Y305" s="320"/>
      <c r="Z305" s="6"/>
      <c r="AA305" s="10"/>
      <c r="AB305" s="6"/>
      <c r="AC305" s="6"/>
      <c r="AD305" s="648"/>
    </row>
    <row r="306" spans="1:30">
      <c r="A306" s="376">
        <v>299</v>
      </c>
      <c r="B306" s="376"/>
      <c r="C306" s="337" t="s">
        <v>391</v>
      </c>
      <c r="D306" s="377"/>
      <c r="E306" s="376"/>
      <c r="F306" s="377"/>
      <c r="G306" s="320">
        <f>IF($AF$3=0,$S306,$Y306)</f>
        <v>45924360.820000023</v>
      </c>
      <c r="H306" s="6"/>
      <c r="I306" s="10"/>
      <c r="J306" s="6"/>
      <c r="K306" s="320">
        <f>IF($AF$3=0,$W306,$AC306)</f>
        <v>45051528.793463767</v>
      </c>
      <c r="M306" s="338"/>
      <c r="O306" s="507"/>
      <c r="P306" s="507"/>
      <c r="Q306" s="507"/>
      <c r="R306" s="653"/>
      <c r="S306" s="320">
        <v>45924360.820000023</v>
      </c>
      <c r="T306" s="6"/>
      <c r="U306" s="10"/>
      <c r="V306" s="6"/>
      <c r="W306" s="320">
        <v>40707483.39681159</v>
      </c>
      <c r="X306" s="648"/>
      <c r="Y306" s="320">
        <v>45924360.820000023</v>
      </c>
      <c r="Z306" s="6"/>
      <c r="AA306" s="10"/>
      <c r="AB306" s="6"/>
      <c r="AC306" s="320">
        <v>45051528.793463767</v>
      </c>
      <c r="AD306" s="648"/>
    </row>
    <row r="307" spans="1:30">
      <c r="A307" s="376">
        <v>300</v>
      </c>
      <c r="B307" s="376"/>
      <c r="C307" s="337" t="s">
        <v>721</v>
      </c>
      <c r="D307" s="377"/>
      <c r="E307" s="376" t="s">
        <v>585</v>
      </c>
      <c r="F307" s="377"/>
      <c r="G307" s="324">
        <f>IF($AF$3=0,$S307,$Y307)</f>
        <v>9574528.7595300004</v>
      </c>
      <c r="H307" s="6"/>
      <c r="I307" s="10"/>
      <c r="J307" s="6"/>
      <c r="K307" s="324">
        <f>IF($AF$3=0,$W307,$AC307)</f>
        <v>8617293.5380410012</v>
      </c>
      <c r="M307" s="338"/>
      <c r="O307" s="507"/>
      <c r="R307" s="648"/>
      <c r="S307" s="320">
        <v>9574528.7595300004</v>
      </c>
      <c r="T307" s="6"/>
      <c r="U307" s="10"/>
      <c r="V307" s="6"/>
      <c r="W307" s="324">
        <v>7869975.3621130008</v>
      </c>
      <c r="X307" s="648"/>
      <c r="Y307" s="320">
        <v>9574528.7595300004</v>
      </c>
      <c r="Z307" s="6"/>
      <c r="AA307" s="10" t="s">
        <v>585</v>
      </c>
      <c r="AB307" s="6"/>
      <c r="AC307" s="324">
        <v>8617293.5380410012</v>
      </c>
      <c r="AD307" s="648"/>
    </row>
    <row r="308" spans="1:30">
      <c r="A308" s="376">
        <v>301</v>
      </c>
      <c r="B308" s="376"/>
      <c r="C308" s="337" t="s">
        <v>394</v>
      </c>
      <c r="D308" s="377"/>
      <c r="E308" s="376"/>
      <c r="F308" s="377"/>
      <c r="G308" s="320">
        <f>IF($AF$3=0,$S308,$Y308)</f>
        <v>9574528.7595300004</v>
      </c>
      <c r="H308" s="6"/>
      <c r="I308" s="10"/>
      <c r="J308" s="6"/>
      <c r="K308" s="320">
        <f>IF($AF$3=0,$W308,$AC308)</f>
        <v>8617293.5380410012</v>
      </c>
      <c r="M308" s="338"/>
      <c r="O308" s="507"/>
      <c r="R308" s="648"/>
      <c r="S308" s="320">
        <v>9574528.7595300004</v>
      </c>
      <c r="T308" s="6"/>
      <c r="U308" s="10"/>
      <c r="V308" s="6"/>
      <c r="W308" s="320">
        <v>7869975.3621130008</v>
      </c>
      <c r="X308" s="648"/>
      <c r="Y308" s="320">
        <v>9574528.7595300004</v>
      </c>
      <c r="Z308" s="6"/>
      <c r="AA308" s="10"/>
      <c r="AB308" s="6"/>
      <c r="AC308" s="320">
        <v>8617293.5380410012</v>
      </c>
      <c r="AD308" s="648"/>
    </row>
    <row r="309" spans="1:30">
      <c r="A309" s="376">
        <v>302</v>
      </c>
      <c r="B309" s="376"/>
      <c r="D309" s="377"/>
      <c r="E309" s="376"/>
      <c r="F309" s="377"/>
      <c r="H309" s="6"/>
      <c r="I309" s="10"/>
      <c r="J309" s="6"/>
      <c r="K309" s="7"/>
      <c r="M309" s="338"/>
      <c r="O309" s="507"/>
      <c r="R309" s="648"/>
      <c r="S309" s="320"/>
      <c r="T309" s="6"/>
      <c r="U309" s="10"/>
      <c r="V309" s="6"/>
      <c r="W309" s="7"/>
      <c r="X309" s="648"/>
      <c r="Y309" s="320"/>
      <c r="Z309" s="6"/>
      <c r="AA309" s="10"/>
      <c r="AB309" s="6"/>
      <c r="AC309" s="7"/>
      <c r="AD309" s="648"/>
    </row>
    <row r="310" spans="1:30">
      <c r="A310" s="376">
        <v>303</v>
      </c>
      <c r="B310" s="376"/>
      <c r="C310" s="337" t="s">
        <v>395</v>
      </c>
      <c r="D310" s="377"/>
      <c r="E310" s="376"/>
      <c r="F310" s="377"/>
      <c r="G310" s="320">
        <f>IF($AF$3=0,$S310,$Y310)</f>
        <v>182554381.16953</v>
      </c>
      <c r="H310" s="6"/>
      <c r="I310" s="10"/>
      <c r="J310" s="6"/>
      <c r="K310" s="24">
        <f>IF($AF$3=0,$W310,$AC310)</f>
        <v>110609712.02691969</v>
      </c>
      <c r="M310" s="338"/>
      <c r="O310" s="507"/>
      <c r="R310" s="648"/>
      <c r="S310" s="320">
        <v>182554381.16953</v>
      </c>
      <c r="T310" s="6"/>
      <c r="U310" s="10"/>
      <c r="V310" s="6"/>
      <c r="W310" s="24">
        <v>113777360.32208888</v>
      </c>
      <c r="X310" s="648"/>
      <c r="Y310" s="320">
        <v>182554381.16953</v>
      </c>
      <c r="Z310" s="6"/>
      <c r="AA310" s="10"/>
      <c r="AB310" s="6"/>
      <c r="AC310" s="24">
        <v>110609712.02691969</v>
      </c>
      <c r="AD310" s="648"/>
    </row>
    <row r="311" spans="1:30">
      <c r="A311" s="376">
        <v>304</v>
      </c>
      <c r="B311" s="376"/>
      <c r="D311" s="390"/>
      <c r="E311" s="338"/>
      <c r="F311" s="390"/>
      <c r="H311" s="6"/>
      <c r="I311" s="10"/>
      <c r="J311" s="6"/>
      <c r="K311" s="338"/>
      <c r="M311" s="338"/>
      <c r="O311" s="507"/>
      <c r="R311" s="648"/>
      <c r="S311" s="320"/>
      <c r="T311" s="6"/>
      <c r="U311" s="10"/>
      <c r="V311" s="6"/>
      <c r="W311" s="338"/>
      <c r="X311" s="648"/>
      <c r="Y311" s="320"/>
      <c r="Z311" s="6"/>
      <c r="AA311" s="10"/>
      <c r="AB311" s="6"/>
      <c r="AC311" s="338"/>
      <c r="AD311" s="648"/>
    </row>
    <row r="312" spans="1:30">
      <c r="A312" s="376">
        <v>305</v>
      </c>
      <c r="B312" s="376"/>
      <c r="C312" s="337" t="s">
        <v>396</v>
      </c>
      <c r="D312" s="377"/>
      <c r="E312" s="376"/>
      <c r="F312" s="377"/>
      <c r="G312" s="320">
        <f>IF($AF$3=0,$S312,$Y312)</f>
        <v>36349832.060470015</v>
      </c>
      <c r="H312" s="6"/>
      <c r="I312" s="10"/>
      <c r="J312" s="6"/>
      <c r="K312" s="320">
        <f>IF($AF$3=0,$W312,$AC312)</f>
        <v>36434235.255422771</v>
      </c>
      <c r="M312" s="338"/>
      <c r="O312" s="507"/>
      <c r="R312" s="648"/>
      <c r="S312" s="320">
        <v>36349832.060470015</v>
      </c>
      <c r="T312" s="6"/>
      <c r="U312" s="10"/>
      <c r="V312" s="6"/>
      <c r="W312" s="320">
        <v>32837508.034698591</v>
      </c>
      <c r="X312" s="648"/>
      <c r="Y312" s="320">
        <v>36349832.060470015</v>
      </c>
      <c r="Z312" s="6"/>
      <c r="AA312" s="10"/>
      <c r="AB312" s="6"/>
      <c r="AC312" s="320">
        <v>36434235.255422771</v>
      </c>
      <c r="AD312" s="648"/>
    </row>
    <row r="313" spans="1:30">
      <c r="A313" s="376">
        <v>306</v>
      </c>
      <c r="B313" s="376"/>
      <c r="C313" s="337" t="s">
        <v>10</v>
      </c>
      <c r="D313" s="377"/>
      <c r="E313" s="391"/>
      <c r="F313" s="377"/>
      <c r="G313" s="320">
        <f>IF($AF$3=0,$S313,$Y313)</f>
        <v>525867609.38193923</v>
      </c>
      <c r="H313" s="6"/>
      <c r="I313" s="10"/>
      <c r="J313" s="6"/>
      <c r="K313" s="333">
        <f>IF($AF$3=0,$W313,$AC313)</f>
        <v>586098201.85827959</v>
      </c>
      <c r="M313" s="338"/>
      <c r="O313" s="507"/>
      <c r="R313" s="648"/>
      <c r="S313" s="320">
        <v>525867609.38193923</v>
      </c>
      <c r="T313" s="6"/>
      <c r="U313" s="10"/>
      <c r="V313" s="6"/>
      <c r="W313" s="333">
        <v>586160478.06823134</v>
      </c>
      <c r="X313" s="648"/>
      <c r="Y313" s="320">
        <v>525867609.38193923</v>
      </c>
      <c r="Z313" s="6"/>
      <c r="AA313" s="10"/>
      <c r="AB313" s="6"/>
      <c r="AC313" s="333">
        <v>586098201.85827959</v>
      </c>
      <c r="AD313" s="648"/>
    </row>
    <row r="314" spans="1:30">
      <c r="A314" s="376">
        <v>307</v>
      </c>
      <c r="B314" s="376"/>
      <c r="C314" s="337" t="s">
        <v>397</v>
      </c>
      <c r="D314" s="377"/>
      <c r="E314" s="376"/>
      <c r="F314" s="377"/>
      <c r="G314" s="214">
        <f>IF($AF$3=0,$S314,$Y314)</f>
        <v>6.9123542526592516E-2</v>
      </c>
      <c r="H314" s="392"/>
      <c r="I314" s="393"/>
      <c r="J314" s="392"/>
      <c r="K314" s="334">
        <f>IF($AF$3=0,$W314,$AC314)</f>
        <v>6.2164045444781428E-2</v>
      </c>
      <c r="M314" s="338"/>
      <c r="O314" s="507"/>
      <c r="R314" s="648"/>
      <c r="S314" s="214">
        <v>6.9123542526592516E-2</v>
      </c>
      <c r="T314" s="392"/>
      <c r="U314" s="393"/>
      <c r="V314" s="392"/>
      <c r="W314" s="334">
        <v>5.6021361492878029E-2</v>
      </c>
      <c r="X314" s="648"/>
      <c r="Y314" s="214">
        <v>6.9123542526592516E-2</v>
      </c>
      <c r="Z314" s="392"/>
      <c r="AA314" s="393"/>
      <c r="AB314" s="392"/>
      <c r="AC314" s="334">
        <v>6.2164045444781428E-2</v>
      </c>
      <c r="AD314" s="648"/>
    </row>
    <row r="315" spans="1:30">
      <c r="A315" s="376">
        <v>308</v>
      </c>
      <c r="B315" s="376"/>
      <c r="D315" s="377"/>
      <c r="E315" s="376"/>
      <c r="F315" s="377"/>
      <c r="H315" s="378"/>
      <c r="J315" s="378"/>
      <c r="K315" s="6"/>
      <c r="M315" s="338"/>
      <c r="O315" s="507"/>
      <c r="R315" s="648"/>
      <c r="S315" s="320"/>
      <c r="T315" s="378"/>
      <c r="U315" s="376"/>
      <c r="V315" s="378"/>
      <c r="W315" s="6"/>
      <c r="X315" s="648"/>
      <c r="Y315" s="320"/>
      <c r="Z315" s="378"/>
      <c r="AA315" s="376"/>
      <c r="AB315" s="378"/>
      <c r="AC315" s="6"/>
      <c r="AD315" s="648"/>
    </row>
    <row r="316" spans="1:30">
      <c r="A316" s="376">
        <v>309</v>
      </c>
      <c r="B316" s="376"/>
      <c r="C316" s="348" t="s">
        <v>18</v>
      </c>
      <c r="D316" s="377"/>
      <c r="E316" s="376"/>
      <c r="F316" s="377"/>
      <c r="H316" s="378"/>
      <c r="J316" s="378"/>
      <c r="K316" s="6"/>
      <c r="M316" s="338"/>
      <c r="O316" s="507"/>
      <c r="Q316" s="512"/>
      <c r="R316" s="652"/>
      <c r="S316" s="320"/>
      <c r="T316" s="378"/>
      <c r="U316" s="376"/>
      <c r="V316" s="378"/>
      <c r="W316" s="6"/>
      <c r="X316" s="648"/>
      <c r="Y316" s="320"/>
      <c r="Z316" s="378"/>
      <c r="AA316" s="376"/>
      <c r="AB316" s="378"/>
      <c r="AC316" s="6"/>
      <c r="AD316" s="648"/>
    </row>
    <row r="317" spans="1:30">
      <c r="A317" s="376">
        <v>310</v>
      </c>
      <c r="B317" s="376"/>
      <c r="D317" s="377"/>
      <c r="E317" s="376"/>
      <c r="F317" s="377"/>
      <c r="H317" s="378"/>
      <c r="J317" s="378"/>
      <c r="K317" s="6"/>
      <c r="O317" s="507"/>
      <c r="Q317" s="512"/>
      <c r="R317" s="652"/>
      <c r="S317" s="320"/>
      <c r="T317" s="378"/>
      <c r="U317" s="376"/>
      <c r="V317" s="378"/>
      <c r="W317" s="6"/>
      <c r="X317" s="648"/>
      <c r="Y317" s="320"/>
      <c r="Z317" s="378"/>
      <c r="AA317" s="376"/>
      <c r="AB317" s="378"/>
      <c r="AC317" s="6"/>
      <c r="AD317" s="648"/>
    </row>
    <row r="318" spans="1:30">
      <c r="A318" s="376">
        <v>311</v>
      </c>
      <c r="B318" s="376"/>
      <c r="C318" s="337" t="s">
        <v>398</v>
      </c>
      <c r="D318" s="377"/>
      <c r="E318" s="376"/>
      <c r="F318" s="377"/>
      <c r="G318" s="320">
        <f>IF($AF$3=0,$S318,$Y318)</f>
        <v>214623486.08000001</v>
      </c>
      <c r="H318" s="22"/>
      <c r="I318" s="27"/>
      <c r="J318" s="22"/>
      <c r="K318" s="29">
        <f>IF($AF$3=0,$W318,$AC318)</f>
        <v>141375984.50891411</v>
      </c>
      <c r="M318" s="338"/>
      <c r="Q318" s="512"/>
      <c r="R318" s="652"/>
      <c r="S318" s="320">
        <v>214623486.08000001</v>
      </c>
      <c r="T318" s="22"/>
      <c r="U318" s="27"/>
      <c r="V318" s="22"/>
      <c r="W318" s="29">
        <v>141311437.50891411</v>
      </c>
      <c r="X318" s="648"/>
      <c r="Y318" s="320">
        <v>214623486.08000001</v>
      </c>
      <c r="Z318" s="22"/>
      <c r="AA318" s="27"/>
      <c r="AB318" s="22"/>
      <c r="AC318" s="29">
        <v>141375984.50891411</v>
      </c>
      <c r="AD318" s="648"/>
    </row>
    <row r="319" spans="1:30">
      <c r="A319" s="376">
        <v>312</v>
      </c>
      <c r="B319" s="376"/>
      <c r="C319" s="337" t="s">
        <v>381</v>
      </c>
      <c r="D319" s="377"/>
      <c r="E319" s="376"/>
      <c r="F319" s="377"/>
      <c r="G319" s="320">
        <f>IF($AF$3=0,$S319,$Y319)</f>
        <v>4280727.1499999994</v>
      </c>
      <c r="H319" s="394"/>
      <c r="I319" s="395"/>
      <c r="J319" s="394"/>
      <c r="K319" s="333">
        <f>IF($AF$3=0,$W319,$AC319)</f>
        <v>5667962.7734283386</v>
      </c>
      <c r="Q319" s="512"/>
      <c r="R319" s="652"/>
      <c r="S319" s="320">
        <v>4280727.1499999994</v>
      </c>
      <c r="T319" s="394"/>
      <c r="U319" s="395"/>
      <c r="V319" s="394"/>
      <c r="W319" s="333">
        <v>5303430.8478733655</v>
      </c>
      <c r="X319" s="648"/>
      <c r="Y319" s="320">
        <v>4280727.1499999994</v>
      </c>
      <c r="Z319" s="394"/>
      <c r="AA319" s="395"/>
      <c r="AB319" s="394"/>
      <c r="AC319" s="333">
        <v>5667962.7734283386</v>
      </c>
      <c r="AD319" s="648"/>
    </row>
    <row r="320" spans="1:30">
      <c r="A320" s="376">
        <v>313</v>
      </c>
      <c r="B320" s="376"/>
      <c r="D320" s="377"/>
      <c r="E320" s="376"/>
      <c r="F320" s="377"/>
      <c r="H320" s="378"/>
      <c r="J320" s="378"/>
      <c r="K320" s="339"/>
      <c r="M320" s="338"/>
      <c r="Q320" s="641"/>
      <c r="R320" s="654"/>
      <c r="S320" s="320"/>
      <c r="T320" s="378"/>
      <c r="U320" s="376"/>
      <c r="V320" s="378"/>
      <c r="W320" s="339"/>
      <c r="X320" s="648"/>
      <c r="Y320" s="320"/>
      <c r="Z320" s="378"/>
      <c r="AA320" s="376"/>
      <c r="AB320" s="378"/>
      <c r="AC320" s="339"/>
      <c r="AD320" s="648"/>
    </row>
    <row r="321" spans="1:30">
      <c r="A321" s="376">
        <v>314</v>
      </c>
      <c r="B321" s="376"/>
      <c r="C321" s="361" t="s">
        <v>389</v>
      </c>
      <c r="D321" s="377"/>
      <c r="E321" s="376"/>
      <c r="F321" s="377"/>
      <c r="G321" s="321">
        <f>IF($AF$3=0,$S321,$Y321)</f>
        <v>218904213.23000002</v>
      </c>
      <c r="H321" s="394"/>
      <c r="I321" s="395"/>
      <c r="J321" s="394"/>
      <c r="K321" s="340">
        <f>IF($AF$3=0,$W321,$AC321)</f>
        <v>147043947.28234246</v>
      </c>
      <c r="Q321" s="642"/>
      <c r="R321" s="655"/>
      <c r="S321" s="321">
        <v>218904213.23000002</v>
      </c>
      <c r="T321" s="394"/>
      <c r="U321" s="395"/>
      <c r="V321" s="394"/>
      <c r="W321" s="340">
        <v>146614868.35678747</v>
      </c>
      <c r="X321" s="648"/>
      <c r="Y321" s="321">
        <v>218904213.23000002</v>
      </c>
      <c r="Z321" s="394"/>
      <c r="AA321" s="395"/>
      <c r="AB321" s="394"/>
      <c r="AC321" s="340">
        <v>147043947.28234246</v>
      </c>
      <c r="AD321" s="648"/>
    </row>
    <row r="322" spans="1:30">
      <c r="A322" s="376">
        <v>315</v>
      </c>
      <c r="B322" s="376"/>
      <c r="D322" s="377"/>
      <c r="E322" s="376"/>
      <c r="F322" s="377"/>
      <c r="H322" s="378"/>
      <c r="J322" s="378"/>
      <c r="K322" s="339"/>
      <c r="M322" s="338"/>
      <c r="Q322" s="642"/>
      <c r="R322" s="655"/>
      <c r="S322" s="320"/>
      <c r="T322" s="378"/>
      <c r="U322" s="376"/>
      <c r="V322" s="378"/>
      <c r="W322" s="339"/>
      <c r="X322" s="648"/>
      <c r="Y322" s="320"/>
      <c r="Z322" s="378"/>
      <c r="AA322" s="376"/>
      <c r="AB322" s="378"/>
      <c r="AC322" s="339"/>
      <c r="AD322" s="648"/>
    </row>
    <row r="323" spans="1:30">
      <c r="A323" s="376">
        <v>316</v>
      </c>
      <c r="B323" s="376"/>
      <c r="C323" s="337" t="s">
        <v>288</v>
      </c>
      <c r="D323" s="377"/>
      <c r="E323" s="376"/>
      <c r="F323" s="377"/>
      <c r="G323" s="320">
        <f>IF($AF$3=0,$S323,$Y323)</f>
        <v>143067313.11999997</v>
      </c>
      <c r="H323" s="394"/>
      <c r="I323" s="395"/>
      <c r="J323" s="394"/>
      <c r="K323" s="320">
        <f>IF($AF$3=0,$W323,$AC323)</f>
        <v>73261868.646502465</v>
      </c>
      <c r="Q323" s="642"/>
      <c r="R323" s="655"/>
      <c r="S323" s="320">
        <v>143067313.11999997</v>
      </c>
      <c r="T323" s="394"/>
      <c r="U323" s="395"/>
      <c r="V323" s="394"/>
      <c r="W323" s="320">
        <v>75451784.754911885</v>
      </c>
      <c r="X323" s="648"/>
      <c r="Y323" s="320">
        <v>143067313.11999997</v>
      </c>
      <c r="Z323" s="394"/>
      <c r="AA323" s="395"/>
      <c r="AB323" s="394"/>
      <c r="AC323" s="320">
        <v>73261868.646502465</v>
      </c>
      <c r="AD323" s="648"/>
    </row>
    <row r="324" spans="1:30">
      <c r="A324" s="376">
        <v>317</v>
      </c>
      <c r="B324" s="376"/>
      <c r="C324" s="337" t="s">
        <v>399</v>
      </c>
      <c r="D324" s="377"/>
      <c r="E324" s="376"/>
      <c r="F324" s="377"/>
      <c r="G324" s="320">
        <f>IF($AF$3=0,$S324,$Y324)</f>
        <v>24036686.740000002</v>
      </c>
      <c r="H324" s="394"/>
      <c r="I324" s="395"/>
      <c r="J324" s="394"/>
      <c r="K324" s="333">
        <f>IF($AF$3=0,$W324,$AC324)</f>
        <v>21685113.424647357</v>
      </c>
      <c r="O324" s="507"/>
      <c r="R324" s="648"/>
      <c r="S324" s="320">
        <v>24036686.740000002</v>
      </c>
      <c r="T324" s="394"/>
      <c r="U324" s="395"/>
      <c r="V324" s="394"/>
      <c r="W324" s="333">
        <v>23369648.426711187</v>
      </c>
      <c r="X324" s="648"/>
      <c r="Y324" s="320">
        <v>24036686.740000002</v>
      </c>
      <c r="Z324" s="394"/>
      <c r="AA324" s="395"/>
      <c r="AB324" s="394"/>
      <c r="AC324" s="333">
        <v>21685113.424647357</v>
      </c>
      <c r="AD324" s="648"/>
    </row>
    <row r="325" spans="1:30">
      <c r="A325" s="376">
        <v>318</v>
      </c>
      <c r="B325" s="376"/>
      <c r="C325" s="337" t="s">
        <v>400</v>
      </c>
      <c r="D325" s="377"/>
      <c r="E325" s="376"/>
      <c r="F325" s="377"/>
      <c r="G325" s="320">
        <f>IF($AF$3=0,$S325,$Y325)</f>
        <v>5875852.549999998</v>
      </c>
      <c r="H325" s="394"/>
      <c r="I325" s="395"/>
      <c r="J325" s="394"/>
      <c r="K325" s="333">
        <f>IF($AF$3=0,$W325,$AC325)</f>
        <v>7045436.4177288758</v>
      </c>
      <c r="O325" s="507"/>
      <c r="R325" s="648"/>
      <c r="S325" s="320">
        <v>5875852.549999998</v>
      </c>
      <c r="T325" s="394"/>
      <c r="U325" s="395"/>
      <c r="V325" s="394"/>
      <c r="W325" s="333">
        <v>7085951.7783528166</v>
      </c>
      <c r="X325" s="648"/>
      <c r="Y325" s="320">
        <v>5875852.549999998</v>
      </c>
      <c r="Z325" s="394"/>
      <c r="AA325" s="395"/>
      <c r="AB325" s="394"/>
      <c r="AC325" s="333">
        <v>7045436.4177288758</v>
      </c>
      <c r="AD325" s="648"/>
    </row>
    <row r="326" spans="1:30">
      <c r="A326" s="376">
        <v>319</v>
      </c>
      <c r="B326" s="376"/>
      <c r="C326" s="337" t="s">
        <v>401</v>
      </c>
      <c r="D326" s="377"/>
      <c r="E326" s="376"/>
      <c r="F326" s="377"/>
      <c r="G326" s="320">
        <f>IF($AF$3=0,$S326,$Y326)</f>
        <v>9574528.7595300004</v>
      </c>
      <c r="H326" s="394"/>
      <c r="I326" s="395"/>
      <c r="J326" s="394"/>
      <c r="K326" s="333">
        <f>IF($AF$3=0,$W326,$AC326)</f>
        <v>8617293.5380410012</v>
      </c>
      <c r="O326" s="507"/>
      <c r="R326" s="648"/>
      <c r="S326" s="320">
        <v>9574528.7595300004</v>
      </c>
      <c r="T326" s="394"/>
      <c r="U326" s="395"/>
      <c r="V326" s="394"/>
      <c r="W326" s="333">
        <v>7869975.3621130008</v>
      </c>
      <c r="X326" s="648"/>
      <c r="Y326" s="320">
        <v>9574528.7595300004</v>
      </c>
      <c r="Z326" s="394"/>
      <c r="AA326" s="395"/>
      <c r="AB326" s="394"/>
      <c r="AC326" s="333">
        <v>8617293.5380410012</v>
      </c>
      <c r="AD326" s="648"/>
    </row>
    <row r="327" spans="1:30">
      <c r="A327" s="376">
        <v>320</v>
      </c>
      <c r="B327" s="376"/>
      <c r="D327" s="377"/>
      <c r="E327" s="376"/>
      <c r="F327" s="377"/>
      <c r="G327" s="388"/>
      <c r="H327" s="378"/>
      <c r="J327" s="378"/>
      <c r="K327" s="341"/>
      <c r="M327" s="338"/>
      <c r="O327" s="507"/>
      <c r="R327" s="648"/>
      <c r="S327" s="388"/>
      <c r="T327" s="378"/>
      <c r="U327" s="376"/>
      <c r="V327" s="378"/>
      <c r="W327" s="341"/>
      <c r="X327" s="648"/>
      <c r="Y327" s="388"/>
      <c r="Z327" s="378"/>
      <c r="AA327" s="376"/>
      <c r="AB327" s="378"/>
      <c r="AC327" s="341"/>
      <c r="AD327" s="648"/>
    </row>
    <row r="328" spans="1:30">
      <c r="A328" s="376">
        <v>321</v>
      </c>
      <c r="B328" s="376"/>
      <c r="C328" s="337" t="s">
        <v>395</v>
      </c>
      <c r="D328" s="377"/>
      <c r="E328" s="376"/>
      <c r="F328" s="377"/>
      <c r="G328" s="320">
        <f>IF($AF$3=0,$S328,$Y328)</f>
        <v>182554381.16953</v>
      </c>
      <c r="H328" s="394"/>
      <c r="I328" s="395"/>
      <c r="J328" s="394"/>
      <c r="K328" s="342">
        <f>IF($AF$3=0,$W328,$AC328)</f>
        <v>110609712.02691969</v>
      </c>
      <c r="M328" s="338"/>
      <c r="O328" s="507"/>
      <c r="R328" s="648"/>
      <c r="S328" s="320">
        <v>182554381.16953</v>
      </c>
      <c r="T328" s="394"/>
      <c r="U328" s="395"/>
      <c r="V328" s="394"/>
      <c r="W328" s="342">
        <v>113777360.32208888</v>
      </c>
      <c r="X328" s="648"/>
      <c r="Y328" s="320">
        <v>182554381.16953</v>
      </c>
      <c r="Z328" s="394"/>
      <c r="AA328" s="395"/>
      <c r="AB328" s="394"/>
      <c r="AC328" s="342">
        <v>110609712.02691969</v>
      </c>
      <c r="AD328" s="648"/>
    </row>
    <row r="329" spans="1:30">
      <c r="A329" s="376">
        <v>322</v>
      </c>
      <c r="B329" s="376"/>
      <c r="D329" s="377"/>
      <c r="E329" s="376"/>
      <c r="F329" s="377"/>
      <c r="H329" s="378"/>
      <c r="J329" s="378"/>
      <c r="K329" s="339"/>
      <c r="M329" s="338"/>
      <c r="O329" s="507"/>
      <c r="R329" s="648"/>
      <c r="S329" s="320"/>
      <c r="T329" s="378"/>
      <c r="U329" s="376"/>
      <c r="V329" s="378"/>
      <c r="W329" s="339"/>
      <c r="X329" s="648"/>
      <c r="Y329" s="320"/>
      <c r="Z329" s="378"/>
      <c r="AA329" s="376"/>
      <c r="AB329" s="378"/>
      <c r="AC329" s="339"/>
      <c r="AD329" s="648"/>
    </row>
    <row r="330" spans="1:30">
      <c r="A330" s="376">
        <v>323</v>
      </c>
      <c r="B330" s="376"/>
      <c r="C330" s="337" t="s">
        <v>93</v>
      </c>
      <c r="D330" s="377"/>
      <c r="E330" s="376"/>
      <c r="F330" s="377"/>
      <c r="G330" s="320">
        <f>IF($AF$3=0,$S330,$Y330)</f>
        <v>36349832.060470015</v>
      </c>
      <c r="H330" s="394"/>
      <c r="I330" s="395"/>
      <c r="J330" s="394"/>
      <c r="K330" s="342">
        <f>IF($AF$3=0,$W330,$AC330)</f>
        <v>36434235.255422771</v>
      </c>
      <c r="M330" s="338"/>
      <c r="N330" s="508"/>
      <c r="O330" s="517"/>
      <c r="P330" s="507"/>
      <c r="R330" s="648"/>
      <c r="S330" s="320">
        <v>36349832.060470015</v>
      </c>
      <c r="T330" s="394"/>
      <c r="U330" s="395"/>
      <c r="V330" s="394"/>
      <c r="W330" s="342">
        <v>32837508.034698591</v>
      </c>
      <c r="X330" s="648"/>
      <c r="Y330" s="320">
        <v>36349832.060470015</v>
      </c>
      <c r="Z330" s="394"/>
      <c r="AA330" s="395"/>
      <c r="AB330" s="394"/>
      <c r="AC330" s="342">
        <v>36434235.255422771</v>
      </c>
      <c r="AD330" s="648"/>
    </row>
    <row r="331" spans="1:30">
      <c r="A331" s="376">
        <v>324</v>
      </c>
      <c r="B331" s="376"/>
      <c r="C331" s="337" t="s">
        <v>10</v>
      </c>
      <c r="D331" s="377"/>
      <c r="E331" s="376"/>
      <c r="F331" s="377"/>
      <c r="G331" s="320">
        <f>IF($AF$3=0,$S331,$Y331)</f>
        <v>525867609.38193923</v>
      </c>
      <c r="H331" s="394"/>
      <c r="I331" s="395"/>
      <c r="J331" s="394"/>
      <c r="K331" s="343">
        <f>IF($AF$3=0,$W331,$AC331)</f>
        <v>586098201.85827959</v>
      </c>
      <c r="M331" s="338"/>
      <c r="N331" s="508"/>
      <c r="O331" s="517"/>
      <c r="P331" s="507"/>
      <c r="R331" s="648"/>
      <c r="S331" s="320">
        <v>525867609.38193923</v>
      </c>
      <c r="T331" s="394"/>
      <c r="U331" s="395"/>
      <c r="V331" s="394"/>
      <c r="W331" s="343">
        <v>586160478.06823134</v>
      </c>
      <c r="X331" s="648"/>
      <c r="Y331" s="320">
        <v>525867609.38193923</v>
      </c>
      <c r="Z331" s="394"/>
      <c r="AA331" s="395"/>
      <c r="AB331" s="394"/>
      <c r="AC331" s="343">
        <v>586098201.85827959</v>
      </c>
      <c r="AD331" s="648"/>
    </row>
    <row r="332" spans="1:30">
      <c r="A332" s="376">
        <v>325</v>
      </c>
      <c r="B332" s="376"/>
      <c r="C332" s="337" t="s">
        <v>402</v>
      </c>
      <c r="D332" s="377"/>
      <c r="E332" s="376"/>
      <c r="F332" s="377"/>
      <c r="G332" s="320">
        <f>IF($AF$3=0,$S332,$Y332)</f>
        <v>6.9123542526592516E-2</v>
      </c>
      <c r="H332" s="392"/>
      <c r="I332" s="393"/>
      <c r="J332" s="392"/>
      <c r="K332" s="339">
        <f>IF($AF$3=0,$W332,$AC332)</f>
        <v>6.2164045444781428E-2</v>
      </c>
      <c r="M332" s="338"/>
      <c r="O332" s="507"/>
      <c r="R332" s="648"/>
      <c r="S332" s="320">
        <v>6.9123542526592516E-2</v>
      </c>
      <c r="T332" s="392"/>
      <c r="U332" s="393"/>
      <c r="V332" s="392"/>
      <c r="W332" s="339">
        <v>5.6021361492878029E-2</v>
      </c>
      <c r="X332" s="648"/>
      <c r="Y332" s="320">
        <v>6.9123542526592516E-2</v>
      </c>
      <c r="Z332" s="392"/>
      <c r="AA332" s="393"/>
      <c r="AB332" s="392"/>
      <c r="AC332" s="339">
        <v>6.2164045444781428E-2</v>
      </c>
      <c r="AD332" s="648"/>
    </row>
    <row r="333" spans="1:30">
      <c r="A333" s="376">
        <v>326</v>
      </c>
      <c r="B333" s="376"/>
      <c r="D333" s="377"/>
      <c r="E333" s="376"/>
      <c r="F333" s="377"/>
      <c r="H333" s="378"/>
      <c r="J333" s="378"/>
      <c r="K333" s="6"/>
      <c r="O333" s="507"/>
      <c r="R333" s="648"/>
      <c r="S333" s="320"/>
      <c r="T333" s="378"/>
      <c r="U333" s="376"/>
      <c r="V333" s="378"/>
      <c r="W333" s="6"/>
      <c r="X333" s="648"/>
      <c r="Y333" s="320"/>
      <c r="Z333" s="378"/>
      <c r="AA333" s="376"/>
      <c r="AB333" s="378"/>
      <c r="AC333" s="6"/>
      <c r="AD333" s="648"/>
    </row>
    <row r="334" spans="1:30">
      <c r="A334" s="376">
        <v>327</v>
      </c>
      <c r="B334" s="376"/>
      <c r="C334" s="348" t="s">
        <v>403</v>
      </c>
      <c r="D334" s="377"/>
      <c r="E334" s="376"/>
      <c r="F334" s="377"/>
      <c r="G334" s="323"/>
      <c r="H334" s="378"/>
      <c r="J334" s="378"/>
      <c r="K334" s="6"/>
      <c r="O334" s="507"/>
      <c r="R334" s="648"/>
      <c r="S334" s="323"/>
      <c r="T334" s="378"/>
      <c r="U334" s="376"/>
      <c r="V334" s="378"/>
      <c r="W334" s="6"/>
      <c r="X334" s="648"/>
      <c r="Y334" s="323"/>
      <c r="Z334" s="378"/>
      <c r="AA334" s="376"/>
      <c r="AB334" s="378"/>
      <c r="AC334" s="6"/>
      <c r="AD334" s="648"/>
    </row>
    <row r="335" spans="1:30">
      <c r="A335" s="376">
        <v>328</v>
      </c>
      <c r="B335" s="376"/>
      <c r="D335" s="377"/>
      <c r="E335" s="376"/>
      <c r="F335" s="377"/>
      <c r="G335" s="323"/>
      <c r="H335" s="378"/>
      <c r="J335" s="378"/>
      <c r="K335" s="6"/>
      <c r="M335" s="338"/>
      <c r="O335" s="507"/>
      <c r="R335" s="648"/>
      <c r="S335" s="323"/>
      <c r="T335" s="378"/>
      <c r="U335" s="376"/>
      <c r="V335" s="378"/>
      <c r="W335" s="6"/>
      <c r="X335" s="648"/>
      <c r="Y335" s="323"/>
      <c r="Z335" s="378"/>
      <c r="AA335" s="376"/>
      <c r="AB335" s="378"/>
      <c r="AC335" s="6"/>
      <c r="AD335" s="648"/>
    </row>
    <row r="336" spans="1:30">
      <c r="A336" s="376">
        <v>329</v>
      </c>
      <c r="B336" s="376"/>
      <c r="C336" s="337" t="s">
        <v>10</v>
      </c>
      <c r="D336" s="377"/>
      <c r="E336" s="376"/>
      <c r="F336" s="377"/>
      <c r="H336" s="6"/>
      <c r="I336" s="10"/>
      <c r="J336" s="6"/>
      <c r="K336" s="29">
        <f t="shared" ref="K336:K342" si="59">IF($AF$3=0,$W336,$AC336)</f>
        <v>586098201.85827959</v>
      </c>
      <c r="M336" s="338"/>
      <c r="N336" s="508"/>
      <c r="O336" s="517"/>
      <c r="P336" s="507"/>
      <c r="R336" s="648"/>
      <c r="S336" s="320"/>
      <c r="T336" s="6"/>
      <c r="U336" s="10"/>
      <c r="V336" s="6"/>
      <c r="W336" s="29">
        <v>586160478.06823134</v>
      </c>
      <c r="X336" s="648"/>
      <c r="Y336" s="320"/>
      <c r="Z336" s="6"/>
      <c r="AA336" s="10"/>
      <c r="AB336" s="6"/>
      <c r="AC336" s="29">
        <v>586098201.85827959</v>
      </c>
      <c r="AD336" s="648"/>
    </row>
    <row r="337" spans="1:30">
      <c r="A337" s="376">
        <v>330</v>
      </c>
      <c r="B337" s="376"/>
      <c r="C337" s="337" t="s">
        <v>89</v>
      </c>
      <c r="D337" s="377"/>
      <c r="E337" s="376"/>
      <c r="F337" s="377"/>
      <c r="H337" s="396"/>
      <c r="I337" s="397" t="s">
        <v>404</v>
      </c>
      <c r="J337" s="396"/>
      <c r="K337" s="339">
        <f t="shared" si="59"/>
        <v>6.7100000000000007E-2</v>
      </c>
      <c r="M337" s="338"/>
      <c r="O337" s="507"/>
      <c r="R337" s="648"/>
      <c r="S337" s="320"/>
      <c r="T337" s="396"/>
      <c r="U337" s="397" t="s">
        <v>404</v>
      </c>
      <c r="V337" s="396"/>
      <c r="W337" s="339">
        <v>7.0599999999999996E-2</v>
      </c>
      <c r="X337" s="648"/>
      <c r="Y337" s="320"/>
      <c r="Z337" s="396"/>
      <c r="AA337" s="397" t="s">
        <v>404</v>
      </c>
      <c r="AB337" s="396"/>
      <c r="AC337" s="339">
        <v>6.7100000000000007E-2</v>
      </c>
      <c r="AD337" s="648"/>
    </row>
    <row r="338" spans="1:30">
      <c r="A338" s="376">
        <v>331</v>
      </c>
      <c r="B338" s="376"/>
      <c r="C338" s="337" t="s">
        <v>93</v>
      </c>
      <c r="D338" s="377"/>
      <c r="E338" s="376"/>
      <c r="F338" s="377"/>
      <c r="H338" s="6"/>
      <c r="I338" s="10"/>
      <c r="J338" s="6"/>
      <c r="K338" s="320">
        <f t="shared" si="59"/>
        <v>39327189.344690561</v>
      </c>
      <c r="M338" s="338"/>
      <c r="N338" s="508"/>
      <c r="O338" s="517"/>
      <c r="P338" s="507"/>
      <c r="R338" s="648"/>
      <c r="S338" s="320"/>
      <c r="T338" s="6"/>
      <c r="U338" s="10"/>
      <c r="V338" s="6"/>
      <c r="W338" s="320">
        <v>41382929.751617134</v>
      </c>
      <c r="X338" s="648"/>
      <c r="Y338" s="320"/>
      <c r="Z338" s="6"/>
      <c r="AA338" s="10"/>
      <c r="AB338" s="6"/>
      <c r="AC338" s="320">
        <v>39327189.344690561</v>
      </c>
      <c r="AD338" s="648"/>
    </row>
    <row r="339" spans="1:30">
      <c r="A339" s="376">
        <v>332</v>
      </c>
      <c r="B339" s="376"/>
      <c r="C339" s="337" t="s">
        <v>405</v>
      </c>
      <c r="D339" s="377"/>
      <c r="E339" s="376"/>
      <c r="F339" s="377"/>
      <c r="H339" s="6"/>
      <c r="I339" s="10"/>
      <c r="J339" s="6"/>
      <c r="K339" s="333">
        <f t="shared" si="59"/>
        <v>73261868.646502465</v>
      </c>
      <c r="M339" s="338"/>
      <c r="N339" s="508"/>
      <c r="O339" s="517"/>
      <c r="P339" s="507"/>
      <c r="R339" s="648"/>
      <c r="S339" s="320"/>
      <c r="T339" s="6"/>
      <c r="U339" s="10"/>
      <c r="V339" s="6"/>
      <c r="W339" s="333">
        <v>75451784.754911885</v>
      </c>
      <c r="X339" s="648"/>
      <c r="Y339" s="320"/>
      <c r="Z339" s="6"/>
      <c r="AA339" s="10"/>
      <c r="AB339" s="6"/>
      <c r="AC339" s="333">
        <v>73261868.646502465</v>
      </c>
      <c r="AD339" s="648"/>
    </row>
    <row r="340" spans="1:30">
      <c r="A340" s="376">
        <v>333</v>
      </c>
      <c r="B340" s="376"/>
      <c r="C340" s="337" t="s">
        <v>399</v>
      </c>
      <c r="D340" s="377"/>
      <c r="E340" s="376"/>
      <c r="F340" s="377"/>
      <c r="H340" s="6"/>
      <c r="I340" s="10"/>
      <c r="J340" s="6"/>
      <c r="K340" s="333">
        <f t="shared" si="59"/>
        <v>21685113.424647357</v>
      </c>
      <c r="M340" s="338"/>
      <c r="N340" s="508"/>
      <c r="O340" s="517"/>
      <c r="P340" s="507"/>
      <c r="R340" s="648"/>
      <c r="S340" s="320"/>
      <c r="T340" s="6"/>
      <c r="U340" s="10"/>
      <c r="V340" s="6"/>
      <c r="W340" s="333">
        <v>23369648.426711187</v>
      </c>
      <c r="X340" s="648"/>
      <c r="Y340" s="320"/>
      <c r="Z340" s="6"/>
      <c r="AA340" s="10"/>
      <c r="AB340" s="6"/>
      <c r="AC340" s="333">
        <v>21685113.424647357</v>
      </c>
      <c r="AD340" s="648"/>
    </row>
    <row r="341" spans="1:30">
      <c r="A341" s="376">
        <v>334</v>
      </c>
      <c r="B341" s="376"/>
      <c r="C341" s="337" t="s">
        <v>400</v>
      </c>
      <c r="D341" s="377"/>
      <c r="E341" s="376"/>
      <c r="F341" s="377"/>
      <c r="H341" s="6"/>
      <c r="I341" s="10"/>
      <c r="J341" s="6"/>
      <c r="K341" s="333">
        <f t="shared" si="59"/>
        <v>7045436.4177288758</v>
      </c>
      <c r="M341" s="338"/>
      <c r="N341" s="508"/>
      <c r="O341" s="517"/>
      <c r="P341" s="507"/>
      <c r="R341" s="648"/>
      <c r="S341" s="320"/>
      <c r="T341" s="6"/>
      <c r="U341" s="10"/>
      <c r="V341" s="6"/>
      <c r="W341" s="333">
        <v>7085951.7783528166</v>
      </c>
      <c r="X341" s="648"/>
      <c r="Y341" s="320"/>
      <c r="Z341" s="6"/>
      <c r="AA341" s="10"/>
      <c r="AB341" s="6"/>
      <c r="AC341" s="333">
        <v>7045436.4177288758</v>
      </c>
      <c r="AD341" s="648"/>
    </row>
    <row r="342" spans="1:30">
      <c r="A342" s="376">
        <v>335</v>
      </c>
      <c r="B342" s="376"/>
      <c r="C342" s="337" t="s">
        <v>401</v>
      </c>
      <c r="D342" s="377"/>
      <c r="E342" s="376"/>
      <c r="F342" s="377"/>
      <c r="H342" s="6"/>
      <c r="I342" s="10"/>
      <c r="J342" s="6"/>
      <c r="K342" s="333">
        <f t="shared" si="59"/>
        <v>8617293.5380410012</v>
      </c>
      <c r="P342" s="507"/>
      <c r="R342" s="648"/>
      <c r="S342" s="320"/>
      <c r="T342" s="6"/>
      <c r="U342" s="10"/>
      <c r="V342" s="6"/>
      <c r="W342" s="333">
        <v>7869975.3621130008</v>
      </c>
      <c r="X342" s="648"/>
      <c r="Y342" s="320"/>
      <c r="Z342" s="6"/>
      <c r="AA342" s="10"/>
      <c r="AB342" s="6"/>
      <c r="AC342" s="333">
        <v>8617293.5380410012</v>
      </c>
      <c r="AD342" s="648"/>
    </row>
    <row r="343" spans="1:30">
      <c r="A343" s="376">
        <v>336</v>
      </c>
      <c r="B343" s="376"/>
      <c r="D343" s="377"/>
      <c r="E343" s="376"/>
      <c r="F343" s="377"/>
      <c r="G343" s="323"/>
      <c r="H343" s="378"/>
      <c r="J343" s="378"/>
      <c r="K343" s="335"/>
      <c r="M343" s="338"/>
      <c r="P343" s="507"/>
      <c r="R343" s="648"/>
      <c r="S343" s="323"/>
      <c r="T343" s="378"/>
      <c r="U343" s="376"/>
      <c r="V343" s="378"/>
      <c r="W343" s="335"/>
      <c r="X343" s="648"/>
      <c r="Y343" s="323"/>
      <c r="Z343" s="378"/>
      <c r="AA343" s="376"/>
      <c r="AB343" s="378"/>
      <c r="AC343" s="335"/>
      <c r="AD343" s="648"/>
    </row>
    <row r="344" spans="1:30">
      <c r="A344" s="376">
        <v>337</v>
      </c>
      <c r="B344" s="376"/>
      <c r="C344" s="361" t="s">
        <v>406</v>
      </c>
      <c r="D344" s="377"/>
      <c r="E344" s="376"/>
      <c r="F344" s="377"/>
      <c r="H344" s="394"/>
      <c r="I344" s="395"/>
      <c r="J344" s="394"/>
      <c r="K344" s="320">
        <f>IF($AF$3=0,$W344,$AC344)</f>
        <v>149936901.37161025</v>
      </c>
      <c r="P344" s="507"/>
      <c r="R344" s="648"/>
      <c r="S344" s="320"/>
      <c r="T344" s="394"/>
      <c r="U344" s="395"/>
      <c r="V344" s="394"/>
      <c r="W344" s="320">
        <v>155160290.07370603</v>
      </c>
      <c r="X344" s="648"/>
      <c r="Y344" s="320"/>
      <c r="Z344" s="394"/>
      <c r="AA344" s="395"/>
      <c r="AB344" s="394"/>
      <c r="AC344" s="320">
        <v>149936901.37161025</v>
      </c>
      <c r="AD344" s="648"/>
    </row>
    <row r="345" spans="1:30">
      <c r="A345" s="376">
        <v>338</v>
      </c>
      <c r="B345" s="376"/>
      <c r="C345" s="337" t="s">
        <v>407</v>
      </c>
      <c r="D345" s="377"/>
      <c r="E345" s="376"/>
      <c r="F345" s="377"/>
      <c r="H345" s="394"/>
      <c r="I345" s="395"/>
      <c r="J345" s="394"/>
      <c r="K345" s="333">
        <f>IF($AF$3=0,$W345,$AC345)</f>
        <v>5667962.7734283386</v>
      </c>
      <c r="N345" s="508"/>
      <c r="O345" s="508"/>
      <c r="P345" s="507"/>
      <c r="R345" s="648"/>
      <c r="S345" s="320"/>
      <c r="T345" s="394"/>
      <c r="U345" s="395"/>
      <c r="V345" s="394"/>
      <c r="W345" s="333">
        <v>5303430.8478733655</v>
      </c>
      <c r="X345" s="648"/>
      <c r="Y345" s="320"/>
      <c r="Z345" s="394"/>
      <c r="AA345" s="395"/>
      <c r="AB345" s="394"/>
      <c r="AC345" s="333">
        <v>5667962.7734283386</v>
      </c>
      <c r="AD345" s="648"/>
    </row>
    <row r="346" spans="1:30">
      <c r="A346" s="376">
        <v>339</v>
      </c>
      <c r="B346" s="376"/>
      <c r="D346" s="377"/>
      <c r="E346" s="376"/>
      <c r="F346" s="377"/>
      <c r="H346" s="378"/>
      <c r="J346" s="378"/>
      <c r="K346" s="320"/>
      <c r="M346" s="338"/>
      <c r="P346" s="507"/>
      <c r="R346" s="648"/>
      <c r="S346" s="320"/>
      <c r="T346" s="378"/>
      <c r="U346" s="376"/>
      <c r="V346" s="378"/>
      <c r="W346" s="320"/>
      <c r="X346" s="648"/>
      <c r="Y346" s="320"/>
      <c r="Z346" s="378"/>
      <c r="AA346" s="376"/>
      <c r="AB346" s="378"/>
      <c r="AC346" s="320"/>
      <c r="AD346" s="648"/>
    </row>
    <row r="347" spans="1:30">
      <c r="A347" s="376">
        <v>340</v>
      </c>
      <c r="B347" s="376"/>
      <c r="C347" s="361" t="s">
        <v>408</v>
      </c>
      <c r="D347" s="377"/>
      <c r="E347" s="376"/>
      <c r="F347" s="377"/>
      <c r="H347" s="394"/>
      <c r="I347" s="395"/>
      <c r="J347" s="394"/>
      <c r="K347" s="321">
        <f>IF($AF$3=0,$W347,$AC347)</f>
        <v>144268938.5981819</v>
      </c>
      <c r="M347" s="338"/>
      <c r="P347" s="507"/>
      <c r="R347" s="648"/>
      <c r="S347" s="320"/>
      <c r="T347" s="394"/>
      <c r="U347" s="395"/>
      <c r="V347" s="394"/>
      <c r="W347" s="321">
        <v>149856859.22583267</v>
      </c>
      <c r="X347" s="648"/>
      <c r="Y347" s="320"/>
      <c r="Z347" s="394"/>
      <c r="AA347" s="395"/>
      <c r="AB347" s="394"/>
      <c r="AC347" s="321">
        <v>144268938.5981819</v>
      </c>
      <c r="AD347" s="648"/>
    </row>
    <row r="348" spans="1:30">
      <c r="A348" s="376">
        <v>341</v>
      </c>
      <c r="B348" s="376"/>
      <c r="D348" s="377"/>
      <c r="E348" s="376"/>
      <c r="F348" s="377"/>
      <c r="H348" s="378"/>
      <c r="J348" s="378"/>
      <c r="K348" s="320"/>
      <c r="M348" s="338"/>
      <c r="P348" s="507"/>
      <c r="R348" s="648"/>
      <c r="S348" s="320"/>
      <c r="T348" s="378"/>
      <c r="U348" s="376"/>
      <c r="V348" s="378"/>
      <c r="W348" s="320"/>
      <c r="X348" s="648"/>
      <c r="Y348" s="320"/>
      <c r="Z348" s="378"/>
      <c r="AA348" s="376"/>
      <c r="AB348" s="378"/>
      <c r="AC348" s="320"/>
      <c r="AD348" s="648"/>
    </row>
    <row r="349" spans="1:30">
      <c r="A349" s="376">
        <v>342</v>
      </c>
      <c r="B349" s="376"/>
      <c r="C349" s="337" t="s">
        <v>388</v>
      </c>
      <c r="D349" s="377"/>
      <c r="E349" s="376"/>
      <c r="F349" s="377"/>
      <c r="H349" s="394"/>
      <c r="I349" s="395"/>
      <c r="J349" s="394"/>
      <c r="K349" s="320">
        <f>IF($AF$3=0,$W349,$AC349)</f>
        <v>141375984.50891411</v>
      </c>
      <c r="M349" s="338"/>
      <c r="N349" s="514" t="s">
        <v>640</v>
      </c>
      <c r="O349" s="514"/>
      <c r="P349" s="507"/>
      <c r="R349" s="648"/>
      <c r="S349" s="320"/>
      <c r="T349" s="394"/>
      <c r="U349" s="395"/>
      <c r="V349" s="394"/>
      <c r="W349" s="320">
        <v>141311437.50891411</v>
      </c>
      <c r="X349" s="648"/>
      <c r="Y349" s="320"/>
      <c r="Z349" s="394"/>
      <c r="AA349" s="395"/>
      <c r="AB349" s="394"/>
      <c r="AC349" s="320">
        <v>141375984.50891411</v>
      </c>
      <c r="AD349" s="648"/>
    </row>
    <row r="350" spans="1:30">
      <c r="A350" s="376">
        <v>343</v>
      </c>
      <c r="B350" s="376"/>
      <c r="C350" s="348" t="s">
        <v>409</v>
      </c>
      <c r="D350" s="377"/>
      <c r="E350" s="376"/>
      <c r="F350" s="377"/>
      <c r="H350" s="378"/>
      <c r="J350" s="378"/>
      <c r="K350" s="320"/>
      <c r="M350" s="338"/>
      <c r="P350" s="507"/>
      <c r="R350" s="648"/>
      <c r="S350" s="320"/>
      <c r="T350" s="378"/>
      <c r="U350" s="376"/>
      <c r="V350" s="378"/>
      <c r="W350" s="320"/>
      <c r="X350" s="648"/>
      <c r="Y350" s="320"/>
      <c r="Z350" s="378"/>
      <c r="AA350" s="376"/>
      <c r="AB350" s="378"/>
      <c r="AC350" s="320"/>
      <c r="AD350" s="648"/>
    </row>
    <row r="351" spans="1:30">
      <c r="A351" s="376">
        <v>344</v>
      </c>
      <c r="B351" s="376"/>
      <c r="C351" s="361" t="s">
        <v>410</v>
      </c>
      <c r="D351" s="377"/>
      <c r="E351" s="376"/>
      <c r="F351" s="377"/>
      <c r="H351" s="390"/>
      <c r="I351" s="381"/>
      <c r="J351" s="390"/>
      <c r="K351" s="320">
        <f>IF($AF$3=0,$W351,$AC351)</f>
        <v>-2892954.0892677903</v>
      </c>
      <c r="M351" s="338"/>
      <c r="N351" s="317">
        <f>+K342</f>
        <v>8617293.5380410012</v>
      </c>
      <c r="O351" s="317"/>
      <c r="P351" s="406"/>
      <c r="R351" s="648"/>
      <c r="S351" s="320"/>
      <c r="T351" s="390"/>
      <c r="U351" s="381"/>
      <c r="V351" s="390"/>
      <c r="W351" s="320">
        <v>-8545421.7169185579</v>
      </c>
      <c r="X351" s="648"/>
      <c r="Y351" s="320"/>
      <c r="Z351" s="390"/>
      <c r="AA351" s="381"/>
      <c r="AB351" s="390"/>
      <c r="AC351" s="320">
        <v>-2892954.0892677903</v>
      </c>
      <c r="AD351" s="648"/>
    </row>
    <row r="352" spans="1:30" ht="13.5" thickBot="1">
      <c r="A352" s="376">
        <v>345</v>
      </c>
      <c r="B352" s="376"/>
      <c r="C352" s="361" t="s">
        <v>659</v>
      </c>
      <c r="D352" s="377"/>
      <c r="E352" s="376"/>
      <c r="F352" s="377"/>
      <c r="H352" s="390"/>
      <c r="I352" s="381"/>
      <c r="J352" s="390"/>
      <c r="K352" s="336">
        <f>IF($AF$3=0,$W352,$AC352)</f>
        <v>-3972195.6845696908</v>
      </c>
      <c r="M352" s="338"/>
      <c r="N352" s="403">
        <f>-N361</f>
        <v>1079241.5953019005</v>
      </c>
      <c r="O352" s="403"/>
      <c r="P352" s="406"/>
      <c r="R352" s="648"/>
      <c r="S352" s="320"/>
      <c r="T352" s="390"/>
      <c r="U352" s="381"/>
      <c r="V352" s="390"/>
      <c r="W352" s="336">
        <v>-11733365.348830439</v>
      </c>
      <c r="X352" s="648"/>
      <c r="Y352" s="320"/>
      <c r="Z352" s="390"/>
      <c r="AA352" s="381"/>
      <c r="AB352" s="390"/>
      <c r="AC352" s="336">
        <v>-3972195.6845696908</v>
      </c>
      <c r="AD352" s="648"/>
    </row>
    <row r="353" spans="1:30" ht="13.5" thickTop="1">
      <c r="A353" s="376">
        <v>346</v>
      </c>
      <c r="B353" s="376"/>
      <c r="D353" s="377"/>
      <c r="E353" s="376"/>
      <c r="F353" s="377"/>
      <c r="G353" s="323"/>
      <c r="H353" s="378"/>
      <c r="J353" s="378"/>
      <c r="K353" s="6"/>
      <c r="M353" s="338"/>
      <c r="N353" s="404">
        <f>+N351+N352</f>
        <v>9696535.1333429012</v>
      </c>
      <c r="O353" s="404"/>
      <c r="P353" s="406"/>
      <c r="R353" s="648"/>
      <c r="S353" s="323"/>
      <c r="T353" s="378"/>
      <c r="U353" s="376"/>
      <c r="V353" s="378"/>
      <c r="W353" s="6"/>
      <c r="X353" s="648"/>
      <c r="Y353" s="323"/>
      <c r="Z353" s="378"/>
      <c r="AA353" s="376"/>
      <c r="AB353" s="378"/>
      <c r="AC353" s="6"/>
      <c r="AD353" s="648"/>
    </row>
    <row r="354" spans="1:30">
      <c r="A354" s="376">
        <v>347</v>
      </c>
      <c r="B354" s="376"/>
      <c r="C354" s="337" t="s">
        <v>586</v>
      </c>
      <c r="D354" s="377"/>
      <c r="E354" s="376"/>
      <c r="F354" s="377"/>
      <c r="H354" s="398"/>
      <c r="I354" s="399"/>
      <c r="J354" s="398"/>
      <c r="K354" s="344">
        <f>IF($AF$3=0,$W354,$AC354)</f>
        <v>1.3730586666776512</v>
      </c>
      <c r="M354" s="338"/>
      <c r="N354" s="405"/>
      <c r="O354" s="405"/>
      <c r="P354" s="406"/>
      <c r="R354" s="648"/>
      <c r="S354" s="320"/>
      <c r="T354" s="398"/>
      <c r="U354" s="399"/>
      <c r="V354" s="398"/>
      <c r="W354" s="344">
        <v>1.3730586666776512</v>
      </c>
      <c r="X354" s="648"/>
      <c r="Y354" s="320"/>
      <c r="Z354" s="398"/>
      <c r="AA354" s="399"/>
      <c r="AB354" s="398"/>
      <c r="AC354" s="344">
        <v>1.3730586666776512</v>
      </c>
      <c r="AD354" s="648"/>
    </row>
    <row r="355" spans="1:30">
      <c r="A355" s="376"/>
      <c r="B355" s="376"/>
      <c r="M355" s="406"/>
      <c r="AC355" s="661">
        <v>2920.0614037606865</v>
      </c>
    </row>
    <row r="356" spans="1:30">
      <c r="A356" s="376"/>
      <c r="B356" s="376"/>
      <c r="K356" s="662">
        <f>'Class Allocations'!G22</f>
        <v>10688336.887402941</v>
      </c>
    </row>
    <row r="357" spans="1:30">
      <c r="A357" s="376"/>
      <c r="B357" s="376"/>
      <c r="M357" s="338"/>
      <c r="N357" s="514" t="s">
        <v>640</v>
      </c>
      <c r="O357" s="406"/>
      <c r="P357" s="405"/>
    </row>
    <row r="358" spans="1:30">
      <c r="A358" s="376"/>
      <c r="B358" s="376"/>
      <c r="M358" s="338"/>
      <c r="O358" s="403"/>
    </row>
    <row r="359" spans="1:30">
      <c r="A359" s="376"/>
      <c r="B359" s="376"/>
      <c r="M359" s="338"/>
      <c r="N359" s="403">
        <f>+K352</f>
        <v>-3972195.6845696908</v>
      </c>
      <c r="O359" s="405"/>
      <c r="P359" s="405"/>
      <c r="Q359" s="405"/>
      <c r="R359" s="405"/>
      <c r="S359" s="405"/>
      <c r="T359" s="405"/>
      <c r="U359" s="405"/>
      <c r="V359" s="405"/>
      <c r="W359" s="405"/>
      <c r="X359" s="405"/>
      <c r="Y359" s="405"/>
      <c r="Z359" s="405"/>
      <c r="AA359" s="405"/>
      <c r="AB359" s="405"/>
      <c r="AC359" s="405"/>
    </row>
    <row r="360" spans="1:30">
      <c r="N360" s="317">
        <f>+K351</f>
        <v>-2892954.0892677903</v>
      </c>
    </row>
    <row r="361" spans="1:30">
      <c r="N361" s="317">
        <f>+N359-N360</f>
        <v>-1079241.5953019005</v>
      </c>
    </row>
    <row r="362" spans="1:30">
      <c r="N362" s="405">
        <f>+N361/N359</f>
        <v>0.27169900000000002</v>
      </c>
    </row>
  </sheetData>
  <mergeCells count="4">
    <mergeCell ref="G4:K4"/>
    <mergeCell ref="N4:P4"/>
    <mergeCell ref="S4:W4"/>
    <mergeCell ref="Y4:AC4"/>
  </mergeCells>
  <dataValidations disablePrompts="1" count="1">
    <dataValidation type="list" showInputMessage="1" showErrorMessage="1" sqref="AE3" xr:uid="{BD1BCD98-18A7-4886-9AB0-735D9737D736}">
      <formula1>$AI$3:$AI$4</formula1>
    </dataValidation>
  </dataValidation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Functional Allocators</vt:lpstr>
      <vt:lpstr>Functional</vt:lpstr>
      <vt:lpstr>Class Allocations</vt:lpstr>
      <vt:lpstr>FERC Accts by Customer Class</vt:lpstr>
      <vt:lpstr>Rate Design</vt:lpstr>
      <vt:lpstr>Revenue Proof</vt:lpstr>
      <vt:lpstr>Bill Impacts</vt:lpstr>
      <vt:lpstr>Section 3 Exhibit C</vt:lpstr>
      <vt:lpstr>COS Statement N</vt:lpstr>
      <vt:lpstr>DistComm</vt:lpstr>
      <vt:lpstr>DistCust</vt:lpstr>
      <vt:lpstr>DistDemand</vt:lpstr>
      <vt:lpstr>DistMains</vt:lpstr>
      <vt:lpstr>'Bill Impacts'!Print_Area</vt:lpstr>
      <vt:lpstr>'Class Allocations'!Print_Area</vt:lpstr>
      <vt:lpstr>'COS Statement N'!Print_Area</vt:lpstr>
      <vt:lpstr>'FERC Accts by Customer Class'!Print_Area</vt:lpstr>
      <vt:lpstr>Functional!Print_Area</vt:lpstr>
      <vt:lpstr>'Rate Design'!Print_Area</vt:lpstr>
      <vt:lpstr>'Revenue Proof'!Print_Area</vt:lpstr>
      <vt:lpstr>'Section 3 Exhibit C'!Print_Area</vt:lpstr>
      <vt:lpstr>'Class Allocations'!Print_Titles</vt:lpstr>
      <vt:lpstr>'COS Statement N'!Print_Titles</vt:lpstr>
      <vt:lpstr>TransComm</vt:lpstr>
      <vt:lpstr>TransDemand</vt:lpstr>
      <vt:lpstr>TransMains</vt:lpstr>
    </vt:vector>
  </TitlesOfParts>
  <Company>Black &amp; Veatch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mac54192</dc:creator>
  <cp:lastModifiedBy>Hyatt, Douglas</cp:lastModifiedBy>
  <cp:lastPrinted>2020-05-20T15:42:38Z</cp:lastPrinted>
  <dcterms:created xsi:type="dcterms:W3CDTF">2009-09-04T19:26:34Z</dcterms:created>
  <dcterms:modified xsi:type="dcterms:W3CDTF">2021-01-11T20:05:00Z</dcterms:modified>
</cp:coreProperties>
</file>