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codeName="ThisWorkbook" hidePivotFieldList="1" defaultThemeVersion="124226"/>
  <xr:revisionPtr revIDLastSave="0" documentId="8_{BA07CE87-9670-485C-B4F1-6F90E06C8853}" xr6:coauthVersionLast="45" xr6:coauthVersionMax="45" xr10:uidLastSave="{00000000-0000-0000-0000-000000000000}"/>
  <bookViews>
    <workbookView xWindow="10665" yWindow="1035" windowWidth="26580" windowHeight="17175" firstSheet="37" activeTab="46" xr2:uid="{7F0A5E54-E5CD-4B36-805C-17A530EDF817}"/>
  </bookViews>
  <sheets>
    <sheet name="Table of Contents" sheetId="281" r:id="rId1"/>
    <sheet name="References" sheetId="246" r:id="rId2"/>
    <sheet name="Stmt A pg 1" sheetId="89" r:id="rId3"/>
    <sheet name="Stmt A pg 2" sheetId="204" r:id="rId4"/>
    <sheet name="Stmt B" sheetId="16" r:id="rId5"/>
    <sheet name="Stmt C" sheetId="17" r:id="rId6"/>
    <sheet name="Stmt D" sheetId="11" r:id="rId7"/>
    <sheet name="Sched D-1" sheetId="4" r:id="rId8"/>
    <sheet name="Sched D-2" sheetId="266" r:id="rId9"/>
    <sheet name="Sched D-3" sheetId="279" r:id="rId10"/>
    <sheet name="Stmt E" sheetId="198" r:id="rId11"/>
    <sheet name="Sched E-1" sheetId="282" r:id="rId12"/>
    <sheet name="Stmt F" sheetId="130" r:id="rId13"/>
    <sheet name="Sched F-1" sheetId="6" r:id="rId14"/>
    <sheet name="Sched F-2 Pg 1" sheetId="162" r:id="rId15"/>
    <sheet name="Sched F-2 Pg 2" sheetId="194" r:id="rId16"/>
    <sheet name="Stmt G " sheetId="29" r:id="rId17"/>
    <sheet name="Sched G-1" sheetId="280" r:id="rId18"/>
    <sheet name="Stmt H" sheetId="40" r:id="rId19"/>
    <sheet name="Sched H-1" sheetId="256" r:id="rId20"/>
    <sheet name="Sched H-2" sheetId="222" r:id="rId21"/>
    <sheet name="Sched H-3" sheetId="235" r:id="rId22"/>
    <sheet name="Sched H-4" sheetId="261" r:id="rId23"/>
    <sheet name="Sched H-5" sheetId="236" r:id="rId24"/>
    <sheet name="Sched H-6" sheetId="231" r:id="rId25"/>
    <sheet name="Sched H-7" sheetId="232" r:id="rId26"/>
    <sheet name="Sched H-8" sheetId="264" r:id="rId27"/>
    <sheet name="Sched H-9" sheetId="267" r:id="rId28"/>
    <sheet name="Sched H-10" sheetId="271" r:id="rId29"/>
    <sheet name="Sched H-11" sheetId="283" r:id="rId30"/>
    <sheet name="Sched H-12" sheetId="240" r:id="rId31"/>
    <sheet name="Stmt I " sheetId="2" r:id="rId32"/>
    <sheet name="Sched I-1" sheetId="289" r:id="rId33"/>
    <sheet name="Sched I-2" sheetId="254" r:id="rId34"/>
    <sheet name="Sched I-2 Pg 2" sheetId="274" r:id="rId35"/>
    <sheet name="Sched I-3" sheetId="291" r:id="rId36"/>
    <sheet name="Stmt J" sheetId="12" r:id="rId37"/>
    <sheet name="Sched J-1" sheetId="268" r:id="rId38"/>
    <sheet name="Stmt K" sheetId="158" r:id="rId39"/>
    <sheet name="Stmt L" sheetId="41" r:id="rId40"/>
    <sheet name="Sched L-1" sheetId="237" r:id="rId41"/>
    <sheet name="Stmt M" sheetId="3" r:id="rId42"/>
    <sheet name="Sched M-1" sheetId="37" r:id="rId43"/>
    <sheet name="Sched M-2" sheetId="242" r:id="rId44"/>
    <sheet name="Sched M-3" sheetId="275" r:id="rId45"/>
    <sheet name="Stmt N" sheetId="239" r:id="rId46"/>
    <sheet name="MCC Testimony Table" sheetId="292" r:id="rId47"/>
    <sheet name="Do Not Use-&gt;" sheetId="217" state="hidden" r:id="rId48"/>
    <sheet name="Sched Validation" sheetId="277" state="hidden" r:id="rId49"/>
    <sheet name="Stmt N-X" sheetId="228" state="hidden" r:id="rId50"/>
  </sheets>
  <externalReferences>
    <externalReference r:id="rId51"/>
    <externalReference r:id="rId52"/>
    <externalReference r:id="rId53"/>
    <externalReference r:id="rId54"/>
    <externalReference r:id="rId55"/>
    <externalReference r:id="rId56"/>
  </externalReferences>
  <definedNames>
    <definedName name="__123Graph_A" hidden="1">'[1]Func. Plt. RRF - With Earnings'!#REF!</definedName>
    <definedName name="__123Graph_B" localSheetId="8" hidden="1">#REF!</definedName>
    <definedName name="__123Graph_B" localSheetId="11" hidden="1">#REF!</definedName>
    <definedName name="__123Graph_B" localSheetId="17" hidden="1">#REF!</definedName>
    <definedName name="__123Graph_B" localSheetId="19" hidden="1">#REF!</definedName>
    <definedName name="__123Graph_B" localSheetId="28" hidden="1">#REF!</definedName>
    <definedName name="__123Graph_B" localSheetId="29" hidden="1">#REF!</definedName>
    <definedName name="__123Graph_B" localSheetId="20" hidden="1">#REF!</definedName>
    <definedName name="__123Graph_B" localSheetId="22" hidden="1">#REF!</definedName>
    <definedName name="__123Graph_B" localSheetId="26" hidden="1">#REF!</definedName>
    <definedName name="__123Graph_B" localSheetId="27" hidden="1">#REF!</definedName>
    <definedName name="__123Graph_B" localSheetId="33" hidden="1">#REF!</definedName>
    <definedName name="__123Graph_B" localSheetId="34" hidden="1">#REF!</definedName>
    <definedName name="__123Graph_B" localSheetId="35" hidden="1">#REF!</definedName>
    <definedName name="__123Graph_B" localSheetId="37" hidden="1">#REF!</definedName>
    <definedName name="__123Graph_B" localSheetId="44" hidden="1">#REF!</definedName>
    <definedName name="__123Graph_B" hidden="1">#REF!</definedName>
    <definedName name="__123Graph_C" hidden="1">'[1]Func. Plt. RRF - With Earnings'!#REF!</definedName>
    <definedName name="__123Graph_D" hidden="1">'[2]228.13'!#REF!</definedName>
    <definedName name="__123Graph_E" hidden="1">'[1]Func. Plt. RRF - With Earnings'!#REF!</definedName>
    <definedName name="__123Graph_F" hidden="1">'[1]Func. Plt. RRF - With Earnings'!#REF!</definedName>
    <definedName name="_123Grah_b1" localSheetId="8" hidden="1">#REF!</definedName>
    <definedName name="_123Grah_b1" localSheetId="11" hidden="1">#REF!</definedName>
    <definedName name="_123Grah_b1" localSheetId="17" hidden="1">#REF!</definedName>
    <definedName name="_123Grah_b1" localSheetId="19" hidden="1">#REF!</definedName>
    <definedName name="_123Grah_b1" localSheetId="28" hidden="1">#REF!</definedName>
    <definedName name="_123Grah_b1" localSheetId="29" hidden="1">#REF!</definedName>
    <definedName name="_123Grah_b1" localSheetId="20" hidden="1">#REF!</definedName>
    <definedName name="_123Grah_b1" localSheetId="26" hidden="1">#REF!</definedName>
    <definedName name="_123Grah_b1" localSheetId="27" hidden="1">#REF!</definedName>
    <definedName name="_123Grah_b1" localSheetId="33" hidden="1">#REF!</definedName>
    <definedName name="_123Grah_b1" localSheetId="34" hidden="1">#REF!</definedName>
    <definedName name="_123Grah_b1" localSheetId="35" hidden="1">#REF!</definedName>
    <definedName name="_123Grah_b1" localSheetId="37" hidden="1">#REF!</definedName>
    <definedName name="_123Grah_b1" localSheetId="44" hidden="1">#REF!</definedName>
    <definedName name="_123Grah_b1" hidden="1">#REF!</definedName>
    <definedName name="_bdm.FastTrackBookmark.10_4_2004_9_40_31_AM.edm" hidden="1">'[3]Adjusted Exp &amp; Rate Base'!#REF!</definedName>
    <definedName name="_bdm.FastTrackBookmark.9_15_2004_3_08_01_PM.edm" hidden="1">'[4]Stmt H'!#REF!</definedName>
    <definedName name="_bdm.FastTrackBookmark.9_15_2004_3_17_28_PM.edm" hidden="1">'[5]WACC &amp; IT'!#REF!</definedName>
    <definedName name="_bdm.FastTrackBookmark.9_15_2004_4_15_33_PM.edm" hidden="1">'[4]Stmt H'!#REF!</definedName>
    <definedName name="_Fill" localSheetId="8" hidden="1">#REF!</definedName>
    <definedName name="_Fill" localSheetId="11" hidden="1">#REF!</definedName>
    <definedName name="_Fill" localSheetId="17" hidden="1">#REF!</definedName>
    <definedName name="_Fill" localSheetId="19" hidden="1">#REF!</definedName>
    <definedName name="_Fill" localSheetId="28" hidden="1">#REF!</definedName>
    <definedName name="_Fill" localSheetId="29" hidden="1">#REF!</definedName>
    <definedName name="_Fill" localSheetId="20" hidden="1">#REF!</definedName>
    <definedName name="_Fill" localSheetId="26" hidden="1">#REF!</definedName>
    <definedName name="_Fill" localSheetId="27" hidden="1">#REF!</definedName>
    <definedName name="_Fill" localSheetId="33" hidden="1">#REF!</definedName>
    <definedName name="_Fill" localSheetId="34" hidden="1">#REF!</definedName>
    <definedName name="_Fill" localSheetId="35" hidden="1">#REF!</definedName>
    <definedName name="_Fill" localSheetId="37" hidden="1">#REF!</definedName>
    <definedName name="_Fill" localSheetId="44" hidden="1">#REF!</definedName>
    <definedName name="_Fill" hidden="1">#REF!</definedName>
    <definedName name="_Key1" hidden="1">#REF!</definedName>
    <definedName name="_ME" localSheetId="8" hidden="1">#REF!</definedName>
    <definedName name="_ME" localSheetId="11" hidden="1">#REF!</definedName>
    <definedName name="_ME" localSheetId="19" hidden="1">#REF!</definedName>
    <definedName name="_ME" localSheetId="28" hidden="1">#REF!</definedName>
    <definedName name="_ME" localSheetId="29" hidden="1">#REF!</definedName>
    <definedName name="_ME" localSheetId="20" hidden="1">#REF!</definedName>
    <definedName name="_ME" localSheetId="22" hidden="1">#REF!</definedName>
    <definedName name="_ME" localSheetId="26" hidden="1">#REF!</definedName>
    <definedName name="_ME" localSheetId="27" hidden="1">#REF!</definedName>
    <definedName name="_ME" localSheetId="33" hidden="1">#REF!</definedName>
    <definedName name="_ME" localSheetId="34" hidden="1">#REF!</definedName>
    <definedName name="_ME" localSheetId="35" hidden="1">#REF!</definedName>
    <definedName name="_ME" localSheetId="37" hidden="1">#REF!</definedName>
    <definedName name="_ME" localSheetId="44" hidden="1">#REF!</definedName>
    <definedName name="_ME" hidden="1">#REF!</definedName>
    <definedName name="_Order1" hidden="1">255</definedName>
    <definedName name="_Order2" hidden="1">255</definedName>
    <definedName name="_Sort" hidden="1">#REF!</definedName>
    <definedName name="a" hidden="1">'[6]0110'!#REF!</definedName>
    <definedName name="ABC" localSheetId="8" hidden="1">#REF!</definedName>
    <definedName name="ABC" localSheetId="11" hidden="1">#REF!</definedName>
    <definedName name="ABC" localSheetId="17" hidden="1">#REF!</definedName>
    <definedName name="ABC" localSheetId="19" hidden="1">#REF!</definedName>
    <definedName name="ABC" localSheetId="28" hidden="1">#REF!</definedName>
    <definedName name="ABC" localSheetId="29" hidden="1">#REF!</definedName>
    <definedName name="ABC" localSheetId="20" hidden="1">#REF!</definedName>
    <definedName name="ABC" localSheetId="22" hidden="1">#REF!</definedName>
    <definedName name="ABC" localSheetId="26" hidden="1">#REF!</definedName>
    <definedName name="ABC" localSheetId="27" hidden="1">#REF!</definedName>
    <definedName name="ABC" localSheetId="33" hidden="1">#REF!</definedName>
    <definedName name="ABC" localSheetId="34" hidden="1">#REF!</definedName>
    <definedName name="ABC" localSheetId="35" hidden="1">#REF!</definedName>
    <definedName name="ABC" localSheetId="37" hidden="1">#REF!</definedName>
    <definedName name="ABC" localSheetId="44" hidden="1">#REF!</definedName>
    <definedName name="ABC" hidden="1">#REF!</definedName>
    <definedName name="ACwvu.Hedge._.Data._.Sheet." hidden="1">#REF!</definedName>
    <definedName name="ACwvu.Hedge._.Graphs." hidden="1">#REF!</definedName>
    <definedName name="adam" localSheetId="8" hidden="1">#REF!</definedName>
    <definedName name="adam" localSheetId="11" hidden="1">#REF!</definedName>
    <definedName name="adam" localSheetId="17" hidden="1">#REF!</definedName>
    <definedName name="adam" localSheetId="19" hidden="1">#REF!</definedName>
    <definedName name="adam" localSheetId="28" hidden="1">#REF!</definedName>
    <definedName name="adam" localSheetId="29" hidden="1">#REF!</definedName>
    <definedName name="adam" localSheetId="20" hidden="1">#REF!</definedName>
    <definedName name="adam" localSheetId="26" hidden="1">#REF!</definedName>
    <definedName name="adam" localSheetId="27" hidden="1">#REF!</definedName>
    <definedName name="adam" localSheetId="33" hidden="1">#REF!</definedName>
    <definedName name="adam" localSheetId="34" hidden="1">#REF!</definedName>
    <definedName name="adam" localSheetId="35" hidden="1">#REF!</definedName>
    <definedName name="adam" localSheetId="37" hidden="1">#REF!</definedName>
    <definedName name="adam" localSheetId="44" hidden="1">#REF!</definedName>
    <definedName name="adam" hidden="1">#REF!</definedName>
    <definedName name="AS2DocOpenMode" hidden="1">"AS2DocumentBrowse"</definedName>
    <definedName name="Attach">References!$B$4</definedName>
    <definedName name="Company">References!$B$1</definedName>
    <definedName name="COMPRATE">References!$B$7</definedName>
    <definedName name="dsfa" localSheetId="8" hidden="1">#REF!</definedName>
    <definedName name="dsfa" localSheetId="11" hidden="1">#REF!</definedName>
    <definedName name="dsfa" localSheetId="17" hidden="1">#REF!</definedName>
    <definedName name="dsfa" localSheetId="19" hidden="1">#REF!</definedName>
    <definedName name="dsfa" localSheetId="28" hidden="1">#REF!</definedName>
    <definedName name="dsfa" localSheetId="29" hidden="1">#REF!</definedName>
    <definedName name="dsfa" localSheetId="20" hidden="1">#REF!</definedName>
    <definedName name="dsfa" localSheetId="22" hidden="1">#REF!</definedName>
    <definedName name="dsfa" localSheetId="26" hidden="1">#REF!</definedName>
    <definedName name="dsfa" localSheetId="27" hidden="1">#REF!</definedName>
    <definedName name="dsfa" localSheetId="33" hidden="1">#REF!</definedName>
    <definedName name="dsfa" localSheetId="34" hidden="1">#REF!</definedName>
    <definedName name="dsfa" localSheetId="35" hidden="1">#REF!</definedName>
    <definedName name="dsfa" localSheetId="37" hidden="1">#REF!</definedName>
    <definedName name="dsfa" localSheetId="44" hidden="1">#REF!</definedName>
    <definedName name="dsfa" hidden="1">#REF!</definedName>
    <definedName name="dsfa." localSheetId="8" hidden="1">#REF!</definedName>
    <definedName name="dsfa." localSheetId="11" hidden="1">#REF!</definedName>
    <definedName name="dsfa." localSheetId="17" hidden="1">#REF!</definedName>
    <definedName name="dsfa." localSheetId="19" hidden="1">#REF!</definedName>
    <definedName name="dsfa." localSheetId="28" hidden="1">#REF!</definedName>
    <definedName name="dsfa." localSheetId="29" hidden="1">#REF!</definedName>
    <definedName name="dsfa." localSheetId="20" hidden="1">#REF!</definedName>
    <definedName name="dsfa." localSheetId="26" hidden="1">#REF!</definedName>
    <definedName name="dsfa." localSheetId="27" hidden="1">#REF!</definedName>
    <definedName name="dsfa." localSheetId="33" hidden="1">#REF!</definedName>
    <definedName name="dsfa." localSheetId="34" hidden="1">#REF!</definedName>
    <definedName name="dsfa." localSheetId="35" hidden="1">#REF!</definedName>
    <definedName name="dsfa." localSheetId="37" hidden="1">#REF!</definedName>
    <definedName name="dsfa." localSheetId="44" hidden="1">#REF!</definedName>
    <definedName name="dsfa." hidden="1">#REF!</definedName>
    <definedName name="FITRATE">References!$B$5</definedName>
    <definedName name="Jurisdictional">References!$B$8</definedName>
    <definedName name="ME" localSheetId="8" hidden="1">#REF!</definedName>
    <definedName name="ME" localSheetId="11" hidden="1">#REF!</definedName>
    <definedName name="ME" localSheetId="17" hidden="1">#REF!</definedName>
    <definedName name="ME" localSheetId="19" hidden="1">#REF!</definedName>
    <definedName name="ME" localSheetId="28" hidden="1">#REF!</definedName>
    <definedName name="ME" localSheetId="29" hidden="1">#REF!</definedName>
    <definedName name="ME" localSheetId="20" hidden="1">#REF!</definedName>
    <definedName name="ME" localSheetId="26" hidden="1">#REF!</definedName>
    <definedName name="ME" localSheetId="27" hidden="1">#REF!</definedName>
    <definedName name="ME" localSheetId="33" hidden="1">#REF!</definedName>
    <definedName name="ME" localSheetId="34" hidden="1">#REF!</definedName>
    <definedName name="ME" localSheetId="35" hidden="1">#REF!</definedName>
    <definedName name="ME" localSheetId="37" hidden="1">#REF!</definedName>
    <definedName name="ME" localSheetId="44" hidden="1">#REF!</definedName>
    <definedName name="ME" hidden="1">#REF!</definedName>
    <definedName name="ME." localSheetId="8" hidden="1">#REF!</definedName>
    <definedName name="ME." localSheetId="11" hidden="1">#REF!</definedName>
    <definedName name="ME." localSheetId="19" hidden="1">#REF!</definedName>
    <definedName name="ME." localSheetId="28" hidden="1">#REF!</definedName>
    <definedName name="ME." localSheetId="29" hidden="1">#REF!</definedName>
    <definedName name="ME." localSheetId="20" hidden="1">#REF!</definedName>
    <definedName name="ME." localSheetId="26" hidden="1">#REF!</definedName>
    <definedName name="ME." localSheetId="27" hidden="1">#REF!</definedName>
    <definedName name="ME." localSheetId="33" hidden="1">#REF!</definedName>
    <definedName name="ME." localSheetId="34" hidden="1">#REF!</definedName>
    <definedName name="ME." localSheetId="35" hidden="1">#REF!</definedName>
    <definedName name="ME." localSheetId="37" hidden="1">#REF!</definedName>
    <definedName name="ME." localSheetId="44" hidden="1">#REF!</definedName>
    <definedName name="ME." hidden="1">#REF!</definedName>
    <definedName name="NCOPY">'Stmt N'!$K$9:$K$354</definedName>
    <definedName name="_xlnm.Print_Area" localSheetId="46">'MCC Testimony Table'!$A$1:$F$19</definedName>
    <definedName name="_xlnm.Print_Area" localSheetId="1">References!$A$1:$B$1</definedName>
    <definedName name="_xlnm.Print_Area" localSheetId="7">'Sched D-1'!$A$1:$O$84</definedName>
    <definedName name="_xlnm.Print_Area" localSheetId="8">'Sched D-2'!$A$1:$G$69</definedName>
    <definedName name="_xlnm.Print_Area" localSheetId="9">'Sched D-3'!$A$1:$E$84</definedName>
    <definedName name="_xlnm.Print_Area" localSheetId="11">'Sched E-1'!$A$1:$K$91</definedName>
    <definedName name="_xlnm.Print_Area" localSheetId="13">'Sched F-1'!$A$1:$F$27</definedName>
    <definedName name="_xlnm.Print_Area" localSheetId="14">'Sched F-2 Pg 1'!$A$1:$I$31</definedName>
    <definedName name="_xlnm.Print_Area" localSheetId="15">'Sched F-2 Pg 2'!$A$1:$I$34</definedName>
    <definedName name="_xlnm.Print_Area" localSheetId="17">'Sched G-1'!$A$1:$N$63</definedName>
    <definedName name="_xlnm.Print_Area" localSheetId="19">'Sched H-1'!$A$1:$K$34</definedName>
    <definedName name="_xlnm.Print_Area" localSheetId="28">'Sched H-10'!$A$1:$J$11</definedName>
    <definedName name="_xlnm.Print_Area" localSheetId="29">'Sched H-11'!$A$1:$I$16</definedName>
    <definedName name="_xlnm.Print_Area" localSheetId="30">'Sched H-12'!$A$1:$G$81</definedName>
    <definedName name="_xlnm.Print_Area" localSheetId="20">'Sched H-2'!$A$1:$K$48</definedName>
    <definedName name="_xlnm.Print_Area" localSheetId="21">'Sched H-3'!$A$1:$H$25</definedName>
    <definedName name="_xlnm.Print_Area" localSheetId="22">'Sched H-4'!$A$1:$J$141</definedName>
    <definedName name="_xlnm.Print_Area" localSheetId="23">'Sched H-5'!$A$1:$F$23</definedName>
    <definedName name="_xlnm.Print_Area" localSheetId="24">'Sched H-6'!$A$1:$AC$96</definedName>
    <definedName name="_xlnm.Print_Area" localSheetId="25">'Sched H-7'!$A$1:$F$29</definedName>
    <definedName name="_xlnm.Print_Area" localSheetId="26">'Sched H-8'!$A$1:$J$11</definedName>
    <definedName name="_xlnm.Print_Area" localSheetId="27">'Sched H-9'!$A$1:$H$14</definedName>
    <definedName name="_xlnm.Print_Area" localSheetId="32">'Sched I-1'!$A$1:$J$33</definedName>
    <definedName name="_xlnm.Print_Area" localSheetId="33">'Sched I-2'!$A$1:$F$32</definedName>
    <definedName name="_xlnm.Print_Area" localSheetId="34">'Sched I-2 Pg 2'!$A$1:$O$53</definedName>
    <definedName name="_xlnm.Print_Area" localSheetId="35">'Sched I-3'!$A$1:$E$15</definedName>
    <definedName name="_xlnm.Print_Area" localSheetId="37">'Sched J-1'!$A$1:$M$98</definedName>
    <definedName name="_xlnm.Print_Area" localSheetId="40">'Sched L-1'!$A$1:$G$35</definedName>
    <definedName name="_xlnm.Print_Area" localSheetId="42">'Sched M-1'!$A$1:$K$75</definedName>
    <definedName name="_xlnm.Print_Area" localSheetId="43">'Sched M-2'!$A$1:$O$96</definedName>
    <definedName name="_xlnm.Print_Area" localSheetId="44">'Sched M-3'!$A$1:$O$22</definedName>
    <definedName name="_xlnm.Print_Area" localSheetId="48">'Sched Validation'!$A$1:$G$1</definedName>
    <definedName name="_xlnm.Print_Area" localSheetId="2">'Stmt A pg 1'!$A$1:$F$58</definedName>
    <definedName name="_xlnm.Print_Area" localSheetId="3">'Stmt A pg 2'!$A$1:$F$50</definedName>
    <definedName name="_xlnm.Print_Area" localSheetId="4">'Stmt B'!$A$1:$F$40</definedName>
    <definedName name="_xlnm.Print_Area" localSheetId="5">'Stmt C'!$A$1:$F$13</definedName>
    <definedName name="_xlnm.Print_Area" localSheetId="6">'Stmt D'!$A$1:$N$33</definedName>
    <definedName name="_xlnm.Print_Area" localSheetId="10">'Stmt E'!$A$1:$J$43</definedName>
    <definedName name="_xlnm.Print_Area" localSheetId="12">'Stmt F'!$A$1:$L$21</definedName>
    <definedName name="_xlnm.Print_Area" localSheetId="16">'Stmt G '!$A$1:$G$30</definedName>
    <definedName name="_xlnm.Print_Area" localSheetId="18">'Stmt H'!$A$1:$U$174</definedName>
    <definedName name="_xlnm.Print_Area" localSheetId="31">'Stmt I '!$A$1:$T$35</definedName>
    <definedName name="_xlnm.Print_Area" localSheetId="36">'Stmt J'!$A$1:$M$39</definedName>
    <definedName name="_xlnm.Print_Area" localSheetId="38">'Stmt K'!$A$1:$I$85</definedName>
    <definedName name="_xlnm.Print_Area" localSheetId="39">'Stmt L'!$A$1:$G$56</definedName>
    <definedName name="_xlnm.Print_Area" localSheetId="41">'Stmt M'!$A$1:$Q$77</definedName>
    <definedName name="_xlnm.Print_Area" localSheetId="45">'Stmt N'!$A$1:$O$356</definedName>
    <definedName name="_xlnm.Print_Titles" localSheetId="7">'Sched D-1'!$A:$C,'Sched D-1'!$1:$8</definedName>
    <definedName name="_xlnm.Print_Titles" localSheetId="8">'Sched D-2'!$A:$C,'Sched D-2'!$1:$7</definedName>
    <definedName name="_xlnm.Print_Titles" localSheetId="22">'Sched H-4'!$A:$B,'Sched H-4'!$1:$9</definedName>
    <definedName name="_xlnm.Print_Titles" localSheetId="24">'Sched H-6'!$A:$D,'Sched H-6'!$1:$9</definedName>
    <definedName name="_xlnm.Print_Titles" localSheetId="37">'Sched J-1'!$A:$C,'Sched J-1'!$1:$8</definedName>
    <definedName name="_xlnm.Print_Titles" localSheetId="42">'Sched M-1'!$1:$9</definedName>
    <definedName name="_xlnm.Print_Titles" localSheetId="43">'Sched M-2'!$A:$B,'Sched M-2'!$1:$7</definedName>
    <definedName name="_xlnm.Print_Titles" localSheetId="18">'Stmt H'!$A:$D,'Stmt H'!$1:$9</definedName>
    <definedName name="_xlnm.Print_Titles" localSheetId="45">'Stmt N'!$A:$E,'Stmt N'!$1:$6</definedName>
    <definedName name="s" hidden="1">'[6]0110'!#REF!</definedName>
    <definedName name="SAPBEXhrIndnt" hidden="1">"Wide"</definedName>
    <definedName name="SAPsysID" hidden="1">"708C5W7SBKP804JT78WJ0JNKI"</definedName>
    <definedName name="SAPwbID" hidden="1">"ARS"</definedName>
    <definedName name="STRATE">References!$B$6</definedName>
    <definedName name="Swvu.Hedge._.Data._.Sheet." hidden="1">#REF!</definedName>
    <definedName name="Swvu.Hedge._.Graphs." hidden="1">#REF!</definedName>
    <definedName name="test" localSheetId="11"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 localSheetId="17"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 localSheetId="22"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 localSheetId="45"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 localSheetId="0"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c" localSheetId="11"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c" localSheetId="17"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c" localSheetId="22"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c" localSheetId="45"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c" localSheetId="0" hidden="1">{#N/A,#N/A,TRUE,"Group Profit and Loss";#N/A,#N/A,TRUE,"Group Balance Sheet";#N/A,#N/A,TRUE,"Group Sales";#N/A,#N/A,TRUE,"Group Overheads";#N/A,#N/A,TRUE,"GROUP - CHANNEL SALES";#N/A,#N/A,TRUE,"GROUP - TOP 15";#N/A,#N/A,TRUE,"GROUP - DEBTORS";#N/A,#N/A,TRUE,"GROUP - KEY STATISTICS";#N/A,#N/A,TRUE,"GROUP - CAPEX";#N/A,#N/A,TRUE,"GROUP - CASHFLOW"}</definedName>
    <definedName name="testc" hidden="1">{#N/A,#N/A,TRUE,"Group Profit and Loss";#N/A,#N/A,TRUE,"Group Balance Sheet";#N/A,#N/A,TRUE,"Group Sales";#N/A,#N/A,TRUE,"Group Overheads";#N/A,#N/A,TRUE,"GROUP - CHANNEL SALES";#N/A,#N/A,TRUE,"GROUP - TOP 15";#N/A,#N/A,TRUE,"GROUP - DEBTORS";#N/A,#N/A,TRUE,"GROUP - KEY STATISTICS";#N/A,#N/A,TRUE,"GROUP - CAPEX";#N/A,#N/A,TRUE,"GROUP - CASHFLOW"}</definedName>
    <definedName name="ttqtrqtggdsata" localSheetId="11" hidden="1">{"LCIIRECON",#N/A,FALSE,"LCII";"LCISRECON",#N/A,FALSE,"LCIS";"LCIMRECON",#N/A,FALSE,"LCIM";"LCITRECON",#N/A,FALSE,"LCIT";"CONSM1",#N/A,FALSE,"94FED"}</definedName>
    <definedName name="ttqtrqtggdsata" localSheetId="17" hidden="1">{"LCIIRECON",#N/A,FALSE,"LCII";"LCISRECON",#N/A,FALSE,"LCIS";"LCIMRECON",#N/A,FALSE,"LCIM";"LCITRECON",#N/A,FALSE,"LCIT";"CONSM1",#N/A,FALSE,"94FED"}</definedName>
    <definedName name="ttqtrqtggdsata" localSheetId="22" hidden="1">{"LCIIRECON",#N/A,FALSE,"LCII";"LCISRECON",#N/A,FALSE,"LCIS";"LCIMRECON",#N/A,FALSE,"LCIM";"LCITRECON",#N/A,FALSE,"LCIT";"CONSM1",#N/A,FALSE,"94FED"}</definedName>
    <definedName name="ttqtrqtggdsata" localSheetId="45" hidden="1">{"LCIIRECON",#N/A,FALSE,"LCII";"LCISRECON",#N/A,FALSE,"LCIS";"LCIMRECON",#N/A,FALSE,"LCIM";"LCITRECON",#N/A,FALSE,"LCIT";"CONSM1",#N/A,FALSE,"94FED"}</definedName>
    <definedName name="ttqtrqtggdsata" localSheetId="0" hidden="1">{"LCIIRECON",#N/A,FALSE,"LCII";"LCISRECON",#N/A,FALSE,"LCIS";"LCIMRECON",#N/A,FALSE,"LCIM";"LCITRECON",#N/A,FALSE,"LCIT";"CONSM1",#N/A,FALSE,"94FED"}</definedName>
    <definedName name="ttqtrqtggdsata" hidden="1">{"LCIIRECON",#N/A,FALSE,"LCII";"LCISRECON",#N/A,FALSE,"LCIS";"LCIMRECON",#N/A,FALSE,"LCIM";"LCITRECON",#N/A,FALSE,"LCIT";"CONSM1",#N/A,FALSE,"94FED"}</definedName>
    <definedName name="tttt" localSheetId="11" hidden="1">{#N/A,#N/A,TRUE,"Group Profit and Loss";#N/A,#N/A,TRUE,"Group Balance Sheet";#N/A,#N/A,TRUE,"Group Sales";#N/A,#N/A,TRUE,"Group Overheads";#N/A,#N/A,TRUE,"GROUP - CHANNEL SALES";#N/A,#N/A,TRUE,"GROUP - TOP 15";#N/A,#N/A,TRUE,"GROUP - DEBTORS";#N/A,#N/A,TRUE,"GROUP - KEY STATISTICS";#N/A,#N/A,TRUE,"GROUP - CAPEX";#N/A,#N/A,TRUE,"GROUP - CASHFLOW"}</definedName>
    <definedName name="tttt" localSheetId="17" hidden="1">{#N/A,#N/A,TRUE,"Group Profit and Loss";#N/A,#N/A,TRUE,"Group Balance Sheet";#N/A,#N/A,TRUE,"Group Sales";#N/A,#N/A,TRUE,"Group Overheads";#N/A,#N/A,TRUE,"GROUP - CHANNEL SALES";#N/A,#N/A,TRUE,"GROUP - TOP 15";#N/A,#N/A,TRUE,"GROUP - DEBTORS";#N/A,#N/A,TRUE,"GROUP - KEY STATISTICS";#N/A,#N/A,TRUE,"GROUP - CAPEX";#N/A,#N/A,TRUE,"GROUP - CASHFLOW"}</definedName>
    <definedName name="tttt" localSheetId="22" hidden="1">{#N/A,#N/A,TRUE,"Group Profit and Loss";#N/A,#N/A,TRUE,"Group Balance Sheet";#N/A,#N/A,TRUE,"Group Sales";#N/A,#N/A,TRUE,"Group Overheads";#N/A,#N/A,TRUE,"GROUP - CHANNEL SALES";#N/A,#N/A,TRUE,"GROUP - TOP 15";#N/A,#N/A,TRUE,"GROUP - DEBTORS";#N/A,#N/A,TRUE,"GROUP - KEY STATISTICS";#N/A,#N/A,TRUE,"GROUP - CAPEX";#N/A,#N/A,TRUE,"GROUP - CASHFLOW"}</definedName>
    <definedName name="tttt" localSheetId="45" hidden="1">{#N/A,#N/A,TRUE,"Group Profit and Loss";#N/A,#N/A,TRUE,"Group Balance Sheet";#N/A,#N/A,TRUE,"Group Sales";#N/A,#N/A,TRUE,"Group Overheads";#N/A,#N/A,TRUE,"GROUP - CHANNEL SALES";#N/A,#N/A,TRUE,"GROUP - TOP 15";#N/A,#N/A,TRUE,"GROUP - DEBTORS";#N/A,#N/A,TRUE,"GROUP - KEY STATISTICS";#N/A,#N/A,TRUE,"GROUP - CAPEX";#N/A,#N/A,TRUE,"GROUP - CASHFLOW"}</definedName>
    <definedName name="tttt" localSheetId="0" hidden="1">{#N/A,#N/A,TRUE,"Group Profit and Loss";#N/A,#N/A,TRUE,"Group Balance Sheet";#N/A,#N/A,TRUE,"Group Sales";#N/A,#N/A,TRUE,"Group Overheads";#N/A,#N/A,TRUE,"GROUP - CHANNEL SALES";#N/A,#N/A,TRUE,"GROUP - TOP 15";#N/A,#N/A,TRUE,"GROUP - DEBTORS";#N/A,#N/A,TRUE,"GROUP - KEY STATISTICS";#N/A,#N/A,TRUE,"GROUP - CAPEX";#N/A,#N/A,TRUE,"GROUP - CASHFLOW"}</definedName>
    <definedName name="tttt" hidden="1">{#N/A,#N/A,TRUE,"Group Profit and Loss";#N/A,#N/A,TRUE,"Group Balance Sheet";#N/A,#N/A,TRUE,"Group Sales";#N/A,#N/A,TRUE,"Group Overheads";#N/A,#N/A,TRUE,"GROUP - CHANNEL SALES";#N/A,#N/A,TRUE,"GROUP - TOP 15";#N/A,#N/A,TRUE,"GROUP - DEBTORS";#N/A,#N/A,TRUE,"GROUP - KEY STATISTICS";#N/A,#N/A,TRUE,"GROUP - CAPEX";#N/A,#N/A,TRUE,"GROUP - CASHFLOW"}</definedName>
    <definedName name="TYEnded">References!$B$3</definedName>
    <definedName name="wrn.Actuals." hidden="1">{"GasDistAct",#N/A,FALSE,"Actual";"ElectDist to ElecTransAct",#N/A,FALSE,"Actual";"SGuard to CompEnergyAct",#N/A,FALSE,"Actual";"NonRegAct",#N/A,FALSE,"Actual";"ENA to TotalAct",#N/A,FALSE,"Actual";"GenCoAct",#N/A,FALSE,"Actual"}</definedName>
    <definedName name="wrn.All." hidden="1">{"SumVar",#N/A,FALSE,"Variance";"SumAct",#N/A,FALSE,"Actual";"SumBud",#N/A,FALSE,"Budget";"GasDistVar",#N/A,FALSE,"Variance";"GasDistAct",#N/A,FALSE,"Actual";"GasDistBud",#N/A,FALSE,"Budget";"ElecDist to ElecTransVar",#N/A,FALSE,"Variance";"ElectDist to ElecTransAct",#N/A,FALSE,"Actual";"ElecDist to ElecTransBud",#N/A,FALSE,"Budget";"SGuard to CompEnergyVar",#N/A,FALSE,"Variance";"SGuard to CompEnergyAct",#N/A,FALSE,"Actual";"SGuard to CompEnergyBud",#N/A,FALSE,"Budget";"NonRegVar",#N/A,FALSE,"Variance";"NonRegAct",#N/A,FALSE,"Actual";"NonRegBud",#N/A,FALSE,"Budget";"ENA to TotalVAR",#N/A,FALSE,"Variance";"ENA to TotalAct",#N/A,FALSE,"Actual";"ENA to TotalBud",#N/A,FALSE,"Budget";"GenCoVar",#N/A,FALSE,"Variance";"GenCoAct",#N/A,FALSE,"Actual";"GenCoBud",#N/A,FALSE,"Budget"}</definedName>
    <definedName name="wrn.Budget." hidden="1">{"GasDistBud",#N/A,FALSE,"Budget";"ElecDist to ElecTransBud",#N/A,FALSE,"Budget";"SGuard to CompEnergyBud",#N/A,FALSE,"Budget";"NonRegBud",#N/A,FALSE,"Budget";"ENA to TotalBud",#N/A,FALSE,"Budget";"GenCoBud",#N/A,FALSE,"Budget"}</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DDC._.Compare." hidden="1">{"DDC Comparisons",#N/A,FALSE,"99 Summer Weather Hedge"}</definedName>
    <definedName name="wrn.Group." localSheetId="11"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 localSheetId="17"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 localSheetId="22"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 localSheetId="45"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 localSheetId="0"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1" localSheetId="11"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1" localSheetId="17"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1" localSheetId="22"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1" localSheetId="45"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1" localSheetId="0"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group1" hidden="1">{#N/A,#N/A,TRUE,"Group Profit and Loss";#N/A,#N/A,TRUE,"Group Balance Sheet";#N/A,#N/A,TRUE,"Group Sales";#N/A,#N/A,TRUE,"Group Overheads";#N/A,#N/A,TRUE,"GROUP - CHANNEL SALES";#N/A,#N/A,TRUE,"GROUP - TOP 15";#N/A,#N/A,TRUE,"GROUP - DEBTORS";#N/A,#N/A,TRUE,"GROUP - KEY STATISTICS";#N/A,#N/A,TRUE,"GROUP - CAPEX";#N/A,#N/A,TRUE,"GROUP - CASHFLOW"}</definedName>
    <definedName name="wrn.Hedge._.Data._.Sheet." hidden="1">{"Hedge Data Sheet",#N/A,FALSE,"99 Summer Weather Hedge"}</definedName>
    <definedName name="wrn.Hedge._.Graphs." hidden="1">{"Hedge Graphs",#N/A,FALSE,"99 Summer Weather Hedge"}</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wrn.September._.Graphs." hidden="1">{"Sept Graphs",#N/A,FALSE,"Sept 99"}</definedName>
    <definedName name="wrn.Summary." hidden="1">{"SumVar",#N/A,FALSE,"Variance";"SumAct",#N/A,FALSE,"Actual";"SumBud",#N/A,FALSE,"Budget"}</definedName>
    <definedName name="wrn.TAXABLE._.INCOME." localSheetId="11" hidden="1">{"LCIIRECON",#N/A,FALSE,"LCII";"LCISRECON",#N/A,FALSE,"LCIS";"LCIMRECON",#N/A,FALSE,"LCIM";"LCITRECON",#N/A,FALSE,"LCIT";"CONSM1",#N/A,FALSE,"94FED"}</definedName>
    <definedName name="wrn.TAXABLE._.INCOME." localSheetId="17" hidden="1">{"LCIIRECON",#N/A,FALSE,"LCII";"LCISRECON",#N/A,FALSE,"LCIS";"LCIMRECON",#N/A,FALSE,"LCIM";"LCITRECON",#N/A,FALSE,"LCIT";"CONSM1",#N/A,FALSE,"94FED"}</definedName>
    <definedName name="wrn.TAXABLE._.INCOME." localSheetId="22" hidden="1">{"LCIIRECON",#N/A,FALSE,"LCII";"LCISRECON",#N/A,FALSE,"LCIS";"LCIMRECON",#N/A,FALSE,"LCIM";"LCITRECON",#N/A,FALSE,"LCIT";"CONSM1",#N/A,FALSE,"94FED"}</definedName>
    <definedName name="wrn.TAXABLE._.INCOME." localSheetId="45" hidden="1">{"LCIIRECON",#N/A,FALSE,"LCII";"LCISRECON",#N/A,FALSE,"LCIS";"LCIMRECON",#N/A,FALSE,"LCIM";"LCITRECON",#N/A,FALSE,"LCIT";"CONSM1",#N/A,FALSE,"94FED"}</definedName>
    <definedName name="wrn.TAXABLE._.INCOME." localSheetId="0" hidden="1">{"LCIIRECON",#N/A,FALSE,"LCII";"LCISRECON",#N/A,FALSE,"LCIS";"LCIMRECON",#N/A,FALSE,"LCIM";"LCITRECON",#N/A,FALSE,"LCIT";"CONSM1",#N/A,FALSE,"94FED"}</definedName>
    <definedName name="wrn.TAXABLE._.INCOME." hidden="1">{"LCIIRECON",#N/A,FALSE,"LCII";"LCISRECON",#N/A,FALSE,"LCIS";"LCIMRECON",#N/A,FALSE,"LCIM";"LCITRECON",#N/A,FALSE,"LCIT";"CONSM1",#N/A,FALSE,"94FED"}</definedName>
    <definedName name="wrn.UEG._.Operating._.Report." hidden="1">{#N/A,#N/A,FALSE,"UEG Cover";#N/A,#N/A,FALSE,"UEG Summary";#N/A,#N/A,FALSE,"UPS Cover";#N/A,#N/A,FALSE,"REGULATED_POWER";#N/A,#N/A,FALSE,"REG_VAR_YTD";#N/A,#N/A,FALSE,"UCG";#N/A,#N/A,FALSE,"UCG_VAR_YTD";#N/A,#N/A,FALSE,"O&amp;M_DETAIL";#N/A,#N/A,FALSE,"UPS HEADCOUNT";#N/A,#N/A,FALSE,"UPS CAPITAL";#N/A,#N/A,FALSE,"UPS FLEX PLAN";#N/A,#N/A,FALSE,"UER Cover";#N/A,#N/A,FALSE,"AEC EBIT-EVA Month";#N/A,#N/A,FALSE,"AEC EBIT-EVA Y-T-D";#N/A,#N/A,FALSE,"AEM-TG EBIT-EVA Month";#N/A,#N/A,FALSE,"APC-PT EBIT-EVA Month ";#N/A,#N/A,FALSE,"AEM-Term EBIT-EVA Month ";#N/A,#N/A,FALSE,"APC-Term EBIT-EVA Month";#N/A,#N/A,FALSE,"AEM O&amp;M Detail";#N/A,#N/A,FALSE,"AQP Cover";#N/A,#N/A,FALSE,"AQP EBIT-EVA Month";#N/A,#N/A,FALSE,"AQP EBIT-EVA Y-T-D";#N/A,#N/A,FALSE,"AQP O&amp;M Detail";#N/A,#N/A,FALSE,"Operating Stats-UER";#N/A,#N/A,FALSE,"Headcount";#N/A,#N/A,FALSE,"GSS Cover";#N/A,#N/A,FALSE,"GSS EBIT-EVA Month";#N/A,#N/A,FALSE,"GSS EBIT-EVA Variance";#N/A,#N/A,FALSE,"GSS O&amp;M Detail - P&amp;L";#N/A,#N/A,FALSE,"GSS O&amp;M Variance";#N/A,#N/A,FALSE,"UES Cover";#N/A,#N/A,FALSE,"UES Total";#N/A,#N/A,FALSE,"Monthly UES by SBU";#N/A,#N/A,FALSE,"YTD UES by SBU";#N/A,#N/A,FALSE,"IndustEBIT";#N/A,#N/A,FALSE,"Com'l EBIT ";#N/A,#N/A,FALSE,"UEM EBIT"}</definedName>
    <definedName name="wrn.UK." localSheetId="11" hidden="1">{#N/A,#N/A,TRUE,"UK Profit and Loss";#N/A,#N/A,TRUE,"UK Balance Sheet";#N/A,#N/A,TRUE,"UK Sales";#N/A,#N/A,TRUE,"UK  Overheads";#N/A,#N/A,TRUE,"UK - CHANNEL SALES";#N/A,#N/A,TRUE,"UK - TOP 15";#N/A,#N/A,TRUE,"UK - DEBTORS";#N/A,#N/A,TRUE,"UK - KEY STATS";#N/A,#N/A,TRUE,"UK - CAPEX";#N/A,#N/A,TRUE,"UK - CASHFLOW"}</definedName>
    <definedName name="wrn.UK." localSheetId="17" hidden="1">{#N/A,#N/A,TRUE,"UK Profit and Loss";#N/A,#N/A,TRUE,"UK Balance Sheet";#N/A,#N/A,TRUE,"UK Sales";#N/A,#N/A,TRUE,"UK  Overheads";#N/A,#N/A,TRUE,"UK - CHANNEL SALES";#N/A,#N/A,TRUE,"UK - TOP 15";#N/A,#N/A,TRUE,"UK - DEBTORS";#N/A,#N/A,TRUE,"UK - KEY STATS";#N/A,#N/A,TRUE,"UK - CAPEX";#N/A,#N/A,TRUE,"UK - CASHFLOW"}</definedName>
    <definedName name="wrn.UK." localSheetId="22" hidden="1">{#N/A,#N/A,TRUE,"UK Profit and Loss";#N/A,#N/A,TRUE,"UK Balance Sheet";#N/A,#N/A,TRUE,"UK Sales";#N/A,#N/A,TRUE,"UK  Overheads";#N/A,#N/A,TRUE,"UK - CHANNEL SALES";#N/A,#N/A,TRUE,"UK - TOP 15";#N/A,#N/A,TRUE,"UK - DEBTORS";#N/A,#N/A,TRUE,"UK - KEY STATS";#N/A,#N/A,TRUE,"UK - CAPEX";#N/A,#N/A,TRUE,"UK - CASHFLOW"}</definedName>
    <definedName name="wrn.UK." localSheetId="45" hidden="1">{#N/A,#N/A,TRUE,"UK Profit and Loss";#N/A,#N/A,TRUE,"UK Balance Sheet";#N/A,#N/A,TRUE,"UK Sales";#N/A,#N/A,TRUE,"UK  Overheads";#N/A,#N/A,TRUE,"UK - CHANNEL SALES";#N/A,#N/A,TRUE,"UK - TOP 15";#N/A,#N/A,TRUE,"UK - DEBTORS";#N/A,#N/A,TRUE,"UK - KEY STATS";#N/A,#N/A,TRUE,"UK - CAPEX";#N/A,#N/A,TRUE,"UK - CASHFLOW"}</definedName>
    <definedName name="wrn.UK." localSheetId="0" hidden="1">{#N/A,#N/A,TRUE,"UK Profit and Loss";#N/A,#N/A,TRUE,"UK Balance Sheet";#N/A,#N/A,TRUE,"UK Sales";#N/A,#N/A,TRUE,"UK  Overheads";#N/A,#N/A,TRUE,"UK - CHANNEL SALES";#N/A,#N/A,TRUE,"UK - TOP 15";#N/A,#N/A,TRUE,"UK - DEBTORS";#N/A,#N/A,TRUE,"UK - KEY STATS";#N/A,#N/A,TRUE,"UK - CAPEX";#N/A,#N/A,TRUE,"UK - CASHFLOW"}</definedName>
    <definedName name="wrn.UK." hidden="1">{#N/A,#N/A,TRUE,"UK Profit and Loss";#N/A,#N/A,TRUE,"UK Balance Sheet";#N/A,#N/A,TRUE,"UK Sales";#N/A,#N/A,TRUE,"UK  Overheads";#N/A,#N/A,TRUE,"UK - CHANNEL SALES";#N/A,#N/A,TRUE,"UK - TOP 15";#N/A,#N/A,TRUE,"UK - DEBTORS";#N/A,#N/A,TRUE,"UK - KEY STATS";#N/A,#N/A,TRUE,"UK - CAPEX";#N/A,#N/A,TRUE,"UK - CASHFLOW"}</definedName>
    <definedName name="wrn.USA." localSheetId="11" hidden="1">{#N/A,#N/A,TRUE,"USA Profit and Loss";#N/A,#N/A,TRUE,"USA Balance Sheet";#N/A,#N/A,TRUE,"USA Sales ";#N/A,#N/A,TRUE,"USA  Overheads";#N/A,#N/A,TRUE,"USA - CHANNEL SALES";#N/A,#N/A,TRUE,"USA - TOP 15";#N/A,#N/A,TRUE,"USA - KEY STATS";#N/A,#N/A,TRUE,"USA - DEBTORS";#N/A,#N/A,TRUE,"USA - CAPEX";#N/A,#N/A,TRUE,"USA - CASHFLOW"}</definedName>
    <definedName name="wrn.USA." localSheetId="17" hidden="1">{#N/A,#N/A,TRUE,"USA Profit and Loss";#N/A,#N/A,TRUE,"USA Balance Sheet";#N/A,#N/A,TRUE,"USA Sales ";#N/A,#N/A,TRUE,"USA  Overheads";#N/A,#N/A,TRUE,"USA - CHANNEL SALES";#N/A,#N/A,TRUE,"USA - TOP 15";#N/A,#N/A,TRUE,"USA - KEY STATS";#N/A,#N/A,TRUE,"USA - DEBTORS";#N/A,#N/A,TRUE,"USA - CAPEX";#N/A,#N/A,TRUE,"USA - CASHFLOW"}</definedName>
    <definedName name="wrn.USA." localSheetId="22" hidden="1">{#N/A,#N/A,TRUE,"USA Profit and Loss";#N/A,#N/A,TRUE,"USA Balance Sheet";#N/A,#N/A,TRUE,"USA Sales ";#N/A,#N/A,TRUE,"USA  Overheads";#N/A,#N/A,TRUE,"USA - CHANNEL SALES";#N/A,#N/A,TRUE,"USA - TOP 15";#N/A,#N/A,TRUE,"USA - KEY STATS";#N/A,#N/A,TRUE,"USA - DEBTORS";#N/A,#N/A,TRUE,"USA - CAPEX";#N/A,#N/A,TRUE,"USA - CASHFLOW"}</definedName>
    <definedName name="wrn.USA." localSheetId="45" hidden="1">{#N/A,#N/A,TRUE,"USA Profit and Loss";#N/A,#N/A,TRUE,"USA Balance Sheet";#N/A,#N/A,TRUE,"USA Sales ";#N/A,#N/A,TRUE,"USA  Overheads";#N/A,#N/A,TRUE,"USA - CHANNEL SALES";#N/A,#N/A,TRUE,"USA - TOP 15";#N/A,#N/A,TRUE,"USA - KEY STATS";#N/A,#N/A,TRUE,"USA - DEBTORS";#N/A,#N/A,TRUE,"USA - CAPEX";#N/A,#N/A,TRUE,"USA - CASHFLOW"}</definedName>
    <definedName name="wrn.USA." localSheetId="0" hidden="1">{#N/A,#N/A,TRUE,"USA Profit and Loss";#N/A,#N/A,TRUE,"USA Balance Sheet";#N/A,#N/A,TRUE,"USA Sales ";#N/A,#N/A,TRUE,"USA  Overheads";#N/A,#N/A,TRUE,"USA - CHANNEL SALES";#N/A,#N/A,TRUE,"USA - TOP 15";#N/A,#N/A,TRUE,"USA - KEY STATS";#N/A,#N/A,TRUE,"USA - DEBTORS";#N/A,#N/A,TRUE,"USA - CAPEX";#N/A,#N/A,TRUE,"USA - CASHFLOW"}</definedName>
    <definedName name="wrn.USA." hidden="1">{#N/A,#N/A,TRUE,"USA Profit and Loss";#N/A,#N/A,TRUE,"USA Balance Sheet";#N/A,#N/A,TRUE,"USA Sales ";#N/A,#N/A,TRUE,"USA  Overheads";#N/A,#N/A,TRUE,"USA - CHANNEL SALES";#N/A,#N/A,TRUE,"USA - TOP 15";#N/A,#N/A,TRUE,"USA - KEY STATS";#N/A,#N/A,TRUE,"USA - DEBTORS";#N/A,#N/A,TRUE,"USA - CAPEX";#N/A,#N/A,TRUE,"USA - CASHFLOW"}</definedName>
    <definedName name="wrn.Variance." hidden="1">{"GasDistVar",#N/A,FALSE,"Variance";"ElecDist to ElecTransVar",#N/A,FALSE,"Variance";"SGuard to CompEnergyVar",#N/A,FALSE,"Variance";"NonRegVar",#N/A,FALSE,"Variance";"ENA to TotalVAR",#N/A,FALSE,"Variance";"GenCoVar",#N/A,FALSE,"Variance"}</definedName>
    <definedName name="wvu.Hedge._.Data._.Sheet." hidden="1">{TRUE,TRUE,-2.75,-17,604.5,347.25,FALSE,TRUE,TRUE,TRUE,0,1,#N/A,1,#N/A,11.2777777777778,23.6470588235294,1,FALSE,FALSE,3,TRUE,1,FALSE,100,"Swvu.Hedge._.Data._.Sheet.","ACwvu.Hedge._.Data._.Sheet.",#N/A,FALSE,FALSE,0.25,0.25,0.37,0.26,2,"","&amp;L&amp;F &amp;A&amp;CPage &amp;P&amp;R&amp;D &amp;T",FALSE,FALSE,FALSE,FALSE,1,100,#N/A,#N/A,"=R1C1:R101C13","=R1:R6",#N/A,#N/A,FALSE,FALSE,TRUE,1,#N/A,#N/A,FALSE,FALSE,TRUE,TRUE,TRUE}</definedName>
    <definedName name="wvu.Hedge._.Graphs." hidden="1">{TRUE,TRUE,-2.75,-17,604.5,347.25,FALSE,TRUE,TRUE,TRUE,0,1,#N/A,91,#N/A,11.2777777777778,23.1111111111111,1,FALSE,FALSE,3,TRUE,1,FALSE,100,"Swvu.Hedge._.Graphs.","ACwvu.Hedge._.Graphs.",#N/A,FALSE,FALSE,0.25,0.25,0.37,0.26,2,"","&amp;L&amp;F &amp;A&amp;CPage &amp;P&amp;R&amp;D &amp;T",FALSE,FALSE,FALSE,FALSE,1,100,#N/A,#N/A,"=R102C1:R184C13",FALSE,#N/A,#N/A,FALSE,FALSE,TRUE,1,#N/A,#N/A,FALSE,FALSE,TRUE,TRUE,TRUE}</definedName>
    <definedName name="Z_44EE0A05_4EFE_41CB_A308_ECB28A1B2331_.wvu.Cols" localSheetId="18" hidden="1">'Stmt H'!$F:$U</definedName>
    <definedName name="Z_56AF0E4A_E2B4_4AB2_A8F7_AD31CC0E599B_.wvu.Cols" localSheetId="18" hidden="1">'Stmt H'!$F:$U</definedName>
    <definedName name="Z_61276B2A_F7C8_4D92_B427_B5E4F1266277_.wvu.PrintArea" localSheetId="18" hidden="1">'Stmt H'!$A$5:$U$173</definedName>
    <definedName name="Z_61276B2A_F7C8_4D92_B427_B5E4F1266277_.wvu.PrintTitles" localSheetId="18" hidden="1">'Stmt H'!$A:$E,'Stmt H'!$1:$9</definedName>
    <definedName name="Z_C061D9B0_5E26_4408_8F20_DAEA11395B77_.wvu.PrintArea" localSheetId="18" hidden="1">'Stmt H'!$A$5:$U$173</definedName>
    <definedName name="Z_C061D9B0_5E26_4408_8F20_DAEA11395B77_.wvu.PrintTitles" localSheetId="18" hidden="1">'Stmt H'!$A:$E,'Stmt H'!$1:$9</definedName>
    <definedName name="Z_DB48F69D_052B_4047_AA64_E792A80CC21B_.wvu.PrintArea" localSheetId="18" hidden="1">'Stmt H'!$A$10:$U$173</definedName>
    <definedName name="Z_E908FB67_52A9_46E7_B412_34773E39B416_.wvu.PrintTitles" localSheetId="18" hidden="1">'Stmt H'!$A:$E,'Stmt H'!$8:$9</definedName>
    <definedName name="Z_F104A847_6A74_4026_93C4_D652E1693ACA_.wvu.Cols" localSheetId="18" hidden="1">'Stmt H'!$F:$U</definedName>
    <definedName name="Z_F104A847_6A74_4026_93C4_D652E1693ACA_.wvu.PrintArea" localSheetId="18" hidden="1">'Stmt H'!$U$10:$U$173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292" l="1"/>
  <c r="CW349" i="239"/>
  <c r="CW341" i="239"/>
  <c r="CW340" i="239"/>
  <c r="CW339" i="239"/>
  <c r="CW338" i="239"/>
  <c r="CW337" i="239"/>
  <c r="CW336" i="239"/>
  <c r="CW325" i="239"/>
  <c r="CW324" i="239"/>
  <c r="CW323" i="239"/>
  <c r="CW319" i="239"/>
  <c r="CW345" i="239" s="1"/>
  <c r="CW318" i="239"/>
  <c r="CW321" i="239" s="1"/>
  <c r="CW313" i="239"/>
  <c r="CW331" i="239" s="1"/>
  <c r="CW308" i="239"/>
  <c r="CW310" i="239" s="1"/>
  <c r="CW312" i="239" s="1"/>
  <c r="CW314" i="239" s="1"/>
  <c r="CW301" i="239"/>
  <c r="CW303" i="239" s="1"/>
  <c r="CW306" i="239" s="1"/>
  <c r="CW299" i="239"/>
  <c r="CT341" i="239"/>
  <c r="CT340" i="239"/>
  <c r="CT339" i="239"/>
  <c r="CT337" i="239"/>
  <c r="CT336" i="239"/>
  <c r="CT338" i="239" s="1"/>
  <c r="CT344" i="239" s="1"/>
  <c r="CT331" i="239"/>
  <c r="CT325" i="239"/>
  <c r="CT324" i="239"/>
  <c r="CT323" i="239"/>
  <c r="CT319" i="239"/>
  <c r="CT345" i="239" s="1"/>
  <c r="CT318" i="239"/>
  <c r="CT321" i="239" s="1"/>
  <c r="CT313" i="239"/>
  <c r="CT310" i="239"/>
  <c r="CT308" i="239"/>
  <c r="CT326" i="239" s="1"/>
  <c r="CT342" i="239" s="1"/>
  <c r="CT301" i="239"/>
  <c r="CT303" i="239" s="1"/>
  <c r="CT306" i="239" s="1"/>
  <c r="CT299" i="239"/>
  <c r="CT349" i="239" s="1"/>
  <c r="CQ349" i="239"/>
  <c r="CQ341" i="239"/>
  <c r="CQ340" i="239"/>
  <c r="CQ339" i="239"/>
  <c r="CQ338" i="239"/>
  <c r="CQ337" i="239"/>
  <c r="CQ336" i="239"/>
  <c r="CQ325" i="239"/>
  <c r="CQ324" i="239"/>
  <c r="CQ323" i="239"/>
  <c r="CQ321" i="239"/>
  <c r="CQ319" i="239"/>
  <c r="CQ345" i="239" s="1"/>
  <c r="CQ318" i="239"/>
  <c r="CQ313" i="239"/>
  <c r="CQ331" i="239" s="1"/>
  <c r="CQ308" i="239"/>
  <c r="CQ310" i="239" s="1"/>
  <c r="CQ312" i="239" s="1"/>
  <c r="CQ314" i="239" s="1"/>
  <c r="CQ301" i="239"/>
  <c r="CQ299" i="239"/>
  <c r="CQ303" i="239" s="1"/>
  <c r="CQ306" i="239" s="1"/>
  <c r="CN341" i="239"/>
  <c r="CN340" i="239"/>
  <c r="CN339" i="239"/>
  <c r="CN337" i="239"/>
  <c r="CN336" i="239"/>
  <c r="CN338" i="239" s="1"/>
  <c r="CN331" i="239"/>
  <c r="CN325" i="239"/>
  <c r="CN324" i="239"/>
  <c r="CN323" i="239"/>
  <c r="CN319" i="239"/>
  <c r="CN345" i="239" s="1"/>
  <c r="CN318" i="239"/>
  <c r="CN321" i="239" s="1"/>
  <c r="CN313" i="239"/>
  <c r="CN308" i="239"/>
  <c r="CN326" i="239" s="1"/>
  <c r="CN301" i="239"/>
  <c r="CN299" i="239"/>
  <c r="CN349" i="239" s="1"/>
  <c r="CW326" i="239" l="1"/>
  <c r="CW342" i="239" s="1"/>
  <c r="CW344" i="239" s="1"/>
  <c r="CW347" i="239" s="1"/>
  <c r="CW351" i="239" s="1"/>
  <c r="CW352" i="239" s="1"/>
  <c r="CT328" i="239"/>
  <c r="CT330" i="239" s="1"/>
  <c r="CT332" i="239" s="1"/>
  <c r="CT347" i="239"/>
  <c r="CT351" i="239" s="1"/>
  <c r="CT352" i="239" s="1"/>
  <c r="CT312" i="239"/>
  <c r="CT314" i="239" s="1"/>
  <c r="CQ326" i="239"/>
  <c r="CQ342" i="239" s="1"/>
  <c r="CQ344" i="239"/>
  <c r="CQ347" i="239" s="1"/>
  <c r="CQ351" i="239" s="1"/>
  <c r="CQ352" i="239" s="1"/>
  <c r="CN328" i="239"/>
  <c r="CN330" i="239" s="1"/>
  <c r="CN332" i="239" s="1"/>
  <c r="CN342" i="239"/>
  <c r="CN344" i="239" s="1"/>
  <c r="CN347" i="239" s="1"/>
  <c r="CN351" i="239" s="1"/>
  <c r="CN352" i="239" s="1"/>
  <c r="CN310" i="239"/>
  <c r="CN312" i="239" s="1"/>
  <c r="CN314" i="239" s="1"/>
  <c r="CN303" i="239"/>
  <c r="CN306" i="239" s="1"/>
  <c r="E89" i="158"/>
  <c r="DA345" i="239"/>
  <c r="DA344" i="239"/>
  <c r="DA343" i="239"/>
  <c r="DA342" i="239"/>
  <c r="DA341" i="239"/>
  <c r="DA340" i="239"/>
  <c r="DA339" i="239"/>
  <c r="DA338" i="239"/>
  <c r="DA336" i="239"/>
  <c r="K93" i="37"/>
  <c r="D89" i="158"/>
  <c r="G76" i="158" s="1"/>
  <c r="I76" i="158" s="1"/>
  <c r="CW328" i="239" l="1"/>
  <c r="CW330" i="239" s="1"/>
  <c r="CW332" i="239" s="1"/>
  <c r="CQ328" i="239"/>
  <c r="CQ330" i="239" s="1"/>
  <c r="CQ332" i="239" s="1"/>
  <c r="G77" i="158"/>
  <c r="CK341" i="239"/>
  <c r="CK340" i="239"/>
  <c r="CK339" i="239"/>
  <c r="CK337" i="239"/>
  <c r="CK336" i="239"/>
  <c r="CK338" i="239" s="1"/>
  <c r="CK331" i="239"/>
  <c r="CK325" i="239"/>
  <c r="CK324" i="239"/>
  <c r="CK323" i="239"/>
  <c r="CK319" i="239"/>
  <c r="CK345" i="239" s="1"/>
  <c r="CK318" i="239"/>
  <c r="CK321" i="239" s="1"/>
  <c r="CK313" i="239"/>
  <c r="CK308" i="239"/>
  <c r="CK326" i="239" s="1"/>
  <c r="CK301" i="239"/>
  <c r="CK299" i="239"/>
  <c r="CK349" i="239" s="1"/>
  <c r="CK351" i="239" l="1"/>
  <c r="CK352" i="239" s="1"/>
  <c r="CK328" i="239"/>
  <c r="CK330" i="239" s="1"/>
  <c r="CK332" i="239" s="1"/>
  <c r="CK342" i="239"/>
  <c r="CK344" i="239"/>
  <c r="CK347" i="239" s="1"/>
  <c r="CK310" i="239"/>
  <c r="CK312" i="239" s="1"/>
  <c r="CK314" i="239" s="1"/>
  <c r="CK303" i="239"/>
  <c r="CK306" i="239" s="1"/>
  <c r="A38" i="292"/>
  <c r="CI350" i="239"/>
  <c r="CI349" i="239"/>
  <c r="CI348" i="239"/>
  <c r="CI346" i="239"/>
  <c r="CI345" i="239"/>
  <c r="CI343" i="239"/>
  <c r="CI341" i="239"/>
  <c r="CI340" i="239"/>
  <c r="CI339" i="239"/>
  <c r="CI338" i="239"/>
  <c r="CI337" i="239"/>
  <c r="CI336" i="239"/>
  <c r="CI335" i="239"/>
  <c r="CI334" i="239"/>
  <c r="CI333" i="239"/>
  <c r="CI331" i="239"/>
  <c r="CI329" i="239"/>
  <c r="CI327" i="239"/>
  <c r="CI325" i="239"/>
  <c r="CI324" i="239"/>
  <c r="CI323" i="239"/>
  <c r="CI322" i="239"/>
  <c r="CI321" i="239"/>
  <c r="CI320" i="239"/>
  <c r="CI319" i="239"/>
  <c r="CI318" i="239"/>
  <c r="CI317" i="239"/>
  <c r="CI316" i="239"/>
  <c r="CI315" i="239"/>
  <c r="CI313" i="239"/>
  <c r="CI311" i="239"/>
  <c r="CI309" i="239"/>
  <c r="CI307" i="239"/>
  <c r="CI306" i="239"/>
  <c r="CI305" i="239"/>
  <c r="CI304" i="239"/>
  <c r="CI303" i="239"/>
  <c r="CI302" i="239"/>
  <c r="CI301" i="239"/>
  <c r="CI300" i="239"/>
  <c r="CI299" i="239"/>
  <c r="CI298" i="239"/>
  <c r="CI297" i="239"/>
  <c r="CI296" i="239"/>
  <c r="CI295" i="239"/>
  <c r="CI294" i="239"/>
  <c r="CI293" i="239"/>
  <c r="CI292" i="239"/>
  <c r="CI291" i="239"/>
  <c r="CI290" i="239"/>
  <c r="CI289" i="239"/>
  <c r="CI288" i="239"/>
  <c r="CI287" i="239"/>
  <c r="CI286" i="239"/>
  <c r="CI285" i="239"/>
  <c r="CI284" i="239"/>
  <c r="CI283" i="239"/>
  <c r="CI282" i="239"/>
  <c r="CI281" i="239"/>
  <c r="CI280" i="239"/>
  <c r="CI279" i="239"/>
  <c r="CI278" i="239"/>
  <c r="CI277" i="239"/>
  <c r="CI276" i="239"/>
  <c r="CI275" i="239"/>
  <c r="CI274" i="239"/>
  <c r="CI273" i="239"/>
  <c r="CI272" i="239"/>
  <c r="CI271" i="239"/>
  <c r="CI270" i="239"/>
  <c r="CI269" i="239"/>
  <c r="CI268" i="239"/>
  <c r="CI267" i="239"/>
  <c r="CI266" i="239"/>
  <c r="CI265" i="239"/>
  <c r="CI264" i="239"/>
  <c r="CI263" i="239"/>
  <c r="CI262" i="239"/>
  <c r="CI261" i="239"/>
  <c r="CI260" i="239"/>
  <c r="CI259" i="239"/>
  <c r="CI258" i="239"/>
  <c r="CI257" i="239"/>
  <c r="CI256" i="239"/>
  <c r="CI255" i="239"/>
  <c r="CI254" i="239"/>
  <c r="CI253" i="239"/>
  <c r="CI252" i="239"/>
  <c r="CI251" i="239"/>
  <c r="CI250" i="239"/>
  <c r="CI249" i="239"/>
  <c r="CI248" i="239"/>
  <c r="CI247" i="239"/>
  <c r="CI245" i="239"/>
  <c r="CI244" i="239"/>
  <c r="CI243" i="239"/>
  <c r="CI242" i="239"/>
  <c r="CI241" i="239"/>
  <c r="CI240" i="239"/>
  <c r="CI239" i="239"/>
  <c r="CI238" i="239"/>
  <c r="CI237" i="239"/>
  <c r="CI236" i="239"/>
  <c r="CI235" i="239"/>
  <c r="CI234" i="239"/>
  <c r="CI233" i="239"/>
  <c r="CI232" i="239"/>
  <c r="CI231" i="239"/>
  <c r="CI230" i="239"/>
  <c r="CI229" i="239"/>
  <c r="CI228" i="239"/>
  <c r="CI227" i="239"/>
  <c r="CI226" i="239"/>
  <c r="CI225" i="239"/>
  <c r="CI224" i="239"/>
  <c r="CI223" i="239"/>
  <c r="CI222" i="239"/>
  <c r="CI221" i="239"/>
  <c r="CI220" i="239"/>
  <c r="CI219" i="239"/>
  <c r="CI218" i="239"/>
  <c r="CI217" i="239"/>
  <c r="CI216" i="239"/>
  <c r="CI215" i="239"/>
  <c r="CI214" i="239"/>
  <c r="CI213" i="239"/>
  <c r="CI212" i="239"/>
  <c r="CI211" i="239"/>
  <c r="CI210" i="239"/>
  <c r="CI209" i="239"/>
  <c r="CI208" i="239"/>
  <c r="CI207" i="239"/>
  <c r="CI206" i="239"/>
  <c r="CI205" i="239"/>
  <c r="CI204" i="239"/>
  <c r="CI203" i="239"/>
  <c r="CI202" i="239"/>
  <c r="CI201" i="239"/>
  <c r="CI200" i="239"/>
  <c r="CI199" i="239"/>
  <c r="CI198" i="239"/>
  <c r="CI197" i="239"/>
  <c r="CI196" i="239"/>
  <c r="CI195" i="239"/>
  <c r="CI194" i="239"/>
  <c r="CI193" i="239"/>
  <c r="CI192" i="239"/>
  <c r="CI191" i="239"/>
  <c r="CI190" i="239"/>
  <c r="CI189" i="239"/>
  <c r="CI188" i="239"/>
  <c r="CI187" i="239"/>
  <c r="CI186" i="239"/>
  <c r="CI185" i="239"/>
  <c r="CI184" i="239"/>
  <c r="CI183" i="239"/>
  <c r="CI182" i="239"/>
  <c r="CI181" i="239"/>
  <c r="CI180" i="239"/>
  <c r="CI179" i="239"/>
  <c r="CI178" i="239"/>
  <c r="CI177" i="239"/>
  <c r="CI176" i="239"/>
  <c r="CI175" i="239"/>
  <c r="CI174" i="239"/>
  <c r="CI173" i="239"/>
  <c r="CI172" i="239"/>
  <c r="CI171" i="239"/>
  <c r="CI170" i="239"/>
  <c r="CI169" i="239"/>
  <c r="CI168" i="239"/>
  <c r="CI167" i="239"/>
  <c r="CI166" i="239"/>
  <c r="CI165" i="239"/>
  <c r="CI164" i="239"/>
  <c r="CI163" i="239"/>
  <c r="CI162" i="239"/>
  <c r="CI161" i="239"/>
  <c r="CI160" i="239"/>
  <c r="CI159" i="239"/>
  <c r="CI158" i="239"/>
  <c r="CI157" i="239"/>
  <c r="CI156" i="239"/>
  <c r="CI155" i="239"/>
  <c r="CI154" i="239"/>
  <c r="CI153" i="239"/>
  <c r="CI152" i="239"/>
  <c r="CI151" i="239"/>
  <c r="CI150" i="239"/>
  <c r="CI149" i="239"/>
  <c r="CI148" i="239"/>
  <c r="CI147" i="239"/>
  <c r="CI146" i="239"/>
  <c r="CI145" i="239"/>
  <c r="CI144" i="239"/>
  <c r="CI143" i="239"/>
  <c r="CI142" i="239"/>
  <c r="CI141" i="239"/>
  <c r="CI140" i="239"/>
  <c r="CI139" i="239"/>
  <c r="CI138" i="239"/>
  <c r="CI137" i="239"/>
  <c r="CI136" i="239"/>
  <c r="CI135" i="239"/>
  <c r="CI134" i="239"/>
  <c r="CI133" i="239"/>
  <c r="CI132" i="239"/>
  <c r="CI131" i="239"/>
  <c r="CI130" i="239"/>
  <c r="CI129" i="239"/>
  <c r="CI128" i="239"/>
  <c r="CI127" i="239"/>
  <c r="CI126" i="239"/>
  <c r="CI125" i="239"/>
  <c r="CI124" i="239"/>
  <c r="CI123" i="239"/>
  <c r="CI122" i="239"/>
  <c r="CI121" i="239"/>
  <c r="CI120" i="239"/>
  <c r="CI119" i="239"/>
  <c r="CI118" i="239"/>
  <c r="CI117" i="239"/>
  <c r="CI116" i="239"/>
  <c r="CI115" i="239"/>
  <c r="CI114" i="239"/>
  <c r="CI113" i="239"/>
  <c r="CI112" i="239"/>
  <c r="CI111" i="239"/>
  <c r="CI110" i="239"/>
  <c r="CI109" i="239"/>
  <c r="CI108" i="239"/>
  <c r="CI107" i="239"/>
  <c r="CI106" i="239"/>
  <c r="CI105" i="239"/>
  <c r="CI104" i="239"/>
  <c r="CI103" i="239"/>
  <c r="CI102" i="239"/>
  <c r="CI101" i="239"/>
  <c r="CI100" i="239"/>
  <c r="CI99" i="239"/>
  <c r="CI98" i="239"/>
  <c r="CI97" i="239"/>
  <c r="CI96" i="239"/>
  <c r="CI95" i="239"/>
  <c r="CI94" i="239"/>
  <c r="CI93" i="239"/>
  <c r="CI92" i="239"/>
  <c r="CI91" i="239"/>
  <c r="CI90" i="239"/>
  <c r="CI89" i="239"/>
  <c r="CI88" i="239"/>
  <c r="CI87" i="239"/>
  <c r="CI86" i="239"/>
  <c r="CI85" i="239"/>
  <c r="CI84" i="239"/>
  <c r="CI83" i="239"/>
  <c r="CI82" i="239"/>
  <c r="CI81" i="239"/>
  <c r="CI80" i="239"/>
  <c r="CI79" i="239"/>
  <c r="CI78" i="239"/>
  <c r="CI77" i="239"/>
  <c r="CI76" i="239"/>
  <c r="CI75" i="239"/>
  <c r="CI74" i="239"/>
  <c r="CI73" i="239"/>
  <c r="CI72" i="239"/>
  <c r="CI71" i="239"/>
  <c r="CI70" i="239"/>
  <c r="CI69" i="239"/>
  <c r="CI68" i="239"/>
  <c r="CI67" i="239"/>
  <c r="CI66" i="239"/>
  <c r="CI65" i="239"/>
  <c r="CI64" i="239"/>
  <c r="CI63" i="239"/>
  <c r="CI62" i="239"/>
  <c r="CI61" i="239"/>
  <c r="CI60" i="239"/>
  <c r="CI59" i="239"/>
  <c r="CI58" i="239"/>
  <c r="CI57" i="239"/>
  <c r="CI56" i="239"/>
  <c r="CI55" i="239"/>
  <c r="CI54" i="239"/>
  <c r="CI53" i="239"/>
  <c r="CI52" i="239"/>
  <c r="CI51" i="239"/>
  <c r="CI50" i="239"/>
  <c r="CI49" i="239"/>
  <c r="CI48" i="239"/>
  <c r="CI47" i="239"/>
  <c r="CI46" i="239"/>
  <c r="CI45" i="239"/>
  <c r="CI44" i="239"/>
  <c r="CI43" i="239"/>
  <c r="CI42" i="239"/>
  <c r="CI41" i="239"/>
  <c r="CI40" i="239"/>
  <c r="CI39" i="239"/>
  <c r="CI38" i="239"/>
  <c r="CI37" i="239"/>
  <c r="CI36" i="239"/>
  <c r="CI35" i="239"/>
  <c r="CI34" i="239"/>
  <c r="CI33" i="239"/>
  <c r="CI32" i="239"/>
  <c r="CI31" i="239"/>
  <c r="CI30" i="239"/>
  <c r="CI29" i="239"/>
  <c r="CI28" i="239"/>
  <c r="CI27" i="239"/>
  <c r="CI26" i="239"/>
  <c r="CI25" i="239"/>
  <c r="CI24" i="239"/>
  <c r="CI23" i="239"/>
  <c r="CI22" i="239"/>
  <c r="CI21" i="239"/>
  <c r="CI20" i="239"/>
  <c r="CI19" i="239"/>
  <c r="CI18" i="239"/>
  <c r="CI17" i="239"/>
  <c r="CI16" i="239"/>
  <c r="CI15" i="239"/>
  <c r="CI14" i="239"/>
  <c r="CI13" i="239"/>
  <c r="CI12" i="239"/>
  <c r="CI11" i="239"/>
  <c r="CI10" i="239"/>
  <c r="CI9" i="239"/>
  <c r="CI246" i="239"/>
  <c r="D32" i="292" l="1"/>
  <c r="CY357" i="239"/>
  <c r="CG361" i="239"/>
  <c r="CG362" i="239" s="1"/>
  <c r="CH362" i="239" s="1"/>
  <c r="CG357" i="239"/>
  <c r="CD361" i="239"/>
  <c r="CD362" i="239" s="1"/>
  <c r="CE362" i="239" s="1"/>
  <c r="CE358" i="239"/>
  <c r="CE359" i="239" s="1"/>
  <c r="CE357" i="239"/>
  <c r="CD357" i="239"/>
  <c r="CA361" i="239"/>
  <c r="CA362" i="239" s="1"/>
  <c r="CB362" i="239" s="1"/>
  <c r="CB358" i="239"/>
  <c r="CB359" i="239" s="1"/>
  <c r="CB357" i="239"/>
  <c r="CA357" i="239"/>
  <c r="CH341" i="239"/>
  <c r="CH340" i="239"/>
  <c r="CH339" i="239"/>
  <c r="CH337" i="239"/>
  <c r="CH336" i="239"/>
  <c r="CH325" i="239"/>
  <c r="CH324" i="239"/>
  <c r="CH323" i="239"/>
  <c r="CH319" i="239"/>
  <c r="CH345" i="239" s="1"/>
  <c r="CH318" i="239"/>
  <c r="CH313" i="239"/>
  <c r="CH331" i="239" s="1"/>
  <c r="CH308" i="239"/>
  <c r="CH301" i="239"/>
  <c r="CH303" i="239" s="1"/>
  <c r="CH306" i="239" s="1"/>
  <c r="CH299" i="239"/>
  <c r="CH349" i="239" s="1"/>
  <c r="CH326" i="239" l="1"/>
  <c r="CI308" i="239"/>
  <c r="CH321" i="239"/>
  <c r="CH338" i="239"/>
  <c r="CH310" i="239"/>
  <c r="E34" i="292" l="1"/>
  <c r="E36" i="292"/>
  <c r="E35" i="292"/>
  <c r="CH312" i="239"/>
  <c r="CI310" i="239"/>
  <c r="CH342" i="239"/>
  <c r="CI342" i="239" s="1"/>
  <c r="CI326" i="239"/>
  <c r="CH344" i="239"/>
  <c r="CH328" i="239"/>
  <c r="CI328" i="239" s="1"/>
  <c r="CZ358" i="239"/>
  <c r="CZ359" i="239" s="1"/>
  <c r="CW358" i="239"/>
  <c r="CW359" i="239" s="1"/>
  <c r="CT358" i="239"/>
  <c r="CT359" i="239" s="1"/>
  <c r="CW357" i="239"/>
  <c r="CT357" i="239"/>
  <c r="CQ358" i="239"/>
  <c r="CQ359" i="239" s="1"/>
  <c r="CN358" i="239"/>
  <c r="CN359" i="239" s="1"/>
  <c r="CQ357" i="239"/>
  <c r="CK358" i="239"/>
  <c r="CK359" i="239" s="1"/>
  <c r="CN357" i="239"/>
  <c r="CH330" i="239" l="1"/>
  <c r="CH347" i="239"/>
  <c r="CI344" i="239"/>
  <c r="CH314" i="239"/>
  <c r="CI314" i="239" s="1"/>
  <c r="CI312" i="239"/>
  <c r="CZ357" i="239"/>
  <c r="D38" i="237"/>
  <c r="CH351" i="239" l="1"/>
  <c r="CI347" i="239"/>
  <c r="CH332" i="239"/>
  <c r="CI332" i="239" s="1"/>
  <c r="CI330" i="239"/>
  <c r="BX94" i="231"/>
  <c r="BX93" i="231"/>
  <c r="BX92" i="231"/>
  <c r="BX91" i="231"/>
  <c r="BX90" i="231"/>
  <c r="BX89" i="231"/>
  <c r="BX88" i="231"/>
  <c r="BX87" i="231"/>
  <c r="BX86" i="231"/>
  <c r="BX85" i="231"/>
  <c r="BX84" i="231"/>
  <c r="BX83" i="231"/>
  <c r="BX82" i="231"/>
  <c r="BX81" i="231"/>
  <c r="BX80" i="231"/>
  <c r="BX79" i="231"/>
  <c r="BX78" i="231"/>
  <c r="BX77" i="231"/>
  <c r="BX76" i="231"/>
  <c r="BX75" i="231"/>
  <c r="BX74" i="231"/>
  <c r="BX73" i="231"/>
  <c r="BX72" i="231"/>
  <c r="BX71" i="231"/>
  <c r="BX70" i="231"/>
  <c r="BX69" i="231"/>
  <c r="BX68" i="231"/>
  <c r="BX67" i="231"/>
  <c r="BX66" i="231"/>
  <c r="BX65" i="231"/>
  <c r="BX64" i="231"/>
  <c r="BX63" i="231"/>
  <c r="BX62" i="231"/>
  <c r="BX61" i="231"/>
  <c r="BX60" i="231"/>
  <c r="BX59" i="231"/>
  <c r="BX58" i="231"/>
  <c r="BX57" i="231"/>
  <c r="BX56" i="231"/>
  <c r="BX55" i="231"/>
  <c r="BX54" i="231"/>
  <c r="BX53" i="231"/>
  <c r="BX52" i="231"/>
  <c r="BX51" i="231"/>
  <c r="BX50" i="231"/>
  <c r="BX49" i="231"/>
  <c r="BX48" i="231"/>
  <c r="BX47" i="231"/>
  <c r="BX46" i="231"/>
  <c r="BX45" i="231"/>
  <c r="BX44" i="231"/>
  <c r="BX43" i="231"/>
  <c r="BX42" i="231"/>
  <c r="BX41" i="231"/>
  <c r="BX40" i="231"/>
  <c r="BX39" i="231"/>
  <c r="BX38" i="231"/>
  <c r="BX37" i="231"/>
  <c r="BX36" i="231"/>
  <c r="BX35" i="231"/>
  <c r="BX34" i="231"/>
  <c r="BX33" i="231"/>
  <c r="BX32" i="231"/>
  <c r="BX31" i="231"/>
  <c r="BX30" i="231"/>
  <c r="BX29" i="231"/>
  <c r="BX28" i="231"/>
  <c r="BX27" i="231"/>
  <c r="BX26" i="231"/>
  <c r="BX25" i="231"/>
  <c r="BX24" i="231"/>
  <c r="BX23" i="231"/>
  <c r="BX22" i="231"/>
  <c r="BX21" i="231"/>
  <c r="BX20" i="231"/>
  <c r="BX19" i="231"/>
  <c r="BX18" i="231"/>
  <c r="BX17" i="231"/>
  <c r="BX16" i="231"/>
  <c r="BX15" i="231"/>
  <c r="BX14" i="231"/>
  <c r="BX13" i="231"/>
  <c r="BX12" i="231"/>
  <c r="BX11" i="231"/>
  <c r="CH352" i="239" l="1"/>
  <c r="CI351" i="239"/>
  <c r="BZ9" i="231"/>
  <c r="BY9" i="231"/>
  <c r="CI352" i="239" l="1"/>
  <c r="E33" i="292"/>
  <c r="E38" i="292" s="1"/>
  <c r="E40" i="292" s="1"/>
  <c r="E32" i="292"/>
  <c r="CH358" i="239"/>
  <c r="CH359" i="239" s="1"/>
  <c r="CH357" i="239"/>
  <c r="CK357" i="239"/>
  <c r="AR1" i="231"/>
  <c r="AR85" i="231" s="1"/>
  <c r="BX8" i="231"/>
  <c r="M112" i="231"/>
  <c r="M103" i="231" s="1"/>
  <c r="O61" i="266"/>
  <c r="O63" i="266" s="1"/>
  <c r="E76" i="266"/>
  <c r="K60" i="266" s="1"/>
  <c r="CY1" i="239"/>
  <c r="CV1" i="239"/>
  <c r="CS1" i="239"/>
  <c r="CP1" i="239"/>
  <c r="CM1" i="239"/>
  <c r="CJ1" i="239"/>
  <c r="CG1" i="239"/>
  <c r="Y105" i="231"/>
  <c r="Y106" i="231" s="1"/>
  <c r="Y102" i="231" s="1"/>
  <c r="F146" i="261"/>
  <c r="W139" i="261" s="1"/>
  <c r="F56" i="280"/>
  <c r="F55" i="280"/>
  <c r="F54" i="280"/>
  <c r="F53" i="280"/>
  <c r="F52" i="280"/>
  <c r="F51" i="280"/>
  <c r="F50" i="280"/>
  <c r="K27" i="266" l="1"/>
  <c r="K45" i="266"/>
  <c r="K48" i="266"/>
  <c r="K24" i="266"/>
  <c r="AR23" i="231"/>
  <c r="AR39" i="231"/>
  <c r="AR55" i="231"/>
  <c r="AR71" i="231"/>
  <c r="AR87" i="231"/>
  <c r="AR25" i="231"/>
  <c r="AR41" i="231"/>
  <c r="AR57" i="231"/>
  <c r="AR73" i="231"/>
  <c r="AR89" i="231"/>
  <c r="AR11" i="231"/>
  <c r="AR27" i="231"/>
  <c r="AR43" i="231"/>
  <c r="AR59" i="231"/>
  <c r="AR75" i="231"/>
  <c r="AR13" i="231"/>
  <c r="AR29" i="231"/>
  <c r="AR45" i="231"/>
  <c r="AR61" i="231"/>
  <c r="AR77" i="231"/>
  <c r="AR47" i="231"/>
  <c r="AR19" i="231"/>
  <c r="AR35" i="231"/>
  <c r="AR51" i="231"/>
  <c r="AR67" i="231"/>
  <c r="AR83" i="231"/>
  <c r="AR15" i="231"/>
  <c r="AR31" i="231"/>
  <c r="AR63" i="231"/>
  <c r="AR79" i="231"/>
  <c r="AR17" i="231"/>
  <c r="AR33" i="231"/>
  <c r="AR49" i="231"/>
  <c r="AR65" i="231"/>
  <c r="AR81" i="231"/>
  <c r="AR21" i="231"/>
  <c r="AR37" i="231"/>
  <c r="AR53" i="231"/>
  <c r="AR69" i="231"/>
  <c r="M102" i="231"/>
  <c r="K19" i="266"/>
  <c r="K40" i="266"/>
  <c r="K61" i="266"/>
  <c r="K21" i="266"/>
  <c r="K43" i="266"/>
  <c r="K29" i="266"/>
  <c r="K51" i="266"/>
  <c r="K11" i="266"/>
  <c r="K32" i="266"/>
  <c r="K53" i="266"/>
  <c r="K13" i="266"/>
  <c r="K35" i="266"/>
  <c r="K56" i="266"/>
  <c r="K16" i="266"/>
  <c r="K37" i="266"/>
  <c r="K59" i="266"/>
  <c r="K14" i="266"/>
  <c r="K22" i="266"/>
  <c r="K30" i="266"/>
  <c r="K38" i="266"/>
  <c r="K46" i="266"/>
  <c r="K54" i="266"/>
  <c r="K63" i="266"/>
  <c r="K15" i="266"/>
  <c r="K23" i="266"/>
  <c r="K31" i="266"/>
  <c r="K39" i="266"/>
  <c r="K47" i="266"/>
  <c r="K55" i="266"/>
  <c r="K17" i="266"/>
  <c r="K25" i="266"/>
  <c r="K33" i="266"/>
  <c r="K41" i="266"/>
  <c r="K49" i="266"/>
  <c r="K57" i="266"/>
  <c r="K18" i="266"/>
  <c r="K26" i="266"/>
  <c r="K34" i="266"/>
  <c r="K42" i="266"/>
  <c r="K50" i="266"/>
  <c r="K58" i="266"/>
  <c r="K12" i="266"/>
  <c r="K20" i="266"/>
  <c r="K28" i="266"/>
  <c r="K36" i="266"/>
  <c r="K44" i="266"/>
  <c r="K52" i="266"/>
  <c r="W68" i="261"/>
  <c r="W92" i="261"/>
  <c r="W100" i="261"/>
  <c r="W108" i="261"/>
  <c r="W116" i="261"/>
  <c r="W124" i="261"/>
  <c r="W132" i="261"/>
  <c r="W44" i="261"/>
  <c r="W13" i="261"/>
  <c r="W45" i="261"/>
  <c r="W61" i="261"/>
  <c r="W109" i="261"/>
  <c r="W125" i="261"/>
  <c r="W133" i="261"/>
  <c r="W60" i="261"/>
  <c r="W101" i="261"/>
  <c r="W14" i="261"/>
  <c r="W54" i="261"/>
  <c r="W70" i="261"/>
  <c r="W86" i="261"/>
  <c r="W94" i="261"/>
  <c r="W102" i="261"/>
  <c r="W110" i="261"/>
  <c r="W126" i="261"/>
  <c r="W134" i="261"/>
  <c r="W76" i="261"/>
  <c r="W37" i="261"/>
  <c r="W77" i="261"/>
  <c r="W22" i="261"/>
  <c r="W62" i="261"/>
  <c r="W78" i="261"/>
  <c r="W118" i="261"/>
  <c r="W15" i="261"/>
  <c r="W23" i="261"/>
  <c r="W31" i="261"/>
  <c r="W39" i="261"/>
  <c r="W47" i="261"/>
  <c r="W55" i="261"/>
  <c r="W63" i="261"/>
  <c r="W71" i="261"/>
  <c r="W79" i="261"/>
  <c r="W87" i="261"/>
  <c r="W95" i="261"/>
  <c r="W103" i="261"/>
  <c r="W111" i="261"/>
  <c r="W119" i="261"/>
  <c r="W127" i="261"/>
  <c r="W135" i="261"/>
  <c r="W36" i="261"/>
  <c r="W53" i="261"/>
  <c r="W117" i="261"/>
  <c r="W24" i="261"/>
  <c r="W56" i="261"/>
  <c r="W64" i="261"/>
  <c r="W72" i="261"/>
  <c r="W80" i="261"/>
  <c r="W88" i="261"/>
  <c r="W96" i="261"/>
  <c r="W104" i="261"/>
  <c r="W112" i="261"/>
  <c r="W120" i="261"/>
  <c r="W128" i="261"/>
  <c r="W136" i="261"/>
  <c r="W28" i="261"/>
  <c r="W84" i="261"/>
  <c r="W21" i="261"/>
  <c r="W69" i="261"/>
  <c r="W30" i="261"/>
  <c r="W16" i="261"/>
  <c r="W32" i="261"/>
  <c r="W41" i="261"/>
  <c r="W65" i="261"/>
  <c r="W73" i="261"/>
  <c r="W81" i="261"/>
  <c r="W89" i="261"/>
  <c r="W97" i="261"/>
  <c r="W105" i="261"/>
  <c r="W113" i="261"/>
  <c r="W121" i="261"/>
  <c r="W129" i="261"/>
  <c r="W137" i="261"/>
  <c r="W52" i="261"/>
  <c r="W93" i="261"/>
  <c r="W38" i="261"/>
  <c r="W48" i="261"/>
  <c r="W25" i="261"/>
  <c r="W49" i="261"/>
  <c r="W26" i="261"/>
  <c r="W42" i="261"/>
  <c r="W58" i="261"/>
  <c r="W66" i="261"/>
  <c r="W74" i="261"/>
  <c r="W82" i="261"/>
  <c r="W90" i="261"/>
  <c r="W98" i="261"/>
  <c r="W106" i="261"/>
  <c r="W114" i="261"/>
  <c r="W122" i="261"/>
  <c r="W130" i="261"/>
  <c r="W138" i="261"/>
  <c r="W20" i="261"/>
  <c r="W29" i="261"/>
  <c r="W85" i="261"/>
  <c r="W46" i="261"/>
  <c r="W40" i="261"/>
  <c r="W17" i="261"/>
  <c r="W33" i="261"/>
  <c r="W57" i="261"/>
  <c r="W18" i="261"/>
  <c r="W34" i="261"/>
  <c r="W50" i="261"/>
  <c r="W19" i="261"/>
  <c r="W27" i="261"/>
  <c r="W35" i="261"/>
  <c r="W43" i="261"/>
  <c r="W51" i="261"/>
  <c r="W59" i="261"/>
  <c r="W67" i="261"/>
  <c r="W75" i="261"/>
  <c r="W83" i="261"/>
  <c r="W91" i="261"/>
  <c r="W99" i="261"/>
  <c r="W107" i="261"/>
  <c r="W115" i="261"/>
  <c r="W123" i="261"/>
  <c r="W131" i="261"/>
  <c r="E103" i="268" l="1"/>
  <c r="D30" i="292" l="1"/>
  <c r="K86" i="37" l="1"/>
  <c r="I79" i="37" s="1"/>
  <c r="M28" i="266"/>
  <c r="I80" i="37" l="1"/>
  <c r="I78" i="37"/>
  <c r="J68" i="266"/>
  <c r="J67" i="266"/>
  <c r="J66" i="266"/>
  <c r="BD341" i="239" l="1"/>
  <c r="BD340" i="239"/>
  <c r="BD339" i="239"/>
  <c r="BD337" i="239"/>
  <c r="BD336" i="239"/>
  <c r="BD325" i="239"/>
  <c r="BD324" i="239"/>
  <c r="BD323" i="239"/>
  <c r="BD319" i="239"/>
  <c r="BD345" i="239" s="1"/>
  <c r="BD318" i="239"/>
  <c r="BD321" i="239" s="1"/>
  <c r="BD313" i="239"/>
  <c r="BD331" i="239" s="1"/>
  <c r="BD308" i="239"/>
  <c r="BD326" i="239" s="1"/>
  <c r="BD342" i="239" s="1"/>
  <c r="BD301" i="239"/>
  <c r="BD299" i="239"/>
  <c r="BD349" i="239" s="1"/>
  <c r="E21" i="292"/>
  <c r="BD338" i="239" l="1"/>
  <c r="BD310" i="239"/>
  <c r="BD312" i="239" s="1"/>
  <c r="BD314" i="239" s="1"/>
  <c r="BD328" i="239"/>
  <c r="BD344" i="239"/>
  <c r="BD347" i="239" s="1"/>
  <c r="BD351" i="239" s="1"/>
  <c r="BD352" i="239" s="1"/>
  <c r="BD330" i="239"/>
  <c r="BD332" i="239" s="1"/>
  <c r="BD303" i="239"/>
  <c r="BD306" i="239" s="1"/>
  <c r="E75" i="266" l="1"/>
  <c r="M63" i="266" l="1"/>
  <c r="M61" i="266"/>
  <c r="M67" i="266" l="1"/>
  <c r="M65" i="266"/>
  <c r="W102" i="231"/>
  <c r="CD1" i="239" l="1"/>
  <c r="CA1" i="239" l="1"/>
  <c r="BX1" i="239"/>
  <c r="CE341" i="239"/>
  <c r="CE340" i="239"/>
  <c r="CE339" i="239"/>
  <c r="CE337" i="239"/>
  <c r="CE336" i="239"/>
  <c r="CE325" i="239"/>
  <c r="CE324" i="239"/>
  <c r="CE323" i="239"/>
  <c r="CE319" i="239"/>
  <c r="CE345" i="239" s="1"/>
  <c r="CE318" i="239"/>
  <c r="CE313" i="239"/>
  <c r="CE331" i="239" s="1"/>
  <c r="CE308" i="239"/>
  <c r="CE310" i="239" s="1"/>
  <c r="CE312" i="239" s="1"/>
  <c r="CE301" i="239"/>
  <c r="CE299" i="239"/>
  <c r="CE349" i="239" s="1"/>
  <c r="CB341" i="239"/>
  <c r="CB340" i="239"/>
  <c r="CB339" i="239"/>
  <c r="CB337" i="239"/>
  <c r="CB336" i="239"/>
  <c r="CB325" i="239"/>
  <c r="CB324" i="239"/>
  <c r="CB323" i="239"/>
  <c r="CB319" i="239"/>
  <c r="CB318" i="239"/>
  <c r="CB313" i="239"/>
  <c r="CB331" i="239" s="1"/>
  <c r="CB308" i="239"/>
  <c r="CB310" i="239" s="1"/>
  <c r="CB301" i="239"/>
  <c r="CB299" i="239"/>
  <c r="CB349" i="239" s="1"/>
  <c r="BY341" i="239"/>
  <c r="BY340" i="239"/>
  <c r="BY339" i="239"/>
  <c r="BY337" i="239"/>
  <c r="BY336" i="239"/>
  <c r="BY325" i="239"/>
  <c r="BY324" i="239"/>
  <c r="BY323" i="239"/>
  <c r="BY319" i="239"/>
  <c r="BY345" i="239" s="1"/>
  <c r="BY318" i="239"/>
  <c r="BY313" i="239"/>
  <c r="BY331" i="239" s="1"/>
  <c r="BY308" i="239"/>
  <c r="BY326" i="239" s="1"/>
  <c r="BY342" i="239" s="1"/>
  <c r="BY301" i="239"/>
  <c r="BY299" i="239"/>
  <c r="BY349" i="239" s="1"/>
  <c r="BV341" i="239"/>
  <c r="BV340" i="239"/>
  <c r="BV339" i="239"/>
  <c r="BV337" i="239"/>
  <c r="BV336" i="239"/>
  <c r="BV325" i="239"/>
  <c r="BV324" i="239"/>
  <c r="BV323" i="239"/>
  <c r="BV319" i="239"/>
  <c r="BV345" i="239" s="1"/>
  <c r="BV318" i="239"/>
  <c r="BV313" i="239"/>
  <c r="BV331" i="239" s="1"/>
  <c r="BV308" i="239"/>
  <c r="BV310" i="239" s="1"/>
  <c r="BV301" i="239"/>
  <c r="BV299" i="239"/>
  <c r="BV349" i="239" s="1"/>
  <c r="BS341" i="239"/>
  <c r="BS340" i="239"/>
  <c r="BS339" i="239"/>
  <c r="BS337" i="239"/>
  <c r="BS336" i="239"/>
  <c r="BS325" i="239"/>
  <c r="BS324" i="239"/>
  <c r="BS323" i="239"/>
  <c r="BS319" i="239"/>
  <c r="BS345" i="239" s="1"/>
  <c r="BS318" i="239"/>
  <c r="BS321" i="239" s="1"/>
  <c r="BS313" i="239"/>
  <c r="BS331" i="239" s="1"/>
  <c r="BS308" i="239"/>
  <c r="BS326" i="239" s="1"/>
  <c r="BS342" i="239" s="1"/>
  <c r="BS301" i="239"/>
  <c r="BS299" i="239"/>
  <c r="BS349" i="239" s="1"/>
  <c r="BP341" i="239"/>
  <c r="BP340" i="239"/>
  <c r="BP339" i="239"/>
  <c r="BP337" i="239"/>
  <c r="BP336" i="239"/>
  <c r="BP325" i="239"/>
  <c r="BP324" i="239"/>
  <c r="BP323" i="239"/>
  <c r="BP319" i="239"/>
  <c r="BP345" i="239" s="1"/>
  <c r="BP318" i="239"/>
  <c r="BP321" i="239" s="1"/>
  <c r="BP313" i="239"/>
  <c r="BP331" i="239" s="1"/>
  <c r="BP308" i="239"/>
  <c r="BP310" i="239" s="1"/>
  <c r="BP301" i="239"/>
  <c r="BP303" i="239" s="1"/>
  <c r="BP306" i="239" s="1"/>
  <c r="BP299" i="239"/>
  <c r="BP349" i="239" s="1"/>
  <c r="BM341" i="239"/>
  <c r="BM340" i="239"/>
  <c r="BM339" i="239"/>
  <c r="BM337" i="239"/>
  <c r="BM336" i="239"/>
  <c r="BM325" i="239"/>
  <c r="BM324" i="239"/>
  <c r="BM323" i="239"/>
  <c r="BM319" i="239"/>
  <c r="BM345" i="239" s="1"/>
  <c r="BM318" i="239"/>
  <c r="BM321" i="239" s="1"/>
  <c r="BM313" i="239"/>
  <c r="BM331" i="239" s="1"/>
  <c r="BM308" i="239"/>
  <c r="BM310" i="239" s="1"/>
  <c r="BM301" i="239"/>
  <c r="BM299" i="239"/>
  <c r="BM349" i="239" s="1"/>
  <c r="BJ341" i="239"/>
  <c r="BJ340" i="239"/>
  <c r="BJ339" i="239"/>
  <c r="BJ337" i="239"/>
  <c r="BJ336" i="239"/>
  <c r="BJ325" i="239"/>
  <c r="BJ324" i="239"/>
  <c r="BJ323" i="239"/>
  <c r="BJ319" i="239"/>
  <c r="BJ345" i="239" s="1"/>
  <c r="BJ318" i="239"/>
  <c r="BJ313" i="239"/>
  <c r="BJ331" i="239" s="1"/>
  <c r="BJ308" i="239"/>
  <c r="BJ326" i="239" s="1"/>
  <c r="BJ301" i="239"/>
  <c r="BJ299" i="239"/>
  <c r="BJ349" i="239" s="1"/>
  <c r="CE338" i="239" l="1"/>
  <c r="BY303" i="239"/>
  <c r="BY306" i="239" s="1"/>
  <c r="BV303" i="239"/>
  <c r="BV306" i="239" s="1"/>
  <c r="BV312" i="239"/>
  <c r="BV314" i="239" s="1"/>
  <c r="CB321" i="239"/>
  <c r="CB303" i="239"/>
  <c r="CB306" i="239" s="1"/>
  <c r="CB312" i="239"/>
  <c r="CE303" i="239"/>
  <c r="CE306" i="239" s="1"/>
  <c r="CE326" i="239"/>
  <c r="CE342" i="239" s="1"/>
  <c r="CE344" i="239" s="1"/>
  <c r="CE347" i="239" s="1"/>
  <c r="CE351" i="239" s="1"/>
  <c r="CE352" i="239" s="1"/>
  <c r="CE314" i="239"/>
  <c r="CB338" i="239"/>
  <c r="D29" i="292"/>
  <c r="CB326" i="239"/>
  <c r="CB342" i="239" s="1"/>
  <c r="CB344" i="239" s="1"/>
  <c r="CB314" i="239"/>
  <c r="BY321" i="239"/>
  <c r="BY338" i="239"/>
  <c r="BY344" i="239" s="1"/>
  <c r="BY347" i="239" s="1"/>
  <c r="BY351" i="239" s="1"/>
  <c r="BY352" i="239" s="1"/>
  <c r="BM338" i="239"/>
  <c r="BY328" i="239"/>
  <c r="BV326" i="239"/>
  <c r="BV342" i="239" s="1"/>
  <c r="BS310" i="239"/>
  <c r="BS312" i="239" s="1"/>
  <c r="BS314" i="239" s="1"/>
  <c r="BP326" i="239"/>
  <c r="BP342" i="239" s="1"/>
  <c r="BM326" i="239"/>
  <c r="BM342" i="239" s="1"/>
  <c r="BV338" i="239"/>
  <c r="BJ321" i="239"/>
  <c r="BS338" i="239"/>
  <c r="BS344" i="239" s="1"/>
  <c r="BS347" i="239" s="1"/>
  <c r="BS351" i="239" s="1"/>
  <c r="BS352" i="239" s="1"/>
  <c r="BP338" i="239"/>
  <c r="BJ338" i="239"/>
  <c r="CE321" i="239"/>
  <c r="CB345" i="239"/>
  <c r="BY310" i="239"/>
  <c r="BY312" i="239" s="1"/>
  <c r="BY314" i="239" s="1"/>
  <c r="BV321" i="239"/>
  <c r="BS328" i="239"/>
  <c r="BS330" i="239" s="1"/>
  <c r="BS332" i="239" s="1"/>
  <c r="BS303" i="239"/>
  <c r="BS306" i="239" s="1"/>
  <c r="BP312" i="239"/>
  <c r="BP314" i="239" s="1"/>
  <c r="BM303" i="239"/>
  <c r="BM306" i="239" s="1"/>
  <c r="BM312" i="239"/>
  <c r="BM314" i="239" s="1"/>
  <c r="BJ328" i="239"/>
  <c r="BJ342" i="239"/>
  <c r="BJ310" i="239"/>
  <c r="BJ312" i="239" s="1"/>
  <c r="BJ314" i="239" s="1"/>
  <c r="BJ303" i="239"/>
  <c r="BJ306" i="239" s="1"/>
  <c r="CE328" i="239" l="1"/>
  <c r="CE330" i="239" s="1"/>
  <c r="CE332" i="239" s="1"/>
  <c r="BP344" i="239"/>
  <c r="BP347" i="239" s="1"/>
  <c r="BP351" i="239" s="1"/>
  <c r="BP352" i="239" s="1"/>
  <c r="BY330" i="239"/>
  <c r="BY332" i="239" s="1"/>
  <c r="CB347" i="239"/>
  <c r="CB351" i="239" s="1"/>
  <c r="CB352" i="239" s="1"/>
  <c r="E30" i="292" s="1"/>
  <c r="CB328" i="239"/>
  <c r="CB330" i="239" s="1"/>
  <c r="CB332" i="239" s="1"/>
  <c r="BV344" i="239"/>
  <c r="BV347" i="239" s="1"/>
  <c r="BV351" i="239" s="1"/>
  <c r="BV352" i="239" s="1"/>
  <c r="BV328" i="239"/>
  <c r="BV330" i="239" s="1"/>
  <c r="BV332" i="239" s="1"/>
  <c r="BJ344" i="239"/>
  <c r="BJ347" i="239" s="1"/>
  <c r="BJ351" i="239" s="1"/>
  <c r="BJ352" i="239" s="1"/>
  <c r="BJ330" i="239"/>
  <c r="BJ332" i="239" s="1"/>
  <c r="BM344" i="239"/>
  <c r="BM347" i="239" s="1"/>
  <c r="BM351" i="239" s="1"/>
  <c r="BM352" i="239" s="1"/>
  <c r="BP328" i="239"/>
  <c r="BP330" i="239" s="1"/>
  <c r="BP332" i="239" s="1"/>
  <c r="BM328" i="239"/>
  <c r="BM330" i="239" s="1"/>
  <c r="BM332" i="239" s="1"/>
  <c r="BU1" i="239"/>
  <c r="D88" i="158"/>
  <c r="G75" i="158" s="1"/>
  <c r="I84" i="37"/>
  <c r="T49" i="37" l="1"/>
  <c r="U49" i="37"/>
  <c r="U52" i="37"/>
  <c r="T52" i="37"/>
  <c r="T53" i="37"/>
  <c r="U53" i="37"/>
  <c r="T32" i="37"/>
  <c r="T25" i="37"/>
  <c r="U23" i="37"/>
  <c r="T23" i="37"/>
  <c r="U26" i="37"/>
  <c r="T22" i="37"/>
  <c r="U25" i="37"/>
  <c r="U31" i="37"/>
  <c r="U24" i="37"/>
  <c r="U22" i="37"/>
  <c r="T31" i="37"/>
  <c r="T24" i="37"/>
  <c r="U30" i="37"/>
  <c r="T30" i="37"/>
  <c r="T26" i="37"/>
  <c r="U32" i="37"/>
  <c r="U18" i="37"/>
  <c r="T18" i="37"/>
  <c r="T65" i="37"/>
  <c r="U17" i="37"/>
  <c r="T60" i="37"/>
  <c r="U65" i="37"/>
  <c r="U63" i="37"/>
  <c r="U60" i="37"/>
  <c r="T17" i="37"/>
  <c r="T63" i="37"/>
  <c r="E29" i="292" l="1"/>
  <c r="V22" i="37"/>
  <c r="V18" i="37"/>
  <c r="F144" i="261" l="1"/>
  <c r="BX357" i="239" l="1"/>
  <c r="D28" i="292" s="1"/>
  <c r="BU357" i="239"/>
  <c r="D27" i="292" s="1"/>
  <c r="BR357" i="239"/>
  <c r="D26" i="292" s="1"/>
  <c r="BO357" i="239"/>
  <c r="D25" i="292" s="1"/>
  <c r="BL357" i="239"/>
  <c r="D24" i="292" s="1"/>
  <c r="BI357" i="239"/>
  <c r="D23" i="292" s="1"/>
  <c r="BF357" i="239"/>
  <c r="D22" i="292" s="1"/>
  <c r="BC357" i="239"/>
  <c r="D21" i="292" s="1"/>
  <c r="AZ357" i="239"/>
  <c r="D20" i="292" s="1"/>
  <c r="AW357" i="239"/>
  <c r="AT357" i="239"/>
  <c r="BO1" i="239" l="1"/>
  <c r="BO361" i="239"/>
  <c r="BO362" i="239" s="1"/>
  <c r="K37" i="268" l="1"/>
  <c r="K36" i="268"/>
  <c r="K30" i="268"/>
  <c r="K33" i="268"/>
  <c r="BP358" i="239" l="1"/>
  <c r="BP359" i="239" s="1"/>
  <c r="U38" i="37"/>
  <c r="T38" i="37"/>
  <c r="J25" i="29" l="1"/>
  <c r="F25" i="29" s="1"/>
  <c r="Y101" i="231"/>
  <c r="Y65" i="231" s="1"/>
  <c r="W101" i="231"/>
  <c r="W65" i="231" s="1"/>
  <c r="W89" i="231" s="1"/>
  <c r="L109" i="231"/>
  <c r="Y89" i="231" l="1"/>
  <c r="I82" i="37" l="1"/>
  <c r="D87" i="158"/>
  <c r="G74" i="158" s="1"/>
  <c r="E53" i="222"/>
  <c r="J37" i="222" l="1"/>
  <c r="K37" i="222" s="1"/>
  <c r="U39" i="37"/>
  <c r="M36" i="222" l="1"/>
  <c r="M37" i="222" s="1"/>
  <c r="M38" i="222" s="1"/>
  <c r="M39" i="222" s="1"/>
  <c r="J45" i="222"/>
  <c r="BX361" i="239"/>
  <c r="BU361" i="239"/>
  <c r="BR1" i="239"/>
  <c r="BL1" i="239"/>
  <c r="BR361" i="239"/>
  <c r="BR362" i="239" s="1"/>
  <c r="BL361" i="239"/>
  <c r="BL362" i="239" s="1"/>
  <c r="BI1" i="239"/>
  <c r="BF1" i="239"/>
  <c r="BC1" i="239"/>
  <c r="AZ1" i="239"/>
  <c r="BI361" i="239"/>
  <c r="BI362" i="239" s="1"/>
  <c r="BF361" i="239"/>
  <c r="BF362" i="239" s="1"/>
  <c r="BG341" i="239"/>
  <c r="BG340" i="239"/>
  <c r="BG339" i="239"/>
  <c r="BG337" i="239"/>
  <c r="BG336" i="239"/>
  <c r="BG325" i="239"/>
  <c r="BG324" i="239"/>
  <c r="BG323" i="239"/>
  <c r="BG319" i="239"/>
  <c r="BG345" i="239" s="1"/>
  <c r="BG318" i="239"/>
  <c r="BG313" i="239"/>
  <c r="BG331" i="239" s="1"/>
  <c r="BG308" i="239"/>
  <c r="BG310" i="239" s="1"/>
  <c r="BG301" i="239"/>
  <c r="BG299" i="239"/>
  <c r="BG349" i="239" s="1"/>
  <c r="BC361" i="239"/>
  <c r="BC362" i="239" s="1"/>
  <c r="AZ361" i="239"/>
  <c r="AZ362" i="239" s="1"/>
  <c r="BA349" i="239"/>
  <c r="BA341" i="239"/>
  <c r="BA340" i="239"/>
  <c r="BA339" i="239"/>
  <c r="BA337" i="239"/>
  <c r="BA336" i="239"/>
  <c r="BA325" i="239"/>
  <c r="BA324" i="239"/>
  <c r="BA323" i="239"/>
  <c r="BA319" i="239"/>
  <c r="BA345" i="239" s="1"/>
  <c r="BA318" i="239"/>
  <c r="BA313" i="239"/>
  <c r="BA331" i="239" s="1"/>
  <c r="BA308" i="239"/>
  <c r="BA310" i="239" s="1"/>
  <c r="BA301" i="239"/>
  <c r="BA299" i="239"/>
  <c r="BA303" i="239" s="1"/>
  <c r="BA306" i="239" s="1"/>
  <c r="AW1" i="239"/>
  <c r="AW361" i="239"/>
  <c r="AX341" i="239"/>
  <c r="AX340" i="239"/>
  <c r="AX339" i="239"/>
  <c r="AX337" i="239"/>
  <c r="AX336" i="239"/>
  <c r="AX325" i="239"/>
  <c r="AX324" i="239"/>
  <c r="AX323" i="239"/>
  <c r="AX319" i="239"/>
  <c r="AX345" i="239" s="1"/>
  <c r="AX318" i="239"/>
  <c r="AX313" i="239"/>
  <c r="AX331" i="239" s="1"/>
  <c r="AX308" i="239"/>
  <c r="AX310" i="239" s="1"/>
  <c r="AX301" i="239"/>
  <c r="AX299" i="239"/>
  <c r="AT1" i="239"/>
  <c r="AT361" i="239"/>
  <c r="AT362" i="239" s="1"/>
  <c r="BA312" i="239" l="1"/>
  <c r="AX321" i="239"/>
  <c r="AX303" i="239"/>
  <c r="AX306" i="239" s="1"/>
  <c r="BX362" i="239"/>
  <c r="BU362" i="239"/>
  <c r="AW362" i="239"/>
  <c r="D19" i="292"/>
  <c r="BA314" i="239"/>
  <c r="AX338" i="239"/>
  <c r="AX349" i="239"/>
  <c r="BG326" i="239"/>
  <c r="BG342" i="239" s="1"/>
  <c r="BG338" i="239"/>
  <c r="AX312" i="239"/>
  <c r="AX314" i="239" s="1"/>
  <c r="BA326" i="239"/>
  <c r="BA342" i="239" s="1"/>
  <c r="BA338" i="239"/>
  <c r="BG321" i="239"/>
  <c r="BV358" i="239"/>
  <c r="BV359" i="239" s="1"/>
  <c r="BA321" i="239"/>
  <c r="BG303" i="239"/>
  <c r="BG306" i="239" s="1"/>
  <c r="BG312" i="239"/>
  <c r="BG314" i="239" s="1"/>
  <c r="AX326" i="239"/>
  <c r="AX342" i="239" s="1"/>
  <c r="AX344" i="239" l="1"/>
  <c r="AX347" i="239" s="1"/>
  <c r="AX351" i="239" s="1"/>
  <c r="AX352" i="239" s="1"/>
  <c r="BA344" i="239"/>
  <c r="BA347" i="239" s="1"/>
  <c r="BA351" i="239" s="1"/>
  <c r="BA352" i="239" s="1"/>
  <c r="BJ358" i="239"/>
  <c r="BJ359" i="239" s="1"/>
  <c r="BS357" i="239"/>
  <c r="E26" i="292" s="1"/>
  <c r="BA328" i="239"/>
  <c r="BA330" i="239" s="1"/>
  <c r="BA332" i="239" s="1"/>
  <c r="BD358" i="239"/>
  <c r="BD359" i="239" s="1"/>
  <c r="BG344" i="239"/>
  <c r="BG347" i="239" s="1"/>
  <c r="BG351" i="239" s="1"/>
  <c r="BG352" i="239" s="1"/>
  <c r="BG357" i="239" s="1"/>
  <c r="BG328" i="239"/>
  <c r="BG330" i="239" s="1"/>
  <c r="BG332" i="239" s="1"/>
  <c r="BP357" i="239"/>
  <c r="E25" i="292" s="1"/>
  <c r="AX328" i="239"/>
  <c r="AX330" i="239" s="1"/>
  <c r="AX332" i="239" s="1"/>
  <c r="BY357" i="239"/>
  <c r="E28" i="292" s="1"/>
  <c r="BY358" i="239"/>
  <c r="BY359" i="239" s="1"/>
  <c r="BA358" i="239" l="1"/>
  <c r="BA359" i="239" s="1"/>
  <c r="BD357" i="239"/>
  <c r="AX358" i="239"/>
  <c r="AX359" i="239" s="1"/>
  <c r="BA357" i="239"/>
  <c r="E20" i="292" s="1"/>
  <c r="BJ357" i="239"/>
  <c r="E23" i="292" s="1"/>
  <c r="BS358" i="239"/>
  <c r="BS359" i="239" s="1"/>
  <c r="BV357" i="239"/>
  <c r="E27" i="292" s="1"/>
  <c r="BG358" i="239"/>
  <c r="BG359" i="239" s="1"/>
  <c r="E22" i="292"/>
  <c r="BM357" i="239"/>
  <c r="E24" i="292" s="1"/>
  <c r="BM358" i="239"/>
  <c r="BM359" i="239" s="1"/>
  <c r="AQ361" i="239" l="1"/>
  <c r="AQ362" i="239" s="1"/>
  <c r="AN361" i="239"/>
  <c r="AN362" i="239" s="1"/>
  <c r="AK361" i="239"/>
  <c r="AK362" i="239" s="1"/>
  <c r="AH361" i="239"/>
  <c r="AH362" i="239" s="1"/>
  <c r="AE361" i="239"/>
  <c r="AE362" i="239" s="1"/>
  <c r="AB361" i="239"/>
  <c r="AB362" i="239" s="1"/>
  <c r="Y361" i="239"/>
  <c r="Y362" i="239" s="1"/>
  <c r="V361" i="239"/>
  <c r="V362" i="239" s="1"/>
  <c r="S361" i="239"/>
  <c r="S362" i="239" s="1"/>
  <c r="Q361" i="239"/>
  <c r="AU341" i="239"/>
  <c r="AR341" i="239"/>
  <c r="AO341" i="239"/>
  <c r="AL341" i="239"/>
  <c r="AI341" i="239"/>
  <c r="AF341" i="239"/>
  <c r="AC341" i="239"/>
  <c r="Z341" i="239"/>
  <c r="W341" i="239"/>
  <c r="T341" i="239"/>
  <c r="AU340" i="239"/>
  <c r="AR340" i="239"/>
  <c r="AO340" i="239"/>
  <c r="AL340" i="239"/>
  <c r="AI340" i="239"/>
  <c r="AF340" i="239"/>
  <c r="AC340" i="239"/>
  <c r="Z340" i="239"/>
  <c r="W340" i="239"/>
  <c r="T340" i="239"/>
  <c r="AU339" i="239"/>
  <c r="AR339" i="239"/>
  <c r="AO339" i="239"/>
  <c r="AL339" i="239"/>
  <c r="AI339" i="239"/>
  <c r="AF339" i="239"/>
  <c r="AC339" i="239"/>
  <c r="Z339" i="239"/>
  <c r="W339" i="239"/>
  <c r="T339" i="239"/>
  <c r="AU337" i="239"/>
  <c r="AR337" i="239"/>
  <c r="AO337" i="239"/>
  <c r="AL337" i="239"/>
  <c r="AI337" i="239"/>
  <c r="AF337" i="239"/>
  <c r="AC337" i="239"/>
  <c r="Z337" i="239"/>
  <c r="W337" i="239"/>
  <c r="AU336" i="239"/>
  <c r="AU338" i="239" s="1"/>
  <c r="AR336" i="239"/>
  <c r="AR338" i="239" s="1"/>
  <c r="AO336" i="239"/>
  <c r="AO338" i="239" s="1"/>
  <c r="AL336" i="239"/>
  <c r="AL338" i="239" s="1"/>
  <c r="AI336" i="239"/>
  <c r="AF336" i="239"/>
  <c r="AF338" i="239" s="1"/>
  <c r="AC336" i="239"/>
  <c r="Z336" i="239"/>
  <c r="W336" i="239"/>
  <c r="W338" i="239" s="1"/>
  <c r="T336" i="239"/>
  <c r="T338" i="239" s="1"/>
  <c r="T331" i="239"/>
  <c r="AU325" i="239"/>
  <c r="AR325" i="239"/>
  <c r="AO325" i="239"/>
  <c r="AL325" i="239"/>
  <c r="AI325" i="239"/>
  <c r="AF325" i="239"/>
  <c r="AC325" i="239"/>
  <c r="Z325" i="239"/>
  <c r="W325" i="239"/>
  <c r="T325" i="239"/>
  <c r="AU324" i="239"/>
  <c r="AR324" i="239"/>
  <c r="AO324" i="239"/>
  <c r="AL324" i="239"/>
  <c r="AI324" i="239"/>
  <c r="AF324" i="239"/>
  <c r="AC324" i="239"/>
  <c r="Z324" i="239"/>
  <c r="W324" i="239"/>
  <c r="T324" i="239"/>
  <c r="AU323" i="239"/>
  <c r="AR323" i="239"/>
  <c r="AO323" i="239"/>
  <c r="AL323" i="239"/>
  <c r="AI323" i="239"/>
  <c r="AF323" i="239"/>
  <c r="AC323" i="239"/>
  <c r="Z323" i="239"/>
  <c r="W323" i="239"/>
  <c r="T323" i="239"/>
  <c r="AU319" i="239"/>
  <c r="AU345" i="239" s="1"/>
  <c r="AR319" i="239"/>
  <c r="AR345" i="239" s="1"/>
  <c r="AO319" i="239"/>
  <c r="AO345" i="239" s="1"/>
  <c r="AL319" i="239"/>
  <c r="AL345" i="239" s="1"/>
  <c r="AI319" i="239"/>
  <c r="AI345" i="239" s="1"/>
  <c r="AF319" i="239"/>
  <c r="AF345" i="239" s="1"/>
  <c r="AC319" i="239"/>
  <c r="AC345" i="239" s="1"/>
  <c r="Z319" i="239"/>
  <c r="Z345" i="239" s="1"/>
  <c r="W319" i="239"/>
  <c r="W345" i="239" s="1"/>
  <c r="T319" i="239"/>
  <c r="T345" i="239" s="1"/>
  <c r="AU318" i="239"/>
  <c r="AR318" i="239"/>
  <c r="AO318" i="239"/>
  <c r="AL318" i="239"/>
  <c r="AI318" i="239"/>
  <c r="AF318" i="239"/>
  <c r="AF321" i="239" s="1"/>
  <c r="AC318" i="239"/>
  <c r="AC321" i="239" s="1"/>
  <c r="Z318" i="239"/>
  <c r="Z321" i="239" s="1"/>
  <c r="W318" i="239"/>
  <c r="T318" i="239"/>
  <c r="AU313" i="239"/>
  <c r="AU331" i="239" s="1"/>
  <c r="AR313" i="239"/>
  <c r="AR331" i="239" s="1"/>
  <c r="AO313" i="239"/>
  <c r="AO331" i="239" s="1"/>
  <c r="AL313" i="239"/>
  <c r="AL331" i="239" s="1"/>
  <c r="AI313" i="239"/>
  <c r="AI331" i="239" s="1"/>
  <c r="AF313" i="239"/>
  <c r="AF331" i="239" s="1"/>
  <c r="AC313" i="239"/>
  <c r="AC331" i="239" s="1"/>
  <c r="Z313" i="239"/>
  <c r="Z331" i="239" s="1"/>
  <c r="W313" i="239"/>
  <c r="W331" i="239" s="1"/>
  <c r="T313" i="239"/>
  <c r="AU308" i="239"/>
  <c r="AU326" i="239" s="1"/>
  <c r="AU342" i="239" s="1"/>
  <c r="AR308" i="239"/>
  <c r="AR310" i="239" s="1"/>
  <c r="AO308" i="239"/>
  <c r="AO310" i="239" s="1"/>
  <c r="AL308" i="239"/>
  <c r="AL326" i="239" s="1"/>
  <c r="AL342" i="239" s="1"/>
  <c r="AI308" i="239"/>
  <c r="AI326" i="239" s="1"/>
  <c r="AI342" i="239" s="1"/>
  <c r="AF308" i="239"/>
  <c r="AF326" i="239" s="1"/>
  <c r="AF342" i="239" s="1"/>
  <c r="AC308" i="239"/>
  <c r="AC326" i="239" s="1"/>
  <c r="AC342" i="239" s="1"/>
  <c r="Z308" i="239"/>
  <c r="Z326" i="239" s="1"/>
  <c r="Z342" i="239" s="1"/>
  <c r="W308" i="239"/>
  <c r="W326" i="239" s="1"/>
  <c r="W342" i="239" s="1"/>
  <c r="T308" i="239"/>
  <c r="T310" i="239" s="1"/>
  <c r="AU301" i="239"/>
  <c r="AR301" i="239"/>
  <c r="AO301" i="239"/>
  <c r="AL301" i="239"/>
  <c r="AI301" i="239"/>
  <c r="AF301" i="239"/>
  <c r="AC301" i="239"/>
  <c r="Z301" i="239"/>
  <c r="W301" i="239"/>
  <c r="T301" i="239"/>
  <c r="AU299" i="239"/>
  <c r="AU349" i="239" s="1"/>
  <c r="AR299" i="239"/>
  <c r="AO299" i="239"/>
  <c r="AO349" i="239" s="1"/>
  <c r="AL299" i="239"/>
  <c r="AI299" i="239"/>
  <c r="AI349" i="239" s="1"/>
  <c r="AF299" i="239"/>
  <c r="AC299" i="239"/>
  <c r="Z299" i="239"/>
  <c r="W299" i="239"/>
  <c r="W349" i="239" s="1"/>
  <c r="T299" i="239"/>
  <c r="T349" i="239" s="1"/>
  <c r="AC338" i="239" l="1"/>
  <c r="AI310" i="239"/>
  <c r="AL321" i="239"/>
  <c r="AL310" i="239"/>
  <c r="AI321" i="239"/>
  <c r="AI330" i="239" s="1"/>
  <c r="AI332" i="239" s="1"/>
  <c r="AR303" i="239"/>
  <c r="AR306" i="239" s="1"/>
  <c r="W310" i="239"/>
  <c r="W312" i="239" s="1"/>
  <c r="W314" i="239" s="1"/>
  <c r="T303" i="239"/>
  <c r="T306" i="239" s="1"/>
  <c r="Z338" i="239"/>
  <c r="T312" i="239"/>
  <c r="T314" i="239" s="1"/>
  <c r="AR312" i="239"/>
  <c r="AR314" i="239" s="1"/>
  <c r="W321" i="239"/>
  <c r="AU321" i="239"/>
  <c r="AI338" i="239"/>
  <c r="AI344" i="239" s="1"/>
  <c r="AI347" i="239" s="1"/>
  <c r="AI351" i="239" s="1"/>
  <c r="AI352" i="239" s="1"/>
  <c r="AU344" i="239"/>
  <c r="AU347" i="239" s="1"/>
  <c r="AU351" i="239" s="1"/>
  <c r="AU352" i="239" s="1"/>
  <c r="AX361" i="239" s="1"/>
  <c r="E19" i="292" s="1"/>
  <c r="AC328" i="239"/>
  <c r="AC330" i="239" s="1"/>
  <c r="AC332" i="239" s="1"/>
  <c r="AC344" i="239"/>
  <c r="AC347" i="239" s="1"/>
  <c r="Z344" i="239"/>
  <c r="Z347" i="239" s="1"/>
  <c r="AR349" i="239"/>
  <c r="Z310" i="239"/>
  <c r="Z312" i="239" s="1"/>
  <c r="Z314" i="239" s="1"/>
  <c r="AF328" i="239"/>
  <c r="AF330" i="239" s="1"/>
  <c r="AF332" i="239" s="1"/>
  <c r="AF344" i="239"/>
  <c r="AF347" i="239" s="1"/>
  <c r="W344" i="239"/>
  <c r="W347" i="239" s="1"/>
  <c r="W351" i="239" s="1"/>
  <c r="W352" i="239" s="1"/>
  <c r="AI328" i="239"/>
  <c r="W303" i="239"/>
  <c r="W306" i="239" s="1"/>
  <c r="AL328" i="239"/>
  <c r="AL344" i="239"/>
  <c r="AL347" i="239" s="1"/>
  <c r="AO303" i="239"/>
  <c r="AO306" i="239" s="1"/>
  <c r="AU310" i="239"/>
  <c r="AU312" i="239" s="1"/>
  <c r="AU314" i="239" s="1"/>
  <c r="AU303" i="239"/>
  <c r="AU306" i="239" s="1"/>
  <c r="AL312" i="239"/>
  <c r="AL314" i="239" s="1"/>
  <c r="AO312" i="239"/>
  <c r="AO314" i="239" s="1"/>
  <c r="W328" i="239"/>
  <c r="W330" i="239" s="1"/>
  <c r="W332" i="239" s="1"/>
  <c r="AU328" i="239"/>
  <c r="AU330" i="239" s="1"/>
  <c r="AU332" i="239" s="1"/>
  <c r="T321" i="239"/>
  <c r="AR321" i="239"/>
  <c r="Z328" i="239"/>
  <c r="Z330" i="239" s="1"/>
  <c r="Z332" i="239" s="1"/>
  <c r="Z349" i="239"/>
  <c r="AU362" i="239"/>
  <c r="AL330" i="239"/>
  <c r="AL332" i="239" s="1"/>
  <c r="AC310" i="239"/>
  <c r="AC312" i="239" s="1"/>
  <c r="AC314" i="239" s="1"/>
  <c r="AO321" i="239"/>
  <c r="AO326" i="239"/>
  <c r="AO342" i="239" s="1"/>
  <c r="AO344" i="239" s="1"/>
  <c r="AO347" i="239" s="1"/>
  <c r="AO351" i="239" s="1"/>
  <c r="AO352" i="239" s="1"/>
  <c r="Z303" i="239"/>
  <c r="Z306" i="239" s="1"/>
  <c r="AF310" i="239"/>
  <c r="AF312" i="239" s="1"/>
  <c r="AF314" i="239" s="1"/>
  <c r="T326" i="239"/>
  <c r="T342" i="239" s="1"/>
  <c r="T344" i="239" s="1"/>
  <c r="T347" i="239" s="1"/>
  <c r="T351" i="239" s="1"/>
  <c r="T352" i="239" s="1"/>
  <c r="AR326" i="239"/>
  <c r="AR342" i="239" s="1"/>
  <c r="AR344" i="239" s="1"/>
  <c r="AR347" i="239" s="1"/>
  <c r="AR351" i="239" s="1"/>
  <c r="AR352" i="239" s="1"/>
  <c r="AC349" i="239"/>
  <c r="AC351" i="239" s="1"/>
  <c r="AC352" i="239" s="1"/>
  <c r="AC303" i="239"/>
  <c r="AC306" i="239" s="1"/>
  <c r="AF349" i="239"/>
  <c r="AF303" i="239"/>
  <c r="AF306" i="239" s="1"/>
  <c r="AI303" i="239"/>
  <c r="AI306" i="239" s="1"/>
  <c r="AI312" i="239"/>
  <c r="AI314" i="239" s="1"/>
  <c r="AL349" i="239"/>
  <c r="AL351" i="239" s="1"/>
  <c r="AL352" i="239" s="1"/>
  <c r="AL303" i="239"/>
  <c r="AL306" i="239" s="1"/>
  <c r="AK1" i="239"/>
  <c r="AX362" i="239" l="1"/>
  <c r="AF351" i="239"/>
  <c r="AF352" i="239" s="1"/>
  <c r="Z351" i="239"/>
  <c r="Z352" i="239" s="1"/>
  <c r="Z358" i="239" s="1"/>
  <c r="Z359" i="239" s="1"/>
  <c r="BA362" i="239"/>
  <c r="AU358" i="239"/>
  <c r="AU359" i="239" s="1"/>
  <c r="AX357" i="239"/>
  <c r="AO328" i="239"/>
  <c r="AO330" i="239" s="1"/>
  <c r="AO332" i="239" s="1"/>
  <c r="W357" i="239"/>
  <c r="T357" i="239"/>
  <c r="T358" i="239"/>
  <c r="T359" i="239" s="1"/>
  <c r="AO358" i="239"/>
  <c r="AO359" i="239" s="1"/>
  <c r="AR357" i="239"/>
  <c r="AU357" i="239"/>
  <c r="AR358" i="239"/>
  <c r="AR359" i="239" s="1"/>
  <c r="AL357" i="239"/>
  <c r="AI358" i="239"/>
  <c r="AI359" i="239" s="1"/>
  <c r="AO357" i="239"/>
  <c r="AL358" i="239"/>
  <c r="AL359" i="239" s="1"/>
  <c r="AC358" i="239"/>
  <c r="AC359" i="239" s="1"/>
  <c r="AF357" i="239"/>
  <c r="AF358" i="239"/>
  <c r="AF359" i="239" s="1"/>
  <c r="AI357" i="239"/>
  <c r="AR328" i="239"/>
  <c r="AR330" i="239" s="1"/>
  <c r="AR332" i="239" s="1"/>
  <c r="W358" i="239"/>
  <c r="W359" i="239" s="1"/>
  <c r="T328" i="239"/>
  <c r="T330" i="239" s="1"/>
  <c r="T332" i="239" s="1"/>
  <c r="BD362" i="239" l="1"/>
  <c r="BG362" i="239" s="1"/>
  <c r="Z357" i="239"/>
  <c r="AC357" i="239"/>
  <c r="D7" i="292"/>
  <c r="A7" i="292"/>
  <c r="A8" i="292" s="1"/>
  <c r="E8" i="292"/>
  <c r="BJ362" i="239" l="1"/>
  <c r="BM362" i="239"/>
  <c r="D17" i="292"/>
  <c r="BP362" i="239" l="1"/>
  <c r="BS362" i="239" s="1"/>
  <c r="BV362" i="239" s="1"/>
  <c r="BY362" i="239" s="1"/>
  <c r="E16" i="292"/>
  <c r="E15" i="292"/>
  <c r="E14" i="292"/>
  <c r="E13" i="292"/>
  <c r="E12" i="292"/>
  <c r="E11" i="292"/>
  <c r="D8" i="292"/>
  <c r="D9" i="292"/>
  <c r="D10" i="292"/>
  <c r="D11" i="292"/>
  <c r="D12" i="292"/>
  <c r="D13" i="292"/>
  <c r="D14" i="292"/>
  <c r="D15" i="292"/>
  <c r="D16" i="292"/>
  <c r="E9" i="292" l="1"/>
  <c r="E10" i="292"/>
  <c r="D18" i="292"/>
  <c r="D31" i="292" s="1"/>
  <c r="E17" i="292"/>
  <c r="AQ1" i="239"/>
  <c r="E18" i="292" l="1"/>
  <c r="E31" i="292" s="1"/>
  <c r="I86" i="37"/>
  <c r="I59" i="37" l="1"/>
  <c r="I50" i="37"/>
  <c r="I29" i="37"/>
  <c r="M101" i="231"/>
  <c r="M65" i="231" l="1"/>
  <c r="M77" i="231"/>
  <c r="AN1" i="239" l="1"/>
  <c r="AH1" i="239"/>
  <c r="F32" i="29" s="1"/>
  <c r="AE1" i="239"/>
  <c r="AB1" i="239"/>
  <c r="Y1" i="239"/>
  <c r="A26" i="237"/>
  <c r="A27" i="237" s="1"/>
  <c r="A28" i="237" s="1"/>
  <c r="A29" i="237" s="1"/>
  <c r="A30" i="237" s="1"/>
  <c r="A31" i="237" s="1"/>
  <c r="A32" i="237" s="1"/>
  <c r="A33" i="237" s="1"/>
  <c r="V1" i="239"/>
  <c r="G59" i="41" s="1"/>
  <c r="S1" i="239"/>
  <c r="F143" i="261" l="1"/>
  <c r="H83" i="261" s="1"/>
  <c r="D37" i="237"/>
  <c r="A9" i="292"/>
  <c r="A10" i="292" s="1"/>
  <c r="A11" i="292" s="1"/>
  <c r="A12" i="292" s="1"/>
  <c r="A13" i="292" s="1"/>
  <c r="A14" i="292" s="1"/>
  <c r="A15" i="292" s="1"/>
  <c r="A16" i="292" s="1"/>
  <c r="A17" i="292" s="1"/>
  <c r="A18" i="292" s="1"/>
  <c r="A19" i="292" s="1"/>
  <c r="A20" i="292" s="1"/>
  <c r="A21" i="292" s="1"/>
  <c r="A22" i="292" s="1"/>
  <c r="A23" i="292" s="1"/>
  <c r="A24" i="292" s="1"/>
  <c r="A25" i="292" s="1"/>
  <c r="A26" i="292" s="1"/>
  <c r="A27" i="292" s="1"/>
  <c r="A28" i="292" s="1"/>
  <c r="A29" i="292" s="1"/>
  <c r="A30" i="292" s="1"/>
  <c r="A31" i="292" s="1"/>
  <c r="A32" i="292" l="1"/>
  <c r="A33" i="292" s="1"/>
  <c r="A34" i="292" s="1"/>
  <c r="A35" i="292" s="1"/>
  <c r="A36" i="292" s="1"/>
  <c r="A37" i="292" s="1"/>
  <c r="J28" i="237"/>
  <c r="L28" i="237" s="1"/>
  <c r="G28" i="237" s="1"/>
  <c r="G30" i="237" s="1"/>
  <c r="G33" i="237" s="1"/>
  <c r="H122" i="261"/>
  <c r="H24" i="261"/>
  <c r="H116" i="261"/>
  <c r="H130" i="261"/>
  <c r="H73" i="261"/>
  <c r="H108" i="261"/>
  <c r="H35" i="261"/>
  <c r="H33" i="261"/>
  <c r="H26" i="261"/>
  <c r="H124" i="261"/>
  <c r="H47" i="261"/>
  <c r="H53" i="261"/>
  <c r="H57" i="261"/>
  <c r="H75" i="261"/>
  <c r="H28" i="261"/>
  <c r="H54" i="261"/>
  <c r="H105" i="261"/>
  <c r="H14" i="261"/>
  <c r="H45" i="261"/>
  <c r="H99" i="261"/>
  <c r="H132" i="261"/>
  <c r="H97" i="261"/>
  <c r="H32" i="261"/>
  <c r="H18" i="261"/>
  <c r="H129" i="261"/>
  <c r="H80" i="261"/>
  <c r="H70" i="261"/>
  <c r="H19" i="261"/>
  <c r="H126" i="261"/>
  <c r="H125" i="261"/>
  <c r="H85" i="261"/>
  <c r="H121" i="261"/>
  <c r="H113" i="261"/>
  <c r="H84" i="261"/>
  <c r="H59" i="261"/>
  <c r="H88" i="261"/>
  <c r="H81" i="261"/>
  <c r="H34" i="261"/>
  <c r="H100" i="261"/>
  <c r="H136" i="261"/>
  <c r="H25" i="261"/>
  <c r="H56" i="261"/>
  <c r="H48" i="261"/>
  <c r="H37" i="261"/>
  <c r="H114" i="261"/>
  <c r="H106" i="261"/>
  <c r="H131" i="261"/>
  <c r="H46" i="261"/>
  <c r="H43" i="261"/>
  <c r="H76" i="261"/>
  <c r="H115" i="261"/>
  <c r="H55" i="261"/>
  <c r="H74" i="261"/>
  <c r="H107" i="261"/>
  <c r="H86" i="261"/>
  <c r="H82" i="261"/>
  <c r="H127" i="261"/>
  <c r="H72" i="261"/>
  <c r="H68" i="261"/>
  <c r="H66" i="261"/>
  <c r="H44" i="261"/>
  <c r="H98" i="261"/>
  <c r="H89" i="261"/>
  <c r="H42" i="261"/>
  <c r="H71" i="261"/>
  <c r="H49" i="261"/>
  <c r="H58" i="261"/>
  <c r="H36" i="261"/>
  <c r="H87" i="261"/>
  <c r="H27" i="261"/>
  <c r="H69" i="261"/>
  <c r="H128" i="261"/>
  <c r="H123" i="261"/>
  <c r="H13" i="261"/>
  <c r="H96" i="261"/>
  <c r="H67" i="261"/>
  <c r="A31" i="256"/>
  <c r="A32" i="256" s="1"/>
  <c r="A33" i="256" s="1"/>
  <c r="A34" i="256" s="1"/>
  <c r="E18" i="283"/>
  <c r="J36" i="256" l="1"/>
  <c r="J12" i="256" s="1"/>
  <c r="J27" i="256" l="1"/>
  <c r="E52" i="222"/>
  <c r="E51" i="222"/>
  <c r="I45" i="12"/>
  <c r="S23" i="2"/>
  <c r="E14" i="291" l="1"/>
  <c r="A11" i="291" l="1"/>
  <c r="A12" i="291" s="1"/>
  <c r="A13" i="291" s="1"/>
  <c r="A14" i="291" s="1"/>
  <c r="A15" i="291" s="1"/>
  <c r="A3" i="291"/>
  <c r="E1" i="291"/>
  <c r="A1" i="291"/>
  <c r="S37" i="2" l="1"/>
  <c r="S12" i="2" l="1"/>
  <c r="S29" i="2"/>
  <c r="S30" i="2"/>
  <c r="S33" i="2" l="1"/>
  <c r="S16" i="2"/>
  <c r="S35" i="2" l="1"/>
  <c r="S25" i="2"/>
  <c r="M59" i="280" l="1"/>
  <c r="N57" i="280"/>
  <c r="M57" i="280"/>
  <c r="L57" i="280"/>
  <c r="I57" i="280"/>
  <c r="F57" i="280"/>
  <c r="G57" i="280"/>
  <c r="M1" i="231" l="1"/>
  <c r="R71" i="37" l="1"/>
  <c r="Q71" i="37"/>
  <c r="J13" i="232" l="1"/>
  <c r="I13" i="232"/>
  <c r="O76" i="282" l="1"/>
  <c r="O72" i="282"/>
  <c r="N76" i="282"/>
  <c r="N72" i="282"/>
  <c r="O12" i="232" l="1"/>
  <c r="O14" i="232"/>
  <c r="O18" i="232"/>
  <c r="O20" i="232"/>
  <c r="O22" i="232"/>
  <c r="O24" i="232"/>
  <c r="O26" i="232"/>
  <c r="O28" i="232"/>
  <c r="U59" i="37"/>
  <c r="V53" i="37"/>
  <c r="V51" i="37"/>
  <c r="V50" i="37"/>
  <c r="S50" i="37"/>
  <c r="S51" i="37"/>
  <c r="S52" i="37"/>
  <c r="S53" i="37"/>
  <c r="S49" i="37"/>
  <c r="R54" i="37"/>
  <c r="Q54" i="37"/>
  <c r="O54" i="37"/>
  <c r="N54" i="37"/>
  <c r="P53" i="37"/>
  <c r="P52" i="37"/>
  <c r="P51" i="37"/>
  <c r="P50" i="37"/>
  <c r="P49" i="37"/>
  <c r="U41" i="37"/>
  <c r="T41" i="37"/>
  <c r="U40" i="37"/>
  <c r="T40" i="37"/>
  <c r="T21" i="275"/>
  <c r="Y21" i="275"/>
  <c r="AD21" i="275"/>
  <c r="AD16" i="275"/>
  <c r="Y16" i="275"/>
  <c r="T16" i="275"/>
  <c r="P54" i="37" l="1"/>
  <c r="V52" i="37"/>
  <c r="T54" i="37"/>
  <c r="S54" i="37"/>
  <c r="H35" i="242" l="1"/>
  <c r="T42" i="261" l="1"/>
  <c r="T43" i="261"/>
  <c r="T44" i="261"/>
  <c r="T45" i="261"/>
  <c r="T46" i="261"/>
  <c r="T47" i="261"/>
  <c r="T48" i="261"/>
  <c r="T49" i="261"/>
  <c r="K18" i="254" l="1"/>
  <c r="J18" i="254"/>
  <c r="I18" i="254"/>
  <c r="D32" i="254" s="1"/>
  <c r="AJ8" i="256"/>
  <c r="AI8" i="256"/>
  <c r="AH8" i="256"/>
  <c r="Z8" i="256"/>
  <c r="Y8" i="256"/>
  <c r="X8" i="256"/>
  <c r="U8" i="256"/>
  <c r="T8" i="256"/>
  <c r="S8" i="256"/>
  <c r="P8" i="256"/>
  <c r="O8" i="256"/>
  <c r="N8" i="256"/>
  <c r="Z8" i="40"/>
  <c r="Y8" i="40"/>
  <c r="X8" i="40"/>
  <c r="L7" i="29"/>
  <c r="K7" i="29"/>
  <c r="J7" i="29"/>
  <c r="N8" i="162"/>
  <c r="M8" i="162"/>
  <c r="L8" i="162"/>
  <c r="P7" i="6"/>
  <c r="O7" i="6"/>
  <c r="N7" i="6"/>
  <c r="K7" i="6"/>
  <c r="J7" i="6"/>
  <c r="I7" i="6"/>
  <c r="AJ7" i="282"/>
  <c r="AI7" i="282"/>
  <c r="AH7" i="282"/>
  <c r="AE7" i="282"/>
  <c r="AD7" i="282"/>
  <c r="AC7" i="282"/>
  <c r="Z7" i="282"/>
  <c r="Y7" i="282"/>
  <c r="X7" i="282"/>
  <c r="U7" i="282"/>
  <c r="T7" i="282"/>
  <c r="S7" i="282"/>
  <c r="P7" i="282"/>
  <c r="O7" i="282"/>
  <c r="N7" i="282"/>
  <c r="K6" i="279"/>
  <c r="J6" i="279"/>
  <c r="I6" i="279"/>
  <c r="K6" i="266"/>
  <c r="J6" i="266"/>
  <c r="I6" i="266"/>
  <c r="AD7" i="4"/>
  <c r="AC7" i="4"/>
  <c r="AB7" i="4"/>
  <c r="Y7" i="4"/>
  <c r="X7" i="4"/>
  <c r="W7" i="4"/>
  <c r="T7" i="4"/>
  <c r="S7" i="4"/>
  <c r="R7" i="4"/>
  <c r="K5" i="16"/>
  <c r="J5" i="16"/>
  <c r="I5" i="16"/>
  <c r="J5" i="204"/>
  <c r="I5" i="204"/>
  <c r="H5" i="204"/>
  <c r="K5" i="89"/>
  <c r="J5" i="89"/>
  <c r="I5" i="89"/>
  <c r="AF43" i="222" l="1"/>
  <c r="AF41" i="222"/>
  <c r="AF39" i="222"/>
  <c r="AF35" i="222"/>
  <c r="AF33" i="222"/>
  <c r="AF31" i="222"/>
  <c r="AF29" i="222"/>
  <c r="AF27" i="222"/>
  <c r="AF25" i="222"/>
  <c r="AF23" i="222"/>
  <c r="AF21" i="222"/>
  <c r="AF19" i="222"/>
  <c r="AF17" i="222"/>
  <c r="AF15" i="222"/>
  <c r="AF13" i="222"/>
  <c r="AF11" i="222"/>
  <c r="AB43" i="222"/>
  <c r="AB41" i="222"/>
  <c r="AB39" i="222"/>
  <c r="AB35" i="222"/>
  <c r="AB33" i="222"/>
  <c r="AB31" i="222"/>
  <c r="AB29" i="222"/>
  <c r="AB27" i="222"/>
  <c r="AB25" i="222"/>
  <c r="AB23" i="222"/>
  <c r="AB21" i="222"/>
  <c r="AB19" i="222"/>
  <c r="AB17" i="222"/>
  <c r="AB15" i="222"/>
  <c r="AB13" i="222"/>
  <c r="AB11" i="222"/>
  <c r="X43" i="222"/>
  <c r="X41" i="222"/>
  <c r="X39" i="222"/>
  <c r="X35" i="222"/>
  <c r="X33" i="222"/>
  <c r="X31" i="222"/>
  <c r="X29" i="222"/>
  <c r="X27" i="222"/>
  <c r="X25" i="222"/>
  <c r="X23" i="222"/>
  <c r="X21" i="222"/>
  <c r="X19" i="222"/>
  <c r="X17" i="222"/>
  <c r="X15" i="222"/>
  <c r="X13" i="222"/>
  <c r="X11" i="222"/>
  <c r="T43" i="222"/>
  <c r="T41" i="222"/>
  <c r="T39" i="222"/>
  <c r="T35" i="222"/>
  <c r="T33" i="222"/>
  <c r="T31" i="222"/>
  <c r="T29" i="222"/>
  <c r="T27" i="222"/>
  <c r="T25" i="222"/>
  <c r="T23" i="222"/>
  <c r="T21" i="222"/>
  <c r="T19" i="222"/>
  <c r="T17" i="222"/>
  <c r="T15" i="222"/>
  <c r="T13" i="222"/>
  <c r="T11" i="222"/>
  <c r="P43" i="222"/>
  <c r="P41" i="222"/>
  <c r="P39" i="222"/>
  <c r="P35" i="222"/>
  <c r="P33" i="222"/>
  <c r="P31" i="222"/>
  <c r="P29" i="222"/>
  <c r="P27" i="222"/>
  <c r="P25" i="222"/>
  <c r="P23" i="222"/>
  <c r="P21" i="222"/>
  <c r="P19" i="222"/>
  <c r="P17" i="222"/>
  <c r="P15" i="222"/>
  <c r="P13" i="222"/>
  <c r="P11" i="222"/>
  <c r="P45" i="222" s="1"/>
  <c r="V23" i="37" l="1"/>
  <c r="D26" i="289" l="1"/>
  <c r="D22" i="289"/>
  <c r="A1" i="289" l="1"/>
  <c r="K11" i="29" l="1"/>
  <c r="J11" i="29"/>
  <c r="L11" i="29" s="1"/>
  <c r="L9" i="29"/>
  <c r="L16" i="29" l="1"/>
  <c r="L8" i="29"/>
  <c r="K8" i="29"/>
  <c r="J8" i="29"/>
  <c r="H6" i="16" l="1"/>
  <c r="H7" i="16" s="1"/>
  <c r="H8" i="16" s="1"/>
  <c r="H9" i="16" l="1"/>
  <c r="H10" i="16" l="1"/>
  <c r="H11" i="16" s="1"/>
  <c r="H12" i="16" s="1"/>
  <c r="H13" i="16" s="1"/>
  <c r="H14" i="16" l="1"/>
  <c r="H15" i="16" l="1"/>
  <c r="H16" i="16" l="1"/>
  <c r="H17" i="16" l="1"/>
  <c r="H18" i="16" l="1"/>
  <c r="H19" i="16" l="1"/>
  <c r="H20" i="16" l="1"/>
  <c r="H21" i="16" l="1"/>
  <c r="H22" i="16" l="1"/>
  <c r="H23" i="16" l="1"/>
  <c r="H24" i="16" s="1"/>
  <c r="H25" i="16" s="1"/>
  <c r="H26" i="16" l="1"/>
  <c r="H27" i="16" l="1"/>
  <c r="H28" i="16" s="1"/>
  <c r="H29" i="16" s="1"/>
  <c r="H30" i="16" s="1"/>
  <c r="H31" i="16" s="1"/>
  <c r="H32" i="16" l="1"/>
  <c r="H33" i="16" l="1"/>
  <c r="H34" i="16" l="1"/>
  <c r="H35" i="16" s="1"/>
  <c r="H36" i="16" s="1"/>
  <c r="H37" i="16" s="1"/>
  <c r="H38" i="16" s="1"/>
  <c r="H39" i="16" l="1"/>
  <c r="H40" i="16" s="1"/>
  <c r="G7" i="204" l="1"/>
  <c r="G8" i="204" s="1"/>
  <c r="G9" i="204" s="1"/>
  <c r="G6" i="204"/>
  <c r="H6" i="89"/>
  <c r="H7" i="89" s="1"/>
  <c r="H8" i="89" s="1"/>
  <c r="H9" i="89" s="1"/>
  <c r="H10" i="89" l="1"/>
  <c r="G10" i="204"/>
  <c r="A3" i="289"/>
  <c r="P33" i="2"/>
  <c r="Q33" i="2"/>
  <c r="P23" i="2"/>
  <c r="Q23" i="2"/>
  <c r="G11" i="204" l="1"/>
  <c r="H11" i="89"/>
  <c r="E26" i="194"/>
  <c r="R30" i="289"/>
  <c r="Q30" i="289"/>
  <c r="M30" i="289"/>
  <c r="L30" i="289"/>
  <c r="R28" i="289"/>
  <c r="Q28" i="289"/>
  <c r="M28" i="289"/>
  <c r="L28" i="289"/>
  <c r="R26" i="289"/>
  <c r="Q26" i="289"/>
  <c r="S26" i="289" s="1"/>
  <c r="M26" i="289"/>
  <c r="L26" i="289"/>
  <c r="R24" i="289"/>
  <c r="Q24" i="289"/>
  <c r="M24" i="289"/>
  <c r="L24" i="289"/>
  <c r="R22" i="289"/>
  <c r="Q22" i="289"/>
  <c r="S22" i="289" s="1"/>
  <c r="M22" i="289"/>
  <c r="L22" i="289"/>
  <c r="R20" i="289"/>
  <c r="Q20" i="289"/>
  <c r="M20" i="289"/>
  <c r="L20" i="289"/>
  <c r="R16" i="289"/>
  <c r="Q16" i="289"/>
  <c r="M16" i="289"/>
  <c r="L16" i="289"/>
  <c r="R14" i="289"/>
  <c r="S14" i="289" s="1"/>
  <c r="Q14" i="289"/>
  <c r="M14" i="289"/>
  <c r="L14" i="289"/>
  <c r="R12" i="289"/>
  <c r="Q12" i="289"/>
  <c r="M12" i="289"/>
  <c r="L12" i="289"/>
  <c r="S10" i="289"/>
  <c r="R10" i="289"/>
  <c r="Q10" i="289"/>
  <c r="P10" i="289"/>
  <c r="P11" i="289" s="1"/>
  <c r="P12" i="289" s="1"/>
  <c r="P13" i="289" s="1"/>
  <c r="P14" i="289" s="1"/>
  <c r="N10" i="289"/>
  <c r="M10" i="289"/>
  <c r="L10" i="289"/>
  <c r="K10" i="289"/>
  <c r="K11" i="289" s="1"/>
  <c r="K12" i="289" s="1"/>
  <c r="K13" i="289" s="1"/>
  <c r="K14" i="289" s="1"/>
  <c r="K15" i="289" s="1"/>
  <c r="K16" i="289" s="1"/>
  <c r="K17" i="289" s="1"/>
  <c r="K18" i="289" s="1"/>
  <c r="K19" i="289" s="1"/>
  <c r="K20" i="289" s="1"/>
  <c r="K21" i="289" s="1"/>
  <c r="K22" i="289" s="1"/>
  <c r="K23" i="289" s="1"/>
  <c r="K24" i="289" s="1"/>
  <c r="K25" i="289" s="1"/>
  <c r="K26" i="289" s="1"/>
  <c r="K27" i="289" s="1"/>
  <c r="K28" i="289" s="1"/>
  <c r="K29" i="289" s="1"/>
  <c r="K30" i="289" s="1"/>
  <c r="K31" i="289" s="1"/>
  <c r="K32" i="289" s="1"/>
  <c r="S9" i="289"/>
  <c r="R9" i="289"/>
  <c r="Q9" i="289"/>
  <c r="N9" i="289"/>
  <c r="M9" i="289"/>
  <c r="L9" i="289"/>
  <c r="J1" i="289"/>
  <c r="G30" i="289"/>
  <c r="D30" i="289"/>
  <c r="G28" i="289"/>
  <c r="D28" i="289"/>
  <c r="G26" i="289"/>
  <c r="C26" i="289" s="1"/>
  <c r="G24" i="289"/>
  <c r="D24" i="289"/>
  <c r="C24" i="289" s="1"/>
  <c r="G22" i="289"/>
  <c r="C22" i="289" s="1"/>
  <c r="G20" i="289"/>
  <c r="D20" i="289"/>
  <c r="F18" i="289"/>
  <c r="F32" i="289" s="1"/>
  <c r="E18" i="289"/>
  <c r="E32" i="289" s="1"/>
  <c r="G16" i="289"/>
  <c r="D16" i="289"/>
  <c r="G14" i="289"/>
  <c r="D14" i="289"/>
  <c r="A14" i="289"/>
  <c r="A16" i="289" s="1"/>
  <c r="A18" i="289" s="1"/>
  <c r="A20" i="289" s="1"/>
  <c r="A22" i="289" s="1"/>
  <c r="A24" i="289" s="1"/>
  <c r="A26" i="289" s="1"/>
  <c r="A28" i="289" s="1"/>
  <c r="A30" i="289" s="1"/>
  <c r="A32" i="289" s="1"/>
  <c r="H18" i="289"/>
  <c r="H32" i="289" s="1"/>
  <c r="G12" i="289"/>
  <c r="D12" i="289"/>
  <c r="N24" i="289" l="1"/>
  <c r="H12" i="89"/>
  <c r="G12" i="204"/>
  <c r="G13" i="204" s="1"/>
  <c r="G14" i="204" s="1"/>
  <c r="G15" i="204" s="1"/>
  <c r="N12" i="289"/>
  <c r="U12" i="289" s="1"/>
  <c r="N26" i="289"/>
  <c r="U26" i="289" s="1"/>
  <c r="N30" i="289"/>
  <c r="U30" i="289" s="1"/>
  <c r="S12" i="289"/>
  <c r="V12" i="289" s="1"/>
  <c r="S16" i="289"/>
  <c r="N22" i="289"/>
  <c r="U22" i="289" s="1"/>
  <c r="S28" i="289"/>
  <c r="S30" i="289"/>
  <c r="G18" i="289"/>
  <c r="G32" i="289" s="1"/>
  <c r="D18" i="289"/>
  <c r="D32" i="289" s="1"/>
  <c r="C30" i="289"/>
  <c r="S20" i="289"/>
  <c r="U24" i="289"/>
  <c r="N16" i="289"/>
  <c r="U16" i="289" s="1"/>
  <c r="C20" i="289"/>
  <c r="N14" i="289"/>
  <c r="U14" i="289" s="1"/>
  <c r="N20" i="289"/>
  <c r="U20" i="289" s="1"/>
  <c r="S24" i="289"/>
  <c r="N28" i="289"/>
  <c r="U28" i="289" s="1"/>
  <c r="C16" i="289"/>
  <c r="V14" i="289"/>
  <c r="I19" i="2" s="1"/>
  <c r="P15" i="289"/>
  <c r="P16" i="289" s="1"/>
  <c r="C14" i="289"/>
  <c r="C28" i="289"/>
  <c r="I18" i="289"/>
  <c r="I32" i="289" s="1"/>
  <c r="C12" i="289"/>
  <c r="G16" i="204" l="1"/>
  <c r="H13" i="89"/>
  <c r="I12" i="2"/>
  <c r="G92" i="277"/>
  <c r="M12" i="2"/>
  <c r="O12" i="2"/>
  <c r="J12" i="2"/>
  <c r="Q12" i="2"/>
  <c r="Q16" i="2" s="1"/>
  <c r="Q25" i="2" s="1"/>
  <c r="P12" i="2"/>
  <c r="P16" i="2" s="1"/>
  <c r="P35" i="2" s="1"/>
  <c r="F98" i="277" s="1"/>
  <c r="L12" i="2"/>
  <c r="V16" i="289"/>
  <c r="J19" i="2" s="1"/>
  <c r="P17" i="289"/>
  <c r="P18" i="289" s="1"/>
  <c r="P19" i="289" s="1"/>
  <c r="C18" i="289"/>
  <c r="C32" i="289" s="1"/>
  <c r="H14" i="89" l="1"/>
  <c r="G17" i="204"/>
  <c r="F16" i="204"/>
  <c r="Q35" i="2"/>
  <c r="F99" i="277" s="1"/>
  <c r="G93" i="277"/>
  <c r="P25" i="2"/>
  <c r="P20" i="289"/>
  <c r="V20" i="289" s="1"/>
  <c r="G94" i="277" s="1"/>
  <c r="G18" i="204" l="1"/>
  <c r="G19" i="204" s="1"/>
  <c r="H15" i="89"/>
  <c r="P21" i="289"/>
  <c r="H16" i="89" l="1"/>
  <c r="G20" i="204"/>
  <c r="G21" i="204" s="1"/>
  <c r="G22" i="204" s="1"/>
  <c r="P22" i="289"/>
  <c r="V22" i="289" s="1"/>
  <c r="G95" i="277" s="1"/>
  <c r="W12" i="2"/>
  <c r="G23" i="204" l="1"/>
  <c r="H17" i="89"/>
  <c r="H18" i="89" s="1"/>
  <c r="P23" i="289"/>
  <c r="P24" i="289" s="1"/>
  <c r="V24" i="289" s="1"/>
  <c r="G97" i="277" s="1"/>
  <c r="H19" i="89" l="1"/>
  <c r="G24" i="204"/>
  <c r="P25" i="289"/>
  <c r="P26" i="289" s="1"/>
  <c r="V26" i="289" s="1"/>
  <c r="G98" i="277" s="1"/>
  <c r="H98" i="277" s="1"/>
  <c r="G25" i="204" l="1"/>
  <c r="H20" i="89"/>
  <c r="P27" i="289"/>
  <c r="H21" i="89" l="1"/>
  <c r="G26" i="204"/>
  <c r="P28" i="289"/>
  <c r="V28" i="289" s="1"/>
  <c r="G99" i="277" s="1"/>
  <c r="G27" i="204" l="1"/>
  <c r="H22" i="89"/>
  <c r="P29" i="289"/>
  <c r="P30" i="289"/>
  <c r="V30" i="289" s="1"/>
  <c r="H23" i="89" l="1"/>
  <c r="G28" i="204"/>
  <c r="N19" i="2"/>
  <c r="G96" i="277"/>
  <c r="P31" i="289"/>
  <c r="P32" i="289" s="1"/>
  <c r="AL81" i="231"/>
  <c r="AK81" i="231"/>
  <c r="AG81" i="231"/>
  <c r="AF81" i="231"/>
  <c r="G29" i="204" l="1"/>
  <c r="H24" i="89"/>
  <c r="O33" i="2"/>
  <c r="O23" i="2"/>
  <c r="O16" i="2"/>
  <c r="H25" i="89" l="1"/>
  <c r="G30" i="204"/>
  <c r="O35" i="2"/>
  <c r="F97" i="277" s="1"/>
  <c r="O25" i="2"/>
  <c r="G31" i="204" l="1"/>
  <c r="H26" i="89"/>
  <c r="H27" i="89" s="1"/>
  <c r="H28" i="89" s="1"/>
  <c r="H29" i="89" l="1"/>
  <c r="H30" i="89" s="1"/>
  <c r="H31" i="89" s="1"/>
  <c r="H32" i="89" s="1"/>
  <c r="G32" i="204"/>
  <c r="G33" i="204" s="1"/>
  <c r="G34" i="204" s="1"/>
  <c r="G35" i="204" s="1"/>
  <c r="G120" i="277"/>
  <c r="G119" i="277"/>
  <c r="G36" i="204" l="1"/>
  <c r="H33" i="89"/>
  <c r="H34" i="89" l="1"/>
  <c r="G37" i="204"/>
  <c r="G38" i="204" l="1"/>
  <c r="H35" i="89"/>
  <c r="K20" i="89"/>
  <c r="F20" i="89" s="1"/>
  <c r="A9" i="89"/>
  <c r="A10" i="89" s="1"/>
  <c r="A11" i="89" s="1"/>
  <c r="A12" i="89" s="1"/>
  <c r="A13" i="89" s="1"/>
  <c r="A14" i="89" s="1"/>
  <c r="A15" i="89" s="1"/>
  <c r="A16" i="89" s="1"/>
  <c r="A17" i="89" s="1"/>
  <c r="A18" i="89" s="1"/>
  <c r="A19" i="89" s="1"/>
  <c r="A20" i="89" s="1"/>
  <c r="A21" i="89" s="1"/>
  <c r="A22" i="89" s="1"/>
  <c r="A23" i="89" s="1"/>
  <c r="A24" i="89" s="1"/>
  <c r="A25" i="89" s="1"/>
  <c r="A26" i="89" s="1"/>
  <c r="A27" i="89" s="1"/>
  <c r="A28" i="89" s="1"/>
  <c r="A29" i="89" s="1"/>
  <c r="A30" i="89" s="1"/>
  <c r="A31" i="89" s="1"/>
  <c r="A32" i="89" s="1"/>
  <c r="A33" i="89" s="1"/>
  <c r="A34" i="89" s="1"/>
  <c r="A35" i="89" s="1"/>
  <c r="A36" i="89" s="1"/>
  <c r="A37" i="89" s="1"/>
  <c r="A38" i="89" s="1"/>
  <c r="A39" i="89" s="1"/>
  <c r="A40" i="89" s="1"/>
  <c r="A41" i="89" s="1"/>
  <c r="A42" i="89" s="1"/>
  <c r="A43" i="89" s="1"/>
  <c r="A44" i="89" s="1"/>
  <c r="A45" i="89" s="1"/>
  <c r="A46" i="89" s="1"/>
  <c r="A47" i="89" s="1"/>
  <c r="A48" i="89" s="1"/>
  <c r="A49" i="89" s="1"/>
  <c r="A50" i="89" s="1"/>
  <c r="A51" i="89" s="1"/>
  <c r="A52" i="89" s="1"/>
  <c r="A53" i="89" s="1"/>
  <c r="A54" i="89" s="1"/>
  <c r="A55" i="89" s="1"/>
  <c r="A56" i="89" s="1"/>
  <c r="A57" i="89" s="1"/>
  <c r="H36" i="89" l="1"/>
  <c r="G39" i="204"/>
  <c r="J2" i="198"/>
  <c r="Q41" i="3"/>
  <c r="G40" i="204" l="1"/>
  <c r="H37" i="89"/>
  <c r="G41" i="204" l="1"/>
  <c r="G42" i="204" s="1"/>
  <c r="G43" i="204" s="1"/>
  <c r="G44" i="204" s="1"/>
  <c r="H38" i="89"/>
  <c r="D81" i="231"/>
  <c r="H39" i="89" l="1"/>
  <c r="I33" i="2"/>
  <c r="J33" i="2"/>
  <c r="X30" i="2"/>
  <c r="H40" i="89" l="1"/>
  <c r="X19" i="2"/>
  <c r="W19" i="2"/>
  <c r="X13" i="2"/>
  <c r="W13" i="2"/>
  <c r="X12" i="2"/>
  <c r="H41" i="89" l="1"/>
  <c r="F11" i="29"/>
  <c r="F18" i="29"/>
  <c r="H42" i="89" l="1"/>
  <c r="H43" i="89" s="1"/>
  <c r="H44" i="89" s="1"/>
  <c r="H45" i="89" s="1"/>
  <c r="G275" i="239"/>
  <c r="G274" i="239"/>
  <c r="H46" i="89" l="1"/>
  <c r="X38" i="12"/>
  <c r="W38" i="12"/>
  <c r="H47" i="89" l="1"/>
  <c r="B32" i="239"/>
  <c r="H48" i="89" l="1"/>
  <c r="H49" i="89" l="1"/>
  <c r="A1" i="281"/>
  <c r="N2" i="280"/>
  <c r="H50" i="89" l="1"/>
  <c r="T136" i="261"/>
  <c r="T132" i="261"/>
  <c r="T131" i="261"/>
  <c r="T130" i="261"/>
  <c r="T129" i="261"/>
  <c r="T128" i="261"/>
  <c r="T127" i="261"/>
  <c r="T126" i="261"/>
  <c r="T125" i="261"/>
  <c r="T124" i="261"/>
  <c r="T123" i="261"/>
  <c r="T122" i="261"/>
  <c r="T121" i="261"/>
  <c r="T116" i="261"/>
  <c r="T115" i="261"/>
  <c r="T114" i="261"/>
  <c r="T113" i="261"/>
  <c r="T108" i="261"/>
  <c r="T107" i="261"/>
  <c r="T106" i="261"/>
  <c r="T105" i="261"/>
  <c r="T100" i="261"/>
  <c r="T99" i="261"/>
  <c r="T98" i="261"/>
  <c r="T97" i="261"/>
  <c r="T96" i="261"/>
  <c r="T89" i="261"/>
  <c r="T88" i="261"/>
  <c r="T87" i="261"/>
  <c r="T86" i="261"/>
  <c r="T85" i="261"/>
  <c r="T84" i="261"/>
  <c r="T83" i="261"/>
  <c r="T82" i="261"/>
  <c r="T81" i="261"/>
  <c r="T80" i="261"/>
  <c r="T76" i="261"/>
  <c r="T75" i="261"/>
  <c r="T74" i="261"/>
  <c r="T73" i="261"/>
  <c r="T72" i="261"/>
  <c r="T71" i="261"/>
  <c r="T70" i="261"/>
  <c r="T69" i="261"/>
  <c r="T68" i="261"/>
  <c r="T67" i="261"/>
  <c r="T66" i="261"/>
  <c r="T59" i="261"/>
  <c r="T58" i="261"/>
  <c r="T57" i="261"/>
  <c r="T56" i="261"/>
  <c r="T55" i="261"/>
  <c r="T54" i="261"/>
  <c r="T53" i="261"/>
  <c r="T37" i="261"/>
  <c r="T36" i="261"/>
  <c r="T35" i="261"/>
  <c r="T34" i="261"/>
  <c r="T33" i="261"/>
  <c r="T32" i="261"/>
  <c r="T28" i="261"/>
  <c r="T27" i="261"/>
  <c r="T26" i="261"/>
  <c r="T25" i="261"/>
  <c r="T24" i="261"/>
  <c r="T19" i="261"/>
  <c r="T18" i="261"/>
  <c r="T14" i="261"/>
  <c r="T13" i="261"/>
  <c r="H51" i="89" l="1"/>
  <c r="H52" i="89" s="1"/>
  <c r="H53" i="89" s="1"/>
  <c r="Y24" i="198"/>
  <c r="Y25" i="198"/>
  <c r="Y26" i="198"/>
  <c r="Y27" i="198"/>
  <c r="Y28" i="198"/>
  <c r="Y29" i="198"/>
  <c r="O67" i="282" l="1"/>
  <c r="Y67" i="282" s="1"/>
  <c r="O66" i="282"/>
  <c r="Y66" i="282" s="1"/>
  <c r="O65" i="282"/>
  <c r="Y65" i="282" s="1"/>
  <c r="O64" i="282"/>
  <c r="Y64" i="282" s="1"/>
  <c r="O63" i="282"/>
  <c r="Y63" i="282" s="1"/>
  <c r="O62" i="282"/>
  <c r="Y62" i="282" s="1"/>
  <c r="O61" i="282"/>
  <c r="Y61" i="282" s="1"/>
  <c r="O60" i="282"/>
  <c r="Y60" i="282" s="1"/>
  <c r="O59" i="282"/>
  <c r="Y59" i="282" s="1"/>
  <c r="O58" i="282"/>
  <c r="Y58" i="282" s="1"/>
  <c r="O57" i="282"/>
  <c r="Y57" i="282" s="1"/>
  <c r="O56" i="282"/>
  <c r="Y56" i="282" s="1"/>
  <c r="O55" i="282"/>
  <c r="Y55" i="282" s="1"/>
  <c r="O54" i="282"/>
  <c r="Y54" i="282" s="1"/>
  <c r="O53" i="282"/>
  <c r="Y53" i="282" s="1"/>
  <c r="O52" i="282"/>
  <c r="Y52" i="282" s="1"/>
  <c r="O51" i="282"/>
  <c r="Y51" i="282" s="1"/>
  <c r="O50" i="282"/>
  <c r="Y50" i="282" s="1"/>
  <c r="O49" i="282"/>
  <c r="Y49" i="282" s="1"/>
  <c r="O48" i="282"/>
  <c r="Y48" i="282" s="1"/>
  <c r="O47" i="282"/>
  <c r="Y47" i="282" s="1"/>
  <c r="O46" i="282"/>
  <c r="Y46" i="282" s="1"/>
  <c r="O45" i="282"/>
  <c r="Y45" i="282" s="1"/>
  <c r="O41" i="282"/>
  <c r="Y41" i="282" s="1"/>
  <c r="O40" i="282"/>
  <c r="Y40" i="282" s="1"/>
  <c r="O39" i="282"/>
  <c r="Y39" i="282" s="1"/>
  <c r="O38" i="282"/>
  <c r="Y38" i="282" s="1"/>
  <c r="O37" i="282"/>
  <c r="Y37" i="282" s="1"/>
  <c r="O36" i="282"/>
  <c r="Y36" i="282" s="1"/>
  <c r="O35" i="282"/>
  <c r="Y35" i="282" s="1"/>
  <c r="O34" i="282"/>
  <c r="Y34" i="282" s="1"/>
  <c r="O33" i="282"/>
  <c r="Y33" i="282" s="1"/>
  <c r="O32" i="282"/>
  <c r="Y32" i="282" s="1"/>
  <c r="O31" i="282"/>
  <c r="Y31" i="282" s="1"/>
  <c r="O30" i="282"/>
  <c r="Y30" i="282" s="1"/>
  <c r="O29" i="282"/>
  <c r="Y29" i="282" s="1"/>
  <c r="O28" i="282"/>
  <c r="Y28" i="282" s="1"/>
  <c r="O27" i="282"/>
  <c r="Y27" i="282" s="1"/>
  <c r="O26" i="282"/>
  <c r="Y26" i="282" s="1"/>
  <c r="O25" i="282"/>
  <c r="Y25" i="282" s="1"/>
  <c r="O21" i="282"/>
  <c r="Y21" i="282" s="1"/>
  <c r="O20" i="282"/>
  <c r="Y20" i="282" s="1"/>
  <c r="O19" i="282"/>
  <c r="Y19" i="282" s="1"/>
  <c r="O18" i="282"/>
  <c r="Y18" i="282" s="1"/>
  <c r="O14" i="282"/>
  <c r="Y14" i="282" s="1"/>
  <c r="O13" i="282"/>
  <c r="Y13" i="282" s="1"/>
  <c r="O12" i="282"/>
  <c r="Y12" i="282" s="1"/>
  <c r="O11" i="282"/>
  <c r="Y11" i="282" s="1"/>
  <c r="N67" i="282"/>
  <c r="X67" i="282" s="1"/>
  <c r="N66" i="282"/>
  <c r="X66" i="282" s="1"/>
  <c r="N65" i="282"/>
  <c r="X65" i="282" s="1"/>
  <c r="N64" i="282"/>
  <c r="X64" i="282" s="1"/>
  <c r="N63" i="282"/>
  <c r="X63" i="282" s="1"/>
  <c r="N62" i="282"/>
  <c r="X62" i="282" s="1"/>
  <c r="N61" i="282"/>
  <c r="X61" i="282" s="1"/>
  <c r="N60" i="282"/>
  <c r="X60" i="282" s="1"/>
  <c r="N59" i="282"/>
  <c r="X59" i="282" s="1"/>
  <c r="N58" i="282"/>
  <c r="X58" i="282" s="1"/>
  <c r="N57" i="282"/>
  <c r="X57" i="282" s="1"/>
  <c r="N56" i="282"/>
  <c r="X56" i="282" s="1"/>
  <c r="N55" i="282"/>
  <c r="X55" i="282" s="1"/>
  <c r="N54" i="282"/>
  <c r="X54" i="282" s="1"/>
  <c r="N53" i="282"/>
  <c r="X53" i="282" s="1"/>
  <c r="N52" i="282"/>
  <c r="X52" i="282" s="1"/>
  <c r="N51" i="282"/>
  <c r="X51" i="282" s="1"/>
  <c r="N50" i="282"/>
  <c r="X50" i="282" s="1"/>
  <c r="N49" i="282"/>
  <c r="X49" i="282" s="1"/>
  <c r="N48" i="282"/>
  <c r="X48" i="282" s="1"/>
  <c r="N47" i="282"/>
  <c r="X47" i="282" s="1"/>
  <c r="N46" i="282"/>
  <c r="X46" i="282" s="1"/>
  <c r="N45" i="282"/>
  <c r="X45" i="282" s="1"/>
  <c r="N41" i="282"/>
  <c r="X41" i="282" s="1"/>
  <c r="N40" i="282"/>
  <c r="X40" i="282" s="1"/>
  <c r="N39" i="282"/>
  <c r="X39" i="282" s="1"/>
  <c r="N38" i="282"/>
  <c r="X38" i="282" s="1"/>
  <c r="N37" i="282"/>
  <c r="X37" i="282" s="1"/>
  <c r="N36" i="282"/>
  <c r="X36" i="282" s="1"/>
  <c r="N35" i="282"/>
  <c r="X35" i="282" s="1"/>
  <c r="N34" i="282"/>
  <c r="X34" i="282" s="1"/>
  <c r="N33" i="282"/>
  <c r="X33" i="282" s="1"/>
  <c r="N32" i="282"/>
  <c r="X32" i="282" s="1"/>
  <c r="N31" i="282"/>
  <c r="X31" i="282" s="1"/>
  <c r="N30" i="282"/>
  <c r="X30" i="282" s="1"/>
  <c r="N29" i="282"/>
  <c r="X29" i="282" s="1"/>
  <c r="N28" i="282"/>
  <c r="X28" i="282" s="1"/>
  <c r="N27" i="282"/>
  <c r="X27" i="282" s="1"/>
  <c r="N26" i="282"/>
  <c r="X26" i="282" s="1"/>
  <c r="N25" i="282"/>
  <c r="X25" i="282" s="1"/>
  <c r="N21" i="282"/>
  <c r="X21" i="282" s="1"/>
  <c r="N20" i="282"/>
  <c r="X20" i="282" s="1"/>
  <c r="N19" i="282"/>
  <c r="X19" i="282" s="1"/>
  <c r="N18" i="282"/>
  <c r="X18" i="282" s="1"/>
  <c r="N14" i="282"/>
  <c r="X14" i="282" s="1"/>
  <c r="N13" i="282"/>
  <c r="X13" i="282" s="1"/>
  <c r="N12" i="282"/>
  <c r="X12" i="282" s="1"/>
  <c r="N11" i="282"/>
  <c r="X11" i="282" s="1"/>
  <c r="F11" i="17" l="1"/>
  <c r="X27" i="274"/>
  <c r="K27" i="240"/>
  <c r="K26" i="240"/>
  <c r="D12" i="194" l="1"/>
  <c r="E12" i="194"/>
  <c r="D13" i="194"/>
  <c r="E13" i="194"/>
  <c r="D14" i="194"/>
  <c r="E14" i="194"/>
  <c r="D15" i="194"/>
  <c r="E15" i="194"/>
  <c r="D16" i="194"/>
  <c r="E16" i="194"/>
  <c r="N19" i="162"/>
  <c r="L16" i="237" l="1"/>
  <c r="L17" i="237"/>
  <c r="L18" i="237"/>
  <c r="A12" i="222" l="1"/>
  <c r="A13" i="222" s="1"/>
  <c r="A14" i="222" s="1"/>
  <c r="A15" i="222" s="1"/>
  <c r="A16" i="222" s="1"/>
  <c r="A17" i="222" s="1"/>
  <c r="A18" i="222" s="1"/>
  <c r="A19" i="222" s="1"/>
  <c r="A20" i="222" s="1"/>
  <c r="AE45" i="222"/>
  <c r="AD45" i="222"/>
  <c r="AA45" i="222"/>
  <c r="Z45" i="222"/>
  <c r="A21" i="222" l="1"/>
  <c r="A22" i="222" s="1"/>
  <c r="A23" i="222" s="1"/>
  <c r="A24" i="222" s="1"/>
  <c r="A25" i="222" s="1"/>
  <c r="V45" i="222"/>
  <c r="W45" i="222"/>
  <c r="R45" i="222"/>
  <c r="S45" i="222"/>
  <c r="O45" i="222"/>
  <c r="N45" i="222"/>
  <c r="R170" i="40" l="1"/>
  <c r="R166" i="40"/>
  <c r="R165" i="40"/>
  <c r="R164" i="40"/>
  <c r="R163" i="40"/>
  <c r="R162" i="40"/>
  <c r="R161" i="40"/>
  <c r="R160" i="40"/>
  <c r="R159" i="40"/>
  <c r="R158" i="40"/>
  <c r="R157" i="40"/>
  <c r="R156" i="40"/>
  <c r="R155" i="40"/>
  <c r="R154" i="40"/>
  <c r="R149" i="40"/>
  <c r="R148" i="40"/>
  <c r="R147" i="40"/>
  <c r="R146" i="40"/>
  <c r="R141" i="40"/>
  <c r="R140" i="40"/>
  <c r="R139" i="40"/>
  <c r="R138" i="40"/>
  <c r="R133" i="40"/>
  <c r="R132" i="40"/>
  <c r="R131" i="40"/>
  <c r="R130" i="40"/>
  <c r="R129" i="40"/>
  <c r="R122" i="40"/>
  <c r="R121" i="40"/>
  <c r="R120" i="40"/>
  <c r="R119" i="40"/>
  <c r="R118" i="40"/>
  <c r="R117" i="40"/>
  <c r="R116" i="40"/>
  <c r="R115" i="40"/>
  <c r="R114" i="40"/>
  <c r="R113" i="40"/>
  <c r="R109" i="40"/>
  <c r="R108" i="40"/>
  <c r="R107" i="40"/>
  <c r="R106" i="40"/>
  <c r="R105" i="40"/>
  <c r="R104" i="40"/>
  <c r="R103" i="40"/>
  <c r="R101" i="40"/>
  <c r="R100" i="40"/>
  <c r="R99" i="40"/>
  <c r="R92" i="40"/>
  <c r="R91" i="40"/>
  <c r="R90" i="40"/>
  <c r="R89" i="40"/>
  <c r="R88" i="40"/>
  <c r="R87" i="40"/>
  <c r="R86" i="40"/>
  <c r="R82" i="40"/>
  <c r="R81" i="40"/>
  <c r="R80" i="40"/>
  <c r="R79" i="40"/>
  <c r="R78" i="40"/>
  <c r="R77" i="40"/>
  <c r="R76" i="40"/>
  <c r="R75" i="40"/>
  <c r="R68" i="40"/>
  <c r="R67" i="40"/>
  <c r="R66" i="40"/>
  <c r="R65" i="40"/>
  <c r="R64" i="40"/>
  <c r="R63" i="40"/>
  <c r="R59" i="40"/>
  <c r="R58" i="40"/>
  <c r="R57" i="40"/>
  <c r="R56" i="40"/>
  <c r="R55" i="40"/>
  <c r="R54" i="40"/>
  <c r="R53" i="40"/>
  <c r="R52" i="40"/>
  <c r="R51" i="40"/>
  <c r="R46" i="40"/>
  <c r="R45" i="40"/>
  <c r="R44" i="40"/>
  <c r="R43" i="40"/>
  <c r="R42" i="40"/>
  <c r="R41" i="40"/>
  <c r="R40" i="40"/>
  <c r="R39" i="40"/>
  <c r="R38" i="40"/>
  <c r="R32" i="40"/>
  <c r="R31" i="40"/>
  <c r="R30" i="40"/>
  <c r="R29" i="40"/>
  <c r="R28" i="40"/>
  <c r="R27" i="40"/>
  <c r="R26" i="40"/>
  <c r="R14" i="40"/>
  <c r="R15" i="40"/>
  <c r="R16" i="40"/>
  <c r="R17" i="40"/>
  <c r="R18" i="40"/>
  <c r="R19" i="40"/>
  <c r="R20" i="40"/>
  <c r="R21" i="40"/>
  <c r="R22" i="40"/>
  <c r="R13" i="40"/>
  <c r="R93" i="40" l="1"/>
  <c r="R150" i="40"/>
  <c r="R23" i="40"/>
  <c r="R47" i="40"/>
  <c r="R83" i="40"/>
  <c r="R33" i="40"/>
  <c r="R60" i="40"/>
  <c r="R142" i="40"/>
  <c r="R69" i="40"/>
  <c r="R123" i="40"/>
  <c r="R167" i="40"/>
  <c r="R171" i="40" s="1"/>
  <c r="R134" i="40"/>
  <c r="R95" i="40" l="1"/>
  <c r="R71" i="40"/>
  <c r="M11" i="283"/>
  <c r="L11" i="283"/>
  <c r="U13" i="283" l="1"/>
  <c r="T13" i="283"/>
  <c r="Q13" i="283"/>
  <c r="P13" i="283"/>
  <c r="A12" i="283"/>
  <c r="A13" i="283" s="1"/>
  <c r="V11" i="283"/>
  <c r="V13" i="283" s="1"/>
  <c r="R11" i="283"/>
  <c r="R13" i="283" s="1"/>
  <c r="N11" i="283"/>
  <c r="V9" i="283"/>
  <c r="U9" i="283"/>
  <c r="T9" i="283"/>
  <c r="R9" i="283"/>
  <c r="Q9" i="283"/>
  <c r="P9" i="283"/>
  <c r="N9" i="283"/>
  <c r="M9" i="283"/>
  <c r="L9" i="283"/>
  <c r="K9" i="283"/>
  <c r="K10" i="283" s="1"/>
  <c r="K11" i="283" s="1"/>
  <c r="V8" i="283"/>
  <c r="U8" i="283"/>
  <c r="T8" i="283"/>
  <c r="R8" i="283"/>
  <c r="Q8" i="283"/>
  <c r="P8" i="283"/>
  <c r="N8" i="283"/>
  <c r="E11" i="283" s="1"/>
  <c r="M8" i="283"/>
  <c r="L8" i="283"/>
  <c r="A3" i="283"/>
  <c r="I1" i="283"/>
  <c r="A1" i="283"/>
  <c r="A14" i="283" l="1"/>
  <c r="A15" i="283" s="1"/>
  <c r="A16" i="283" s="1"/>
  <c r="K12" i="283"/>
  <c r="G11" i="283"/>
  <c r="F11" i="283"/>
  <c r="H11" i="283" l="1"/>
  <c r="H13" i="283" l="1"/>
  <c r="I11" i="283"/>
  <c r="R102" i="40" s="1"/>
  <c r="R110" i="40" s="1"/>
  <c r="R125" i="40" s="1"/>
  <c r="E13" i="283" l="1"/>
  <c r="G13" i="283"/>
  <c r="I13" i="283" l="1"/>
  <c r="F13" i="283"/>
  <c r="R175" i="40" l="1"/>
  <c r="G67" i="277"/>
  <c r="R173" i="40"/>
  <c r="S101" i="261"/>
  <c r="R101" i="261"/>
  <c r="R77" i="261"/>
  <c r="S20" i="261"/>
  <c r="S15" i="261"/>
  <c r="O136" i="261"/>
  <c r="M133" i="261"/>
  <c r="M137" i="261" s="1"/>
  <c r="N133" i="261"/>
  <c r="N137" i="261" s="1"/>
  <c r="O132" i="261"/>
  <c r="O131" i="261"/>
  <c r="O130" i="261"/>
  <c r="O129" i="261"/>
  <c r="O128" i="261"/>
  <c r="O127" i="261"/>
  <c r="O126" i="261"/>
  <c r="O125" i="261"/>
  <c r="O124" i="261"/>
  <c r="O123" i="261"/>
  <c r="O122" i="261"/>
  <c r="O121" i="261"/>
  <c r="M117" i="261"/>
  <c r="N117" i="261"/>
  <c r="O116" i="261"/>
  <c r="O115" i="261"/>
  <c r="O114" i="261"/>
  <c r="O113" i="261"/>
  <c r="M109" i="261"/>
  <c r="N109" i="261"/>
  <c r="O108" i="261"/>
  <c r="O107" i="261"/>
  <c r="O106" i="261"/>
  <c r="O105" i="261"/>
  <c r="M101" i="261"/>
  <c r="N101" i="261"/>
  <c r="O100" i="261"/>
  <c r="O99" i="261"/>
  <c r="O98" i="261"/>
  <c r="O97" i="261"/>
  <c r="O96" i="261"/>
  <c r="M90" i="261"/>
  <c r="N90" i="261"/>
  <c r="O89" i="261"/>
  <c r="O88" i="261"/>
  <c r="O87" i="261"/>
  <c r="O86" i="261"/>
  <c r="O85" i="261"/>
  <c r="O84" i="261"/>
  <c r="O83" i="261"/>
  <c r="O82" i="261"/>
  <c r="O81" i="261"/>
  <c r="O80" i="261"/>
  <c r="M77" i="261"/>
  <c r="N77" i="261"/>
  <c r="N92" i="261" s="1"/>
  <c r="O76" i="261"/>
  <c r="O75" i="261"/>
  <c r="O74" i="261"/>
  <c r="O73" i="261"/>
  <c r="O72" i="261"/>
  <c r="O71" i="261"/>
  <c r="O70" i="261"/>
  <c r="O69" i="261"/>
  <c r="O68" i="261"/>
  <c r="O67" i="261"/>
  <c r="O66" i="261"/>
  <c r="M60" i="261"/>
  <c r="N60" i="261"/>
  <c r="O59" i="261"/>
  <c r="O58" i="261"/>
  <c r="O57" i="261"/>
  <c r="O56" i="261"/>
  <c r="O55" i="261"/>
  <c r="O54" i="261"/>
  <c r="O53" i="261"/>
  <c r="M50" i="261"/>
  <c r="N50" i="261"/>
  <c r="O49" i="261"/>
  <c r="O48" i="261"/>
  <c r="O47" i="261"/>
  <c r="O46" i="261"/>
  <c r="O45" i="261"/>
  <c r="O44" i="261"/>
  <c r="O43" i="261"/>
  <c r="O42" i="261"/>
  <c r="M38" i="261"/>
  <c r="N38" i="261"/>
  <c r="O37" i="261"/>
  <c r="O36" i="261"/>
  <c r="O35" i="261"/>
  <c r="O34" i="261"/>
  <c r="O33" i="261"/>
  <c r="O32" i="261"/>
  <c r="M29" i="261"/>
  <c r="N29" i="261"/>
  <c r="O28" i="261"/>
  <c r="O27" i="261"/>
  <c r="O26" i="261"/>
  <c r="O25" i="261"/>
  <c r="O24" i="261"/>
  <c r="N20" i="261"/>
  <c r="M20" i="261"/>
  <c r="O20" i="261"/>
  <c r="O19" i="261"/>
  <c r="O18" i="261"/>
  <c r="M15" i="261"/>
  <c r="N15" i="261"/>
  <c r="O14" i="261"/>
  <c r="O13" i="261"/>
  <c r="T101" i="261" l="1"/>
  <c r="N62" i="261"/>
  <c r="O62" i="261" s="1"/>
  <c r="M62" i="261"/>
  <c r="O101" i="261"/>
  <c r="M92" i="261"/>
  <c r="O92" i="261" s="1"/>
  <c r="M139" i="261"/>
  <c r="R176" i="40"/>
  <c r="F67" i="277"/>
  <c r="R20" i="261"/>
  <c r="T20" i="261" s="1"/>
  <c r="S38" i="261"/>
  <c r="S77" i="261"/>
  <c r="T77" i="261" s="1"/>
  <c r="R90" i="261"/>
  <c r="R109" i="261"/>
  <c r="R50" i="261"/>
  <c r="S109" i="261"/>
  <c r="R133" i="261"/>
  <c r="S50" i="261"/>
  <c r="S133" i="261"/>
  <c r="S137" i="261" s="1"/>
  <c r="R60" i="261"/>
  <c r="S90" i="261"/>
  <c r="R38" i="261"/>
  <c r="T38" i="261" s="1"/>
  <c r="R15" i="261"/>
  <c r="T15" i="261" s="1"/>
  <c r="R29" i="261"/>
  <c r="T29" i="261" s="1"/>
  <c r="S60" i="261"/>
  <c r="R117" i="261"/>
  <c r="S29" i="261"/>
  <c r="S117" i="261"/>
  <c r="O137" i="261"/>
  <c r="O133" i="261"/>
  <c r="O117" i="261"/>
  <c r="O109" i="261"/>
  <c r="O90" i="261"/>
  <c r="O77" i="261"/>
  <c r="O60" i="261"/>
  <c r="O50" i="261"/>
  <c r="O38" i="261"/>
  <c r="O29" i="261"/>
  <c r="O15" i="261"/>
  <c r="N139" i="261" l="1"/>
  <c r="T117" i="261"/>
  <c r="T50" i="261"/>
  <c r="T60" i="261"/>
  <c r="O139" i="261"/>
  <c r="R137" i="261"/>
  <c r="T137" i="261" s="1"/>
  <c r="T133" i="261"/>
  <c r="T109" i="261"/>
  <c r="R92" i="261"/>
  <c r="T90" i="261"/>
  <c r="T92" i="261" s="1"/>
  <c r="S92" i="261"/>
  <c r="R62" i="261"/>
  <c r="S62" i="261"/>
  <c r="T62" i="261" l="1"/>
  <c r="R139" i="261"/>
  <c r="T139" i="261"/>
  <c r="S139" i="261"/>
  <c r="K85" i="279"/>
  <c r="K35" i="240" l="1"/>
  <c r="X88" i="40"/>
  <c r="X76" i="40"/>
  <c r="G78" i="268"/>
  <c r="B29" i="198"/>
  <c r="C77" i="268" s="1"/>
  <c r="G19" i="162" l="1"/>
  <c r="H19" i="162" s="1"/>
  <c r="E19" i="194"/>
  <c r="D19" i="194"/>
  <c r="G19" i="194" s="1"/>
  <c r="H19" i="194" s="1"/>
  <c r="M56" i="280" l="1"/>
  <c r="M55" i="280"/>
  <c r="M54" i="280"/>
  <c r="M53" i="280"/>
  <c r="M52" i="280"/>
  <c r="M51" i="280"/>
  <c r="M50" i="280"/>
  <c r="I56" i="280"/>
  <c r="L56" i="280" s="1"/>
  <c r="I55" i="280"/>
  <c r="L55" i="280" s="1"/>
  <c r="I54" i="280"/>
  <c r="L54" i="280" s="1"/>
  <c r="I53" i="280"/>
  <c r="L53" i="280" s="1"/>
  <c r="N53" i="280" s="1"/>
  <c r="I52" i="280"/>
  <c r="L52" i="280" s="1"/>
  <c r="I51" i="280"/>
  <c r="L51" i="280" s="1"/>
  <c r="N51" i="280" s="1"/>
  <c r="I50" i="280"/>
  <c r="L50" i="280" s="1"/>
  <c r="G56" i="280"/>
  <c r="G55" i="280"/>
  <c r="G54" i="280"/>
  <c r="G53" i="280"/>
  <c r="G52" i="280"/>
  <c r="G51" i="280"/>
  <c r="G50" i="280"/>
  <c r="M35" i="280"/>
  <c r="M34" i="280"/>
  <c r="M33" i="280"/>
  <c r="M32" i="280"/>
  <c r="M31" i="280"/>
  <c r="M30" i="280"/>
  <c r="M29" i="280"/>
  <c r="I35" i="280"/>
  <c r="L35" i="280" s="1"/>
  <c r="I34" i="280"/>
  <c r="L34" i="280" s="1"/>
  <c r="I33" i="280"/>
  <c r="L33" i="280" s="1"/>
  <c r="I32" i="280"/>
  <c r="L32" i="280" s="1"/>
  <c r="I31" i="280"/>
  <c r="L31" i="280" s="1"/>
  <c r="I30" i="280"/>
  <c r="L30" i="280" s="1"/>
  <c r="I29" i="280"/>
  <c r="L29" i="280" s="1"/>
  <c r="G35" i="280"/>
  <c r="G34" i="280"/>
  <c r="G33" i="280"/>
  <c r="G32" i="280"/>
  <c r="G31" i="280"/>
  <c r="G30" i="280"/>
  <c r="G29" i="280"/>
  <c r="A7" i="280"/>
  <c r="A8" i="280" s="1"/>
  <c r="A9" i="280" s="1"/>
  <c r="A10" i="280" s="1"/>
  <c r="A11" i="280" s="1"/>
  <c r="A12" i="280" s="1"/>
  <c r="A13" i="280" s="1"/>
  <c r="A14" i="280" s="1"/>
  <c r="A15" i="280" s="1"/>
  <c r="A16" i="280" s="1"/>
  <c r="A17" i="280" s="1"/>
  <c r="A18" i="280" s="1"/>
  <c r="A19" i="280" s="1"/>
  <c r="A20" i="280" s="1"/>
  <c r="A21" i="280" s="1"/>
  <c r="A22" i="280" s="1"/>
  <c r="A23" i="280" s="1"/>
  <c r="A24" i="280" s="1"/>
  <c r="A25" i="280" s="1"/>
  <c r="A26" i="280" s="1"/>
  <c r="A27" i="280" s="1"/>
  <c r="A28" i="280" s="1"/>
  <c r="A29" i="280" s="1"/>
  <c r="A30" i="280" s="1"/>
  <c r="A31" i="280" s="1"/>
  <c r="A32" i="280" s="1"/>
  <c r="A33" i="280" s="1"/>
  <c r="A34" i="280" s="1"/>
  <c r="A35" i="280" s="1"/>
  <c r="A36" i="280" s="1"/>
  <c r="A37" i="280" s="1"/>
  <c r="A38" i="280" s="1"/>
  <c r="A39" i="280" s="1"/>
  <c r="A40" i="280" s="1"/>
  <c r="A41" i="280" s="1"/>
  <c r="A42" i="280" s="1"/>
  <c r="A43" i="280" s="1"/>
  <c r="M15" i="280"/>
  <c r="M14" i="280"/>
  <c r="M13" i="280"/>
  <c r="M12" i="280"/>
  <c r="M11" i="280"/>
  <c r="I15" i="280"/>
  <c r="L15" i="280" s="1"/>
  <c r="I14" i="280"/>
  <c r="L14" i="280" s="1"/>
  <c r="I13" i="280"/>
  <c r="L13" i="280" s="1"/>
  <c r="I12" i="280"/>
  <c r="L12" i="280" s="1"/>
  <c r="I11" i="280"/>
  <c r="L11" i="280" s="1"/>
  <c r="G15" i="280"/>
  <c r="G14" i="280"/>
  <c r="G13" i="280"/>
  <c r="G12" i="280"/>
  <c r="G11" i="280"/>
  <c r="N55" i="280" l="1"/>
  <c r="N29" i="280"/>
  <c r="N50" i="280"/>
  <c r="N54" i="280"/>
  <c r="N52" i="280"/>
  <c r="N56" i="280"/>
  <c r="A44" i="280"/>
  <c r="A45" i="280" s="1"/>
  <c r="A46" i="280" s="1"/>
  <c r="A47" i="280" s="1"/>
  <c r="A48" i="280" s="1"/>
  <c r="A49" i="280" s="1"/>
  <c r="A50" i="280" s="1"/>
  <c r="A51" i="280" s="1"/>
  <c r="A52" i="280" s="1"/>
  <c r="A53" i="280" s="1"/>
  <c r="A54" i="280" s="1"/>
  <c r="A55" i="280" s="1"/>
  <c r="A56" i="280" s="1"/>
  <c r="A57" i="280" s="1"/>
  <c r="A58" i="280" s="1"/>
  <c r="A59" i="280" s="1"/>
  <c r="A60" i="280" s="1"/>
  <c r="A61" i="280" s="1"/>
  <c r="A62" i="280" s="1"/>
  <c r="A63" i="280" s="1"/>
  <c r="N35" i="280"/>
  <c r="N32" i="280"/>
  <c r="N33" i="280"/>
  <c r="N30" i="280"/>
  <c r="N34" i="280"/>
  <c r="N31" i="280"/>
  <c r="N12" i="280"/>
  <c r="N13" i="280"/>
  <c r="N14" i="280"/>
  <c r="N11" i="280"/>
  <c r="N15" i="280"/>
  <c r="N59" i="280" l="1"/>
  <c r="Y33" i="12"/>
  <c r="X30" i="12" l="1"/>
  <c r="W30" i="12"/>
  <c r="X28" i="12"/>
  <c r="W28" i="12"/>
  <c r="Y32" i="12"/>
  <c r="Y26" i="12"/>
  <c r="Y24" i="12"/>
  <c r="Y23" i="12"/>
  <c r="K23" i="12" s="1"/>
  <c r="Y21" i="12"/>
  <c r="Y19" i="12"/>
  <c r="Y17" i="12"/>
  <c r="Y15" i="12"/>
  <c r="Y13" i="12"/>
  <c r="Y9" i="12"/>
  <c r="X9" i="12"/>
  <c r="W9" i="12"/>
  <c r="V9" i="12"/>
  <c r="V10" i="12" s="1"/>
  <c r="V11" i="12" s="1"/>
  <c r="V12" i="12" s="1"/>
  <c r="V13" i="12" s="1"/>
  <c r="V14" i="12" s="1"/>
  <c r="V15" i="12" s="1"/>
  <c r="V16" i="12" s="1"/>
  <c r="V17" i="12" s="1"/>
  <c r="V18" i="12" s="1"/>
  <c r="V19" i="12" s="1"/>
  <c r="V20" i="12" s="1"/>
  <c r="V21" i="12" s="1"/>
  <c r="V22" i="12" s="1"/>
  <c r="V23" i="12" s="1"/>
  <c r="V24" i="12" s="1"/>
  <c r="V25" i="12" s="1"/>
  <c r="V26" i="12" s="1"/>
  <c r="V27" i="12" s="1"/>
  <c r="V28" i="12" s="1"/>
  <c r="V29" i="12" s="1"/>
  <c r="V30" i="12" s="1"/>
  <c r="V31" i="12" s="1"/>
  <c r="V32" i="12" s="1"/>
  <c r="V33" i="12" s="1"/>
  <c r="Y8" i="12"/>
  <c r="X8" i="12"/>
  <c r="K33" i="12" s="1"/>
  <c r="W8" i="12"/>
  <c r="K24" i="12" s="1"/>
  <c r="Y28" i="12" l="1"/>
  <c r="K26" i="12"/>
  <c r="K13" i="12"/>
  <c r="K32" i="12"/>
  <c r="K15" i="12"/>
  <c r="K17" i="12"/>
  <c r="K19" i="12"/>
  <c r="K21" i="12"/>
  <c r="Y30" i="12"/>
  <c r="K35" i="12" l="1"/>
  <c r="K86" i="279"/>
  <c r="Q24" i="12" l="1"/>
  <c r="P24" i="12"/>
  <c r="R24" i="12" l="1"/>
  <c r="P86" i="268"/>
  <c r="Q86" i="268"/>
  <c r="R83" i="268"/>
  <c r="R84" i="268"/>
  <c r="R85" i="268"/>
  <c r="R82" i="268"/>
  <c r="R81" i="268"/>
  <c r="R80" i="268"/>
  <c r="Q80" i="268"/>
  <c r="P80" i="268"/>
  <c r="R79" i="268"/>
  <c r="Q79" i="268"/>
  <c r="P79" i="268"/>
  <c r="E85" i="268" s="1"/>
  <c r="O79" i="268"/>
  <c r="O80" i="268" s="1"/>
  <c r="O81" i="268" s="1"/>
  <c r="O82" i="268" s="1"/>
  <c r="O83" i="268" s="1"/>
  <c r="O84" i="268" s="1"/>
  <c r="O85" i="268" s="1"/>
  <c r="O86" i="268" s="1"/>
  <c r="E81" i="268" l="1"/>
  <c r="E82" i="268"/>
  <c r="I82" i="268" s="1"/>
  <c r="M82" i="268" s="1"/>
  <c r="E83" i="268"/>
  <c r="E84" i="268"/>
  <c r="I85" i="268"/>
  <c r="M85" i="268" s="1"/>
  <c r="R86" i="268"/>
  <c r="I81" i="268" l="1"/>
  <c r="M81" i="268" s="1"/>
  <c r="I83" i="268"/>
  <c r="M83" i="268" s="1"/>
  <c r="E86" i="268"/>
  <c r="I86" i="268" s="1"/>
  <c r="I84" i="268"/>
  <c r="M84" i="268" s="1"/>
  <c r="J22" i="16"/>
  <c r="J9" i="16"/>
  <c r="J8" i="16"/>
  <c r="I22" i="16"/>
  <c r="I8" i="16"/>
  <c r="M86" i="268" l="1"/>
  <c r="Y154" i="40"/>
  <c r="X154" i="40"/>
  <c r="I33" i="12" l="1"/>
  <c r="G124" i="277"/>
  <c r="B65" i="239"/>
  <c r="D78" i="242"/>
  <c r="D79" i="242"/>
  <c r="D80" i="242"/>
  <c r="D81" i="242"/>
  <c r="D77" i="242"/>
  <c r="AD77" i="242"/>
  <c r="AD78" i="242"/>
  <c r="AD79" i="242"/>
  <c r="AD80" i="242"/>
  <c r="AD81" i="242"/>
  <c r="AD82" i="242"/>
  <c r="Y77" i="242"/>
  <c r="Y78" i="242"/>
  <c r="Y79" i="242"/>
  <c r="Y80" i="242"/>
  <c r="Y81" i="242"/>
  <c r="Y82" i="242"/>
  <c r="T77" i="242"/>
  <c r="T78" i="242"/>
  <c r="T79" i="242"/>
  <c r="T80" i="242"/>
  <c r="T81" i="242"/>
  <c r="T82" i="242"/>
  <c r="T83" i="242"/>
  <c r="AF9" i="222"/>
  <c r="AE9" i="222"/>
  <c r="AD9" i="222"/>
  <c r="AF8" i="222"/>
  <c r="AE8" i="222"/>
  <c r="AD8" i="222"/>
  <c r="AB9" i="222"/>
  <c r="AA9" i="222"/>
  <c r="Z9" i="222"/>
  <c r="AB8" i="222"/>
  <c r="AA8" i="222"/>
  <c r="Z8" i="222"/>
  <c r="X9" i="222"/>
  <c r="W9" i="222"/>
  <c r="V9" i="222"/>
  <c r="X8" i="222"/>
  <c r="W8" i="222"/>
  <c r="V8" i="222"/>
  <c r="T9" i="222"/>
  <c r="S9" i="222"/>
  <c r="R9" i="222"/>
  <c r="T8" i="222"/>
  <c r="S8" i="222"/>
  <c r="R8" i="222"/>
  <c r="AF45" i="222" l="1"/>
  <c r="AB45" i="222"/>
  <c r="M33" i="12"/>
  <c r="F124" i="277"/>
  <c r="H124" i="277" s="1"/>
  <c r="X45" i="222"/>
  <c r="T45" i="222"/>
  <c r="B91" i="268"/>
  <c r="B93" i="268"/>
  <c r="B94" i="268"/>
  <c r="B95" i="268"/>
  <c r="B90" i="268"/>
  <c r="B72" i="268"/>
  <c r="B82" i="268" s="1"/>
  <c r="B74" i="268"/>
  <c r="B83" i="268" s="1"/>
  <c r="B75" i="268"/>
  <c r="B84" i="268" s="1"/>
  <c r="B76" i="268"/>
  <c r="B85" i="268" s="1"/>
  <c r="C72" i="268"/>
  <c r="C82" i="268" s="1"/>
  <c r="C74" i="268"/>
  <c r="C83" i="268" s="1"/>
  <c r="C75" i="268"/>
  <c r="C84" i="268" s="1"/>
  <c r="C76" i="268"/>
  <c r="C85" i="268" s="1"/>
  <c r="T24" i="198"/>
  <c r="T25" i="198"/>
  <c r="T26" i="198"/>
  <c r="T29" i="198"/>
  <c r="T27" i="198"/>
  <c r="T28" i="198"/>
  <c r="O24" i="198"/>
  <c r="O25" i="198"/>
  <c r="O26" i="198"/>
  <c r="O29" i="198"/>
  <c r="O27" i="198"/>
  <c r="O28" i="198"/>
  <c r="B34" i="198"/>
  <c r="B35" i="198"/>
  <c r="B92" i="268" s="1"/>
  <c r="B36" i="198"/>
  <c r="B39" i="198"/>
  <c r="B96" i="268" s="1"/>
  <c r="B37" i="198"/>
  <c r="B38" i="198"/>
  <c r="B33" i="198"/>
  <c r="B24" i="198"/>
  <c r="B25" i="198"/>
  <c r="C73" i="268" s="1"/>
  <c r="B26" i="198"/>
  <c r="B27" i="198"/>
  <c r="B28" i="198"/>
  <c r="B23" i="198"/>
  <c r="AG8" i="282"/>
  <c r="AG9" i="282" s="1"/>
  <c r="AG10" i="282" s="1"/>
  <c r="AG11" i="282" s="1"/>
  <c r="AG12" i="282" s="1"/>
  <c r="AG13" i="282" s="1"/>
  <c r="AG14" i="282" s="1"/>
  <c r="AG15" i="282" s="1"/>
  <c r="AG16" i="282" s="1"/>
  <c r="AG17" i="282" s="1"/>
  <c r="AG18" i="282" s="1"/>
  <c r="AG19" i="282" s="1"/>
  <c r="AG20" i="282" s="1"/>
  <c r="AG21" i="282" s="1"/>
  <c r="AG22" i="282" s="1"/>
  <c r="AG23" i="282" s="1"/>
  <c r="AG24" i="282" s="1"/>
  <c r="AG25" i="282" s="1"/>
  <c r="AG26" i="282" s="1"/>
  <c r="AG27" i="282" s="1"/>
  <c r="AG28" i="282" s="1"/>
  <c r="AG29" i="282" s="1"/>
  <c r="AG30" i="282" s="1"/>
  <c r="AG31" i="282" s="1"/>
  <c r="AG32" i="282" s="1"/>
  <c r="AG33" i="282" s="1"/>
  <c r="AG34" i="282" s="1"/>
  <c r="AG35" i="282" s="1"/>
  <c r="AG36" i="282" s="1"/>
  <c r="AG37" i="282" s="1"/>
  <c r="AG38" i="282" s="1"/>
  <c r="AG39" i="282" s="1"/>
  <c r="AG40" i="282" s="1"/>
  <c r="AG41" i="282" s="1"/>
  <c r="AG42" i="282" s="1"/>
  <c r="AG43" i="282" s="1"/>
  <c r="AG44" i="282" s="1"/>
  <c r="AG45" i="282" s="1"/>
  <c r="AG46" i="282" s="1"/>
  <c r="AG47" i="282" s="1"/>
  <c r="AG48" i="282" s="1"/>
  <c r="AG49" i="282" s="1"/>
  <c r="AG50" i="282" s="1"/>
  <c r="AG51" i="282" s="1"/>
  <c r="AG52" i="282" s="1"/>
  <c r="AG53" i="282" s="1"/>
  <c r="AG54" i="282" s="1"/>
  <c r="AG55" i="282" s="1"/>
  <c r="AG56" i="282" s="1"/>
  <c r="AG57" i="282" s="1"/>
  <c r="AG58" i="282" s="1"/>
  <c r="AG59" i="282" s="1"/>
  <c r="AG60" i="282" s="1"/>
  <c r="AG61" i="282" s="1"/>
  <c r="AG62" i="282" s="1"/>
  <c r="AG63" i="282" s="1"/>
  <c r="AG64" i="282" s="1"/>
  <c r="AG65" i="282" s="1"/>
  <c r="AG66" i="282" s="1"/>
  <c r="AG67" i="282" s="1"/>
  <c r="AG68" i="282" s="1"/>
  <c r="AG69" i="282" s="1"/>
  <c r="AG70" i="282" s="1"/>
  <c r="AG71" i="282" s="1"/>
  <c r="AG72" i="282" s="1"/>
  <c r="AG73" i="282" s="1"/>
  <c r="AG74" i="282" s="1"/>
  <c r="AG75" i="282" s="1"/>
  <c r="AG76" i="282" s="1"/>
  <c r="AG77" i="282" s="1"/>
  <c r="AG78" i="282" s="1"/>
  <c r="AG79" i="282" s="1"/>
  <c r="O75" i="282"/>
  <c r="O74" i="282"/>
  <c r="O73" i="282"/>
  <c r="O70" i="282"/>
  <c r="O71" i="282"/>
  <c r="Y71" i="282" s="1"/>
  <c r="N71" i="282"/>
  <c r="X71" i="282" s="1"/>
  <c r="N75" i="282"/>
  <c r="N74" i="282"/>
  <c r="AH74" i="282" s="1"/>
  <c r="N73" i="282"/>
  <c r="X73" i="282" s="1"/>
  <c r="N70" i="282"/>
  <c r="AB8" i="282"/>
  <c r="AB9" i="282" s="1"/>
  <c r="AB10" i="282" s="1"/>
  <c r="AB11" i="282" s="1"/>
  <c r="AB12" i="282" s="1"/>
  <c r="AB13" i="282" s="1"/>
  <c r="AB14" i="282" s="1"/>
  <c r="AB15" i="282" s="1"/>
  <c r="AB16" i="282" s="1"/>
  <c r="AB17" i="282" s="1"/>
  <c r="AB18" i="282" s="1"/>
  <c r="AB19" i="282" s="1"/>
  <c r="AB20" i="282" s="1"/>
  <c r="AB21" i="282" s="1"/>
  <c r="AB22" i="282" s="1"/>
  <c r="AB23" i="282" s="1"/>
  <c r="AB24" i="282" s="1"/>
  <c r="AB25" i="282" s="1"/>
  <c r="AB26" i="282" s="1"/>
  <c r="AB27" i="282" s="1"/>
  <c r="AB28" i="282" s="1"/>
  <c r="AB29" i="282" s="1"/>
  <c r="AB30" i="282" s="1"/>
  <c r="AB31" i="282" s="1"/>
  <c r="AB32" i="282" s="1"/>
  <c r="AB33" i="282" s="1"/>
  <c r="AB34" i="282" s="1"/>
  <c r="AB35" i="282" s="1"/>
  <c r="AB36" i="282" s="1"/>
  <c r="AB37" i="282" s="1"/>
  <c r="AB38" i="282" s="1"/>
  <c r="AB39" i="282" s="1"/>
  <c r="AB40" i="282" s="1"/>
  <c r="AB41" i="282" s="1"/>
  <c r="AB42" i="282" s="1"/>
  <c r="AB43" i="282" s="1"/>
  <c r="AB44" i="282" s="1"/>
  <c r="AB45" i="282" s="1"/>
  <c r="AB46" i="282" s="1"/>
  <c r="AB47" i="282" s="1"/>
  <c r="AB48" i="282" s="1"/>
  <c r="AB49" i="282" s="1"/>
  <c r="AB50" i="282" s="1"/>
  <c r="AB51" i="282" s="1"/>
  <c r="AB52" i="282" s="1"/>
  <c r="AB53" i="282" s="1"/>
  <c r="AB54" i="282" s="1"/>
  <c r="AB55" i="282" s="1"/>
  <c r="AB56" i="282" s="1"/>
  <c r="AB57" i="282" s="1"/>
  <c r="AB58" i="282" s="1"/>
  <c r="AB59" i="282" s="1"/>
  <c r="AB60" i="282" s="1"/>
  <c r="AB61" i="282" s="1"/>
  <c r="AB62" i="282" s="1"/>
  <c r="AB63" i="282" s="1"/>
  <c r="AB64" i="282" s="1"/>
  <c r="AB65" i="282" s="1"/>
  <c r="AB66" i="282" s="1"/>
  <c r="AB67" i="282" s="1"/>
  <c r="AB68" i="282" s="1"/>
  <c r="AB69" i="282" s="1"/>
  <c r="AB70" i="282" s="1"/>
  <c r="AB71" i="282" s="1"/>
  <c r="AB72" i="282" s="1"/>
  <c r="AB73" i="282" s="1"/>
  <c r="AB74" i="282" s="1"/>
  <c r="AB75" i="282" s="1"/>
  <c r="AB76" i="282" s="1"/>
  <c r="AB77" i="282" s="1"/>
  <c r="AB78" i="282" s="1"/>
  <c r="AB79" i="282" s="1"/>
  <c r="W8" i="282"/>
  <c r="W9" i="282" s="1"/>
  <c r="W10" i="282" s="1"/>
  <c r="W11" i="282" s="1"/>
  <c r="W12" i="282" s="1"/>
  <c r="W13" i="282" s="1"/>
  <c r="W14" i="282" s="1"/>
  <c r="W15" i="282" s="1"/>
  <c r="W16" i="282" s="1"/>
  <c r="W17" i="282" s="1"/>
  <c r="W18" i="282" s="1"/>
  <c r="W19" i="282" s="1"/>
  <c r="W20" i="282" s="1"/>
  <c r="W21" i="282" s="1"/>
  <c r="W22" i="282" s="1"/>
  <c r="W23" i="282" s="1"/>
  <c r="W24" i="282" s="1"/>
  <c r="W25" i="282" s="1"/>
  <c r="W26" i="282" s="1"/>
  <c r="W27" i="282" s="1"/>
  <c r="W28" i="282" s="1"/>
  <c r="W29" i="282" s="1"/>
  <c r="W30" i="282" s="1"/>
  <c r="W31" i="282" s="1"/>
  <c r="W32" i="282" s="1"/>
  <c r="W33" i="282" s="1"/>
  <c r="W34" i="282" s="1"/>
  <c r="W35" i="282" s="1"/>
  <c r="W36" i="282" s="1"/>
  <c r="W37" i="282" s="1"/>
  <c r="W38" i="282" s="1"/>
  <c r="W39" i="282" s="1"/>
  <c r="W40" i="282" s="1"/>
  <c r="W41" i="282" s="1"/>
  <c r="W42" i="282" s="1"/>
  <c r="W43" i="282" s="1"/>
  <c r="W44" i="282" s="1"/>
  <c r="W45" i="282" s="1"/>
  <c r="W46" i="282" s="1"/>
  <c r="W47" i="282" s="1"/>
  <c r="W48" i="282" s="1"/>
  <c r="W49" i="282" s="1"/>
  <c r="W50" i="282" s="1"/>
  <c r="W51" i="282" s="1"/>
  <c r="W52" i="282" s="1"/>
  <c r="W53" i="282" s="1"/>
  <c r="W54" i="282" s="1"/>
  <c r="W55" i="282" s="1"/>
  <c r="W56" i="282" s="1"/>
  <c r="W57" i="282" s="1"/>
  <c r="W58" i="282" s="1"/>
  <c r="W59" i="282" s="1"/>
  <c r="W60" i="282" s="1"/>
  <c r="W61" i="282" s="1"/>
  <c r="W62" i="282" s="1"/>
  <c r="W63" i="282" s="1"/>
  <c r="W64" i="282" s="1"/>
  <c r="W65" i="282" s="1"/>
  <c r="W66" i="282" s="1"/>
  <c r="W67" i="282" s="1"/>
  <c r="W68" i="282" s="1"/>
  <c r="W69" i="282" s="1"/>
  <c r="W70" i="282" s="1"/>
  <c r="W71" i="282" s="1"/>
  <c r="W72" i="282" s="1"/>
  <c r="W73" i="282" s="1"/>
  <c r="W74" i="282" s="1"/>
  <c r="W75" i="282" s="1"/>
  <c r="W76" i="282" s="1"/>
  <c r="W77" i="282" s="1"/>
  <c r="W78" i="282" s="1"/>
  <c r="W79" i="282" s="1"/>
  <c r="AI71" i="282"/>
  <c r="AI72" i="282"/>
  <c r="AI76" i="282"/>
  <c r="AH72" i="282"/>
  <c r="AH76" i="282"/>
  <c r="Y72" i="282"/>
  <c r="Y76" i="282"/>
  <c r="X72" i="282"/>
  <c r="X76" i="282"/>
  <c r="P72" i="282"/>
  <c r="P76" i="282"/>
  <c r="B80" i="279"/>
  <c r="B81" i="279"/>
  <c r="B82" i="279"/>
  <c r="B83" i="279"/>
  <c r="B79" i="279"/>
  <c r="K71" i="279"/>
  <c r="K72" i="279"/>
  <c r="K73" i="279"/>
  <c r="K74" i="279"/>
  <c r="B71" i="279"/>
  <c r="B72" i="279"/>
  <c r="B73" i="279"/>
  <c r="B74" i="279"/>
  <c r="B70" i="279"/>
  <c r="C71" i="279"/>
  <c r="C72" i="279"/>
  <c r="C73" i="279"/>
  <c r="C74" i="279"/>
  <c r="L58" i="266"/>
  <c r="L59" i="266"/>
  <c r="L60" i="266"/>
  <c r="B66" i="266"/>
  <c r="B91" i="242" s="1"/>
  <c r="B67" i="266"/>
  <c r="B92" i="242" s="1"/>
  <c r="B68" i="266"/>
  <c r="B93" i="242" s="1"/>
  <c r="B69" i="266"/>
  <c r="B94" i="242" s="1"/>
  <c r="B65" i="266"/>
  <c r="B90" i="242" s="1"/>
  <c r="B57" i="266"/>
  <c r="C57" i="266"/>
  <c r="B78" i="242" s="1"/>
  <c r="B58" i="266"/>
  <c r="C58" i="266"/>
  <c r="B79" i="242" s="1"/>
  <c r="B59" i="266"/>
  <c r="C59" i="266"/>
  <c r="B80" i="242" s="1"/>
  <c r="B60" i="266"/>
  <c r="C60" i="266"/>
  <c r="B81" i="242" s="1"/>
  <c r="AC75" i="4"/>
  <c r="AB75" i="4"/>
  <c r="AD74" i="4"/>
  <c r="AD73" i="4"/>
  <c r="AD72" i="4"/>
  <c r="AD71" i="4"/>
  <c r="AD70" i="4"/>
  <c r="AD75" i="4" s="1"/>
  <c r="Y71" i="4"/>
  <c r="Y72" i="4"/>
  <c r="Y73" i="4"/>
  <c r="Y74" i="4"/>
  <c r="T71" i="4"/>
  <c r="T72" i="4"/>
  <c r="T73" i="4"/>
  <c r="T74" i="4"/>
  <c r="AH71" i="282" l="1"/>
  <c r="AJ71" i="282" s="1"/>
  <c r="I71" i="282" s="1"/>
  <c r="AH73" i="282"/>
  <c r="P73" i="282"/>
  <c r="P74" i="282"/>
  <c r="AI74" i="282"/>
  <c r="AJ74" i="282" s="1"/>
  <c r="Y74" i="282"/>
  <c r="Y73" i="282"/>
  <c r="Z73" i="282" s="1"/>
  <c r="AI73" i="282"/>
  <c r="X74" i="282"/>
  <c r="P71" i="282"/>
  <c r="AJ76" i="282"/>
  <c r="AJ72" i="282"/>
  <c r="Z76" i="282"/>
  <c r="Z71" i="282"/>
  <c r="Z72" i="282"/>
  <c r="A12" i="256"/>
  <c r="A13" i="256" s="1"/>
  <c r="A14" i="256" s="1"/>
  <c r="A15" i="256" s="1"/>
  <c r="A16" i="256" s="1"/>
  <c r="A17" i="256" s="1"/>
  <c r="A18" i="256" s="1"/>
  <c r="A19" i="256" s="1"/>
  <c r="A20" i="256" s="1"/>
  <c r="A21" i="256" s="1"/>
  <c r="A22" i="256" s="1"/>
  <c r="A23" i="256" s="1"/>
  <c r="A24" i="256" s="1"/>
  <c r="A25" i="256" s="1"/>
  <c r="A26" i="256" s="1"/>
  <c r="A27" i="256" s="1"/>
  <c r="A28" i="256" s="1"/>
  <c r="A29" i="256" s="1"/>
  <c r="A30" i="256" s="1"/>
  <c r="AG9" i="256"/>
  <c r="AG10" i="256" s="1"/>
  <c r="AG11" i="256" s="1"/>
  <c r="AG12" i="256" s="1"/>
  <c r="AG13" i="256" s="1"/>
  <c r="AG14" i="256" s="1"/>
  <c r="AG15" i="256" s="1"/>
  <c r="AG16" i="256" s="1"/>
  <c r="AG17" i="256" s="1"/>
  <c r="AG18" i="256" s="1"/>
  <c r="AG19" i="256" s="1"/>
  <c r="AG20" i="256" s="1"/>
  <c r="AG21" i="256" s="1"/>
  <c r="AG22" i="256" s="1"/>
  <c r="AG23" i="256" s="1"/>
  <c r="AG24" i="256" s="1"/>
  <c r="AG25" i="256" s="1"/>
  <c r="AG26" i="256" s="1"/>
  <c r="AG27" i="256" s="1"/>
  <c r="Z24" i="256"/>
  <c r="Z25" i="256"/>
  <c r="U24" i="256"/>
  <c r="U25" i="256"/>
  <c r="U26" i="256"/>
  <c r="P24" i="256"/>
  <c r="AE24" i="256"/>
  <c r="AJ11" i="256"/>
  <c r="AJ12" i="256"/>
  <c r="AJ13" i="256"/>
  <c r="AJ14" i="256"/>
  <c r="AJ15" i="256"/>
  <c r="AJ16" i="256"/>
  <c r="AJ17" i="256"/>
  <c r="AJ18" i="256"/>
  <c r="AJ19" i="256"/>
  <c r="AJ20" i="256"/>
  <c r="AJ21" i="256"/>
  <c r="AJ22" i="256"/>
  <c r="AJ23" i="256"/>
  <c r="AJ24" i="256"/>
  <c r="AJ25" i="256"/>
  <c r="AJ26" i="256"/>
  <c r="AI27" i="256"/>
  <c r="AH27" i="256"/>
  <c r="AJ73" i="282" l="1"/>
  <c r="I72" i="282"/>
  <c r="Z74" i="282"/>
  <c r="I11" i="256"/>
  <c r="AJ27" i="256"/>
  <c r="I73" i="282" l="1"/>
  <c r="I13" i="256"/>
  <c r="I12" i="256"/>
  <c r="I76" i="282" l="1"/>
  <c r="I14" i="256"/>
  <c r="I15" i="256" l="1"/>
  <c r="I16" i="256" l="1"/>
  <c r="I17" i="256" l="1"/>
  <c r="I18" i="256" l="1"/>
  <c r="I19" i="256" l="1"/>
  <c r="I20" i="256" l="1"/>
  <c r="I21" i="256" l="1"/>
  <c r="I22" i="256" l="1"/>
  <c r="I23" i="256" l="1"/>
  <c r="I24" i="256" l="1"/>
  <c r="I25" i="256" l="1"/>
  <c r="I27" i="256" l="1"/>
  <c r="K2" i="282" l="1"/>
  <c r="P78" i="282"/>
  <c r="P69" i="282"/>
  <c r="P44" i="282"/>
  <c r="P43" i="282"/>
  <c r="AJ24" i="282"/>
  <c r="Z24" i="282"/>
  <c r="P24" i="282"/>
  <c r="AJ23" i="282"/>
  <c r="Z23" i="282"/>
  <c r="P23" i="282"/>
  <c r="P17" i="282"/>
  <c r="A10" i="282"/>
  <c r="A11" i="282" s="1"/>
  <c r="A12" i="282" s="1"/>
  <c r="A13" i="282" s="1"/>
  <c r="A14" i="282" s="1"/>
  <c r="A15" i="282" s="1"/>
  <c r="A16" i="282" s="1"/>
  <c r="A17" i="282" s="1"/>
  <c r="A18" i="282" s="1"/>
  <c r="A19" i="282" s="1"/>
  <c r="A20" i="282" s="1"/>
  <c r="A21" i="282" s="1"/>
  <c r="A22" i="282" s="1"/>
  <c r="A23" i="282" s="1"/>
  <c r="A24" i="282" s="1"/>
  <c r="A25" i="282" s="1"/>
  <c r="A26" i="282" s="1"/>
  <c r="A27" i="282" s="1"/>
  <c r="A28" i="282" s="1"/>
  <c r="A29" i="282" s="1"/>
  <c r="A30" i="282" s="1"/>
  <c r="A31" i="282" s="1"/>
  <c r="A32" i="282" s="1"/>
  <c r="A33" i="282" s="1"/>
  <c r="A34" i="282" s="1"/>
  <c r="A35" i="282" s="1"/>
  <c r="A36" i="282" s="1"/>
  <c r="A37" i="282" s="1"/>
  <c r="A38" i="282" s="1"/>
  <c r="A39" i="282" s="1"/>
  <c r="A40" i="282" s="1"/>
  <c r="A41" i="282" s="1"/>
  <c r="A42" i="282" s="1"/>
  <c r="A43" i="282" s="1"/>
  <c r="A44" i="282" s="1"/>
  <c r="A45" i="282" s="1"/>
  <c r="A46" i="282" s="1"/>
  <c r="A47" i="282" s="1"/>
  <c r="A48" i="282" s="1"/>
  <c r="A49" i="282" s="1"/>
  <c r="A50" i="282" s="1"/>
  <c r="A51" i="282" s="1"/>
  <c r="A52" i="282" s="1"/>
  <c r="A53" i="282" s="1"/>
  <c r="A54" i="282" s="1"/>
  <c r="A55" i="282" s="1"/>
  <c r="A56" i="282" s="1"/>
  <c r="A57" i="282" s="1"/>
  <c r="A58" i="282" s="1"/>
  <c r="A59" i="282" s="1"/>
  <c r="A60" i="282" s="1"/>
  <c r="A61" i="282" s="1"/>
  <c r="A62" i="282" s="1"/>
  <c r="A63" i="282" s="1"/>
  <c r="A64" i="282" s="1"/>
  <c r="A65" i="282" s="1"/>
  <c r="A66" i="282" s="1"/>
  <c r="A67" i="282" s="1"/>
  <c r="A68" i="282" s="1"/>
  <c r="A69" i="282" s="1"/>
  <c r="A70" i="282" s="1"/>
  <c r="A71" i="282" s="1"/>
  <c r="A72" i="282" s="1"/>
  <c r="A73" i="282" s="1"/>
  <c r="A74" i="282" s="1"/>
  <c r="A75" i="282" s="1"/>
  <c r="A76" i="282" s="1"/>
  <c r="A77" i="282" s="1"/>
  <c r="A78" i="282" s="1"/>
  <c r="A79" i="282" s="1"/>
  <c r="A80" i="282" s="1"/>
  <c r="A81" i="282" s="1"/>
  <c r="A82" i="282" s="1"/>
  <c r="A83" i="282" s="1"/>
  <c r="A84" i="282" s="1"/>
  <c r="A85" i="282" s="1"/>
  <c r="A86" i="282" s="1"/>
  <c r="A87" i="282" s="1"/>
  <c r="A88" i="282" s="1"/>
  <c r="A89" i="282" s="1"/>
  <c r="A90" i="282" s="1"/>
  <c r="A91" i="282" s="1"/>
  <c r="R7" i="282"/>
  <c r="R8" i="282" s="1"/>
  <c r="R9" i="282" s="1"/>
  <c r="R10" i="282" s="1"/>
  <c r="R11" i="282" s="1"/>
  <c r="M7" i="282"/>
  <c r="M8" i="282" s="1"/>
  <c r="M9" i="282" s="1"/>
  <c r="M10" i="282" s="1"/>
  <c r="M11" i="282" s="1"/>
  <c r="M12" i="282" l="1"/>
  <c r="AH75" i="282"/>
  <c r="X75" i="282"/>
  <c r="P75" i="282"/>
  <c r="AI75" i="282"/>
  <c r="Y75" i="282"/>
  <c r="X70" i="282"/>
  <c r="R11" i="275" s="1"/>
  <c r="AH70" i="282"/>
  <c r="Y70" i="282"/>
  <c r="AI70" i="282"/>
  <c r="O22" i="282"/>
  <c r="O77" i="282"/>
  <c r="O68" i="282"/>
  <c r="O15" i="282"/>
  <c r="O42" i="282"/>
  <c r="Y42" i="282"/>
  <c r="Y15" i="282"/>
  <c r="P70" i="282"/>
  <c r="N77" i="282"/>
  <c r="Y22" i="282"/>
  <c r="R12" i="282"/>
  <c r="S11" i="275" l="1"/>
  <c r="M13" i="282"/>
  <c r="X77" i="282"/>
  <c r="Z75" i="282"/>
  <c r="AI77" i="282"/>
  <c r="AJ75" i="282"/>
  <c r="Z70" i="282"/>
  <c r="AH77" i="282"/>
  <c r="O79" i="282"/>
  <c r="AJ70" i="282"/>
  <c r="Y77" i="282"/>
  <c r="P77" i="282"/>
  <c r="Y68" i="282"/>
  <c r="R13" i="282"/>
  <c r="I75" i="282" l="1"/>
  <c r="I74" i="282"/>
  <c r="M14" i="282"/>
  <c r="Z77" i="282"/>
  <c r="AJ77" i="282"/>
  <c r="I70" i="282"/>
  <c r="Y79" i="282"/>
  <c r="R14" i="282"/>
  <c r="I77" i="282" l="1"/>
  <c r="M15" i="282"/>
  <c r="M16" i="282" s="1"/>
  <c r="M17" i="282" s="1"/>
  <c r="M18" i="282" s="1"/>
  <c r="R15" i="282"/>
  <c r="R16" i="282" s="1"/>
  <c r="R17" i="282" s="1"/>
  <c r="R18" i="282" s="1"/>
  <c r="M19" i="282" l="1"/>
  <c r="R19" i="282"/>
  <c r="M20" i="282" l="1"/>
  <c r="R20" i="282"/>
  <c r="M21" i="282" l="1"/>
  <c r="R21" i="282"/>
  <c r="M22" i="282" l="1"/>
  <c r="M23" i="282" s="1"/>
  <c r="M24" i="282" s="1"/>
  <c r="M25" i="282" s="1"/>
  <c r="R22" i="282"/>
  <c r="R23" i="282" s="1"/>
  <c r="R24" i="282" s="1"/>
  <c r="R25" i="282" s="1"/>
  <c r="M26" i="282" l="1"/>
  <c r="R26" i="282"/>
  <c r="M27" i="282" l="1"/>
  <c r="R27" i="282"/>
  <c r="M28" i="282" l="1"/>
  <c r="R28" i="282"/>
  <c r="M29" i="282" l="1"/>
  <c r="R29" i="282"/>
  <c r="M30" i="282" l="1"/>
  <c r="R30" i="282"/>
  <c r="M31" i="282" l="1"/>
  <c r="R31" i="282"/>
  <c r="M32" i="282" l="1"/>
  <c r="R32" i="282"/>
  <c r="M33" i="282" l="1"/>
  <c r="R33" i="282"/>
  <c r="M34" i="282" l="1"/>
  <c r="R34" i="282"/>
  <c r="M35" i="282" l="1"/>
  <c r="R35" i="282"/>
  <c r="M36" i="282" l="1"/>
  <c r="R36" i="282"/>
  <c r="M37" i="282" l="1"/>
  <c r="R37" i="282"/>
  <c r="M38" i="282" l="1"/>
  <c r="R38" i="282"/>
  <c r="M39" i="282" l="1"/>
  <c r="R39" i="282"/>
  <c r="M40" i="282" l="1"/>
  <c r="R40" i="282"/>
  <c r="M41" i="282" l="1"/>
  <c r="R41" i="282"/>
  <c r="M42" i="282" l="1"/>
  <c r="M43" i="282" s="1"/>
  <c r="M44" i="282" s="1"/>
  <c r="M45" i="282" s="1"/>
  <c r="R42" i="282"/>
  <c r="R43" i="282" s="1"/>
  <c r="R44" i="282" s="1"/>
  <c r="R45" i="282" s="1"/>
  <c r="M46" i="282" l="1"/>
  <c r="R46" i="282"/>
  <c r="M47" i="282" l="1"/>
  <c r="R47" i="282"/>
  <c r="M48" i="282" l="1"/>
  <c r="R48" i="282"/>
  <c r="M49" i="282" l="1"/>
  <c r="R49" i="282"/>
  <c r="M50" i="282" l="1"/>
  <c r="R50" i="282"/>
  <c r="M51" i="282" l="1"/>
  <c r="R51" i="282"/>
  <c r="M52" i="282" l="1"/>
  <c r="R52" i="282"/>
  <c r="M53" i="282" l="1"/>
  <c r="R53" i="282"/>
  <c r="M54" i="282" l="1"/>
  <c r="R54" i="282"/>
  <c r="M55" i="282" l="1"/>
  <c r="R55" i="282"/>
  <c r="M56" i="282" l="1"/>
  <c r="R56" i="282"/>
  <c r="M57" i="282" l="1"/>
  <c r="R57" i="282"/>
  <c r="M58" i="282" l="1"/>
  <c r="R58" i="282"/>
  <c r="M59" i="282" l="1"/>
  <c r="R59" i="282"/>
  <c r="M60" i="282" l="1"/>
  <c r="R60" i="282"/>
  <c r="M61" i="282" l="1"/>
  <c r="R61" i="282"/>
  <c r="M62" i="282" l="1"/>
  <c r="M63" i="282" s="1"/>
  <c r="M64" i="282" s="1"/>
  <c r="M65" i="282" s="1"/>
  <c r="M66" i="282" s="1"/>
  <c r="M67" i="282" s="1"/>
  <c r="M68" i="282" s="1"/>
  <c r="M69" i="282" s="1"/>
  <c r="M70" i="282" s="1"/>
  <c r="M71" i="282" s="1"/>
  <c r="M72" i="282" s="1"/>
  <c r="M73" i="282" s="1"/>
  <c r="M74" i="282" s="1"/>
  <c r="M75" i="282" s="1"/>
  <c r="M76" i="282" s="1"/>
  <c r="M77" i="282" s="1"/>
  <c r="M78" i="282" s="1"/>
  <c r="M79" i="282" s="1"/>
  <c r="R62" i="282"/>
  <c r="R63" i="282" s="1"/>
  <c r="R64" i="282" s="1"/>
  <c r="R65" i="282" s="1"/>
  <c r="R66" i="282" s="1"/>
  <c r="R67" i="282" s="1"/>
  <c r="R68" i="282" s="1"/>
  <c r="R69" i="282" s="1"/>
  <c r="R70" i="282" s="1"/>
  <c r="R71" i="282" s="1"/>
  <c r="R72" i="282" s="1"/>
  <c r="R73" i="282" s="1"/>
  <c r="R74" i="282" s="1"/>
  <c r="R75" i="282" s="1"/>
  <c r="R76" i="282" s="1"/>
  <c r="R77" i="282" s="1"/>
  <c r="R78" i="282" s="1"/>
  <c r="R79" i="282" s="1"/>
  <c r="E70" i="282" l="1"/>
  <c r="G71" i="282"/>
  <c r="K71" i="282" s="1"/>
  <c r="I24" i="198" s="1"/>
  <c r="G70" i="282"/>
  <c r="G72" i="282" l="1"/>
  <c r="K72" i="282" s="1"/>
  <c r="I25" i="198" s="1"/>
  <c r="E71" i="282"/>
  <c r="K70" i="282"/>
  <c r="I23" i="198" s="1"/>
  <c r="E72" i="282" l="1"/>
  <c r="G73" i="282"/>
  <c r="K73" i="282" s="1"/>
  <c r="I26" i="198" s="1"/>
  <c r="G76" i="282" l="1"/>
  <c r="K76" i="282" s="1"/>
  <c r="I29" i="198" s="1"/>
  <c r="E73" i="282"/>
  <c r="AJ27" i="274"/>
  <c r="AJ24" i="274"/>
  <c r="AJ22" i="274"/>
  <c r="E76" i="282" l="1"/>
  <c r="G74" i="282"/>
  <c r="K74" i="282" s="1"/>
  <c r="I27" i="198" s="1"/>
  <c r="G22" i="237"/>
  <c r="G75" i="282" l="1"/>
  <c r="K75" i="282" s="1"/>
  <c r="I28" i="198" s="1"/>
  <c r="E74" i="282"/>
  <c r="AE22" i="274"/>
  <c r="AE24" i="274"/>
  <c r="AE27" i="274"/>
  <c r="E75" i="282" l="1"/>
  <c r="E77" i="282" s="1"/>
  <c r="G77" i="282"/>
  <c r="K77" i="282"/>
  <c r="U45" i="274" l="1"/>
  <c r="T45" i="274"/>
  <c r="S45" i="274"/>
  <c r="Y45" i="274"/>
  <c r="X45" i="274"/>
  <c r="Y43" i="274"/>
  <c r="X43" i="274"/>
  <c r="Y40" i="274"/>
  <c r="X40" i="274"/>
  <c r="AD31" i="274"/>
  <c r="AC31" i="274"/>
  <c r="Y17" i="274"/>
  <c r="X17" i="274"/>
  <c r="Y16" i="274"/>
  <c r="X16" i="274"/>
  <c r="Y15" i="274"/>
  <c r="X15" i="274"/>
  <c r="Y14" i="274"/>
  <c r="X14" i="274"/>
  <c r="Y12" i="274"/>
  <c r="X12" i="274"/>
  <c r="B18" i="274"/>
  <c r="B17" i="274"/>
  <c r="B16" i="274"/>
  <c r="B15" i="274"/>
  <c r="B14" i="274"/>
  <c r="B13" i="274"/>
  <c r="C42" i="239" l="1"/>
  <c r="B42" i="239"/>
  <c r="A1" i="237" l="1"/>
  <c r="B46" i="268" l="1"/>
  <c r="C46" i="268"/>
  <c r="B47" i="268"/>
  <c r="C47" i="268"/>
  <c r="B48" i="268"/>
  <c r="C48" i="268"/>
  <c r="B49" i="268"/>
  <c r="C49" i="268"/>
  <c r="B50" i="268"/>
  <c r="C50" i="268"/>
  <c r="B51" i="268"/>
  <c r="C51" i="268"/>
  <c r="B52" i="268"/>
  <c r="C52" i="268"/>
  <c r="B53" i="268"/>
  <c r="C53" i="268"/>
  <c r="B54" i="268"/>
  <c r="C54" i="268"/>
  <c r="B55" i="268"/>
  <c r="C55" i="268"/>
  <c r="B56" i="268"/>
  <c r="C56" i="268"/>
  <c r="B57" i="268"/>
  <c r="C57" i="268"/>
  <c r="B58" i="268"/>
  <c r="C58" i="268"/>
  <c r="B59" i="268"/>
  <c r="C59" i="268"/>
  <c r="B60" i="268"/>
  <c r="C60" i="268"/>
  <c r="B61" i="268"/>
  <c r="C61" i="268"/>
  <c r="B62" i="268"/>
  <c r="C62" i="268"/>
  <c r="B63" i="268"/>
  <c r="C63" i="268"/>
  <c r="B64" i="268"/>
  <c r="C64" i="268"/>
  <c r="B65" i="268"/>
  <c r="C65" i="268"/>
  <c r="B66" i="268"/>
  <c r="C66" i="268"/>
  <c r="B67" i="268"/>
  <c r="C67" i="268"/>
  <c r="B26" i="268"/>
  <c r="C26" i="268"/>
  <c r="B27" i="268"/>
  <c r="C27" i="268"/>
  <c r="B28" i="268"/>
  <c r="C28" i="268"/>
  <c r="B29" i="268"/>
  <c r="C29" i="268"/>
  <c r="B30" i="268"/>
  <c r="C30" i="268"/>
  <c r="B31" i="268"/>
  <c r="C31" i="268"/>
  <c r="B32" i="268"/>
  <c r="C32" i="268"/>
  <c r="B33" i="268"/>
  <c r="C33" i="268"/>
  <c r="B34" i="268"/>
  <c r="C34" i="268"/>
  <c r="B35" i="268"/>
  <c r="C35" i="268"/>
  <c r="B36" i="268"/>
  <c r="C36" i="268"/>
  <c r="B37" i="268"/>
  <c r="C37" i="268"/>
  <c r="B38" i="268"/>
  <c r="C38" i="268"/>
  <c r="B39" i="268"/>
  <c r="C39" i="268"/>
  <c r="B40" i="268"/>
  <c r="C40" i="268"/>
  <c r="B41" i="268"/>
  <c r="C41" i="268"/>
  <c r="B19" i="268"/>
  <c r="C19" i="268"/>
  <c r="B20" i="268"/>
  <c r="C20" i="268"/>
  <c r="B21" i="268"/>
  <c r="C21" i="268"/>
  <c r="C18" i="268"/>
  <c r="B18" i="268"/>
  <c r="J15" i="279" l="1"/>
  <c r="I15" i="279"/>
  <c r="B19" i="279"/>
  <c r="C19" i="279"/>
  <c r="B20" i="279"/>
  <c r="C20" i="279"/>
  <c r="B21" i="279"/>
  <c r="C21" i="279"/>
  <c r="C18" i="279"/>
  <c r="B18" i="279"/>
  <c r="B26" i="279"/>
  <c r="C26" i="279"/>
  <c r="B27" i="279"/>
  <c r="C27" i="279"/>
  <c r="B28" i="279"/>
  <c r="C28" i="279"/>
  <c r="B29" i="279"/>
  <c r="C29" i="279"/>
  <c r="B30" i="279"/>
  <c r="C30" i="279"/>
  <c r="B31" i="279"/>
  <c r="C31" i="279"/>
  <c r="B32" i="279"/>
  <c r="C32" i="279"/>
  <c r="B33" i="279"/>
  <c r="C33" i="279"/>
  <c r="B34" i="279"/>
  <c r="C34" i="279"/>
  <c r="B35" i="279"/>
  <c r="C35" i="279"/>
  <c r="B36" i="279"/>
  <c r="C36" i="279"/>
  <c r="B37" i="279"/>
  <c r="C37" i="279"/>
  <c r="B38" i="279"/>
  <c r="C38" i="279"/>
  <c r="B39" i="279"/>
  <c r="C39" i="279"/>
  <c r="B40" i="279"/>
  <c r="C40" i="279"/>
  <c r="B41" i="279"/>
  <c r="C41" i="279"/>
  <c r="C46" i="279"/>
  <c r="C47" i="279"/>
  <c r="C48" i="279"/>
  <c r="C49" i="279"/>
  <c r="C50" i="279"/>
  <c r="C51" i="279"/>
  <c r="C52" i="279"/>
  <c r="C53" i="279"/>
  <c r="C54" i="279"/>
  <c r="C55" i="279"/>
  <c r="C56" i="279"/>
  <c r="C57" i="279"/>
  <c r="C58" i="279"/>
  <c r="C59" i="279"/>
  <c r="C60" i="279"/>
  <c r="C61" i="279"/>
  <c r="C62" i="279"/>
  <c r="C63" i="279"/>
  <c r="C64" i="279"/>
  <c r="C65" i="279"/>
  <c r="C66" i="279"/>
  <c r="C67" i="279"/>
  <c r="B46" i="279"/>
  <c r="B47" i="279"/>
  <c r="B48" i="279"/>
  <c r="B49" i="279"/>
  <c r="B50" i="279"/>
  <c r="B51" i="279"/>
  <c r="B52" i="279"/>
  <c r="B53" i="279"/>
  <c r="B54" i="279"/>
  <c r="B55" i="279"/>
  <c r="B56" i="279"/>
  <c r="B57" i="279"/>
  <c r="B58" i="279"/>
  <c r="B59" i="279"/>
  <c r="B60" i="279"/>
  <c r="B61" i="279"/>
  <c r="B62" i="279"/>
  <c r="B63" i="279"/>
  <c r="B64" i="279"/>
  <c r="B65" i="279"/>
  <c r="B66" i="279"/>
  <c r="B67" i="279"/>
  <c r="C45" i="279"/>
  <c r="B45" i="279"/>
  <c r="C17" i="279"/>
  <c r="C15" i="279"/>
  <c r="B12" i="279"/>
  <c r="C12" i="279"/>
  <c r="B13" i="279"/>
  <c r="C13" i="279"/>
  <c r="B14" i="279"/>
  <c r="C14" i="279"/>
  <c r="C11" i="279"/>
  <c r="B11" i="279"/>
  <c r="C10" i="279"/>
  <c r="B50" i="266" l="1"/>
  <c r="C50" i="266"/>
  <c r="B51" i="266"/>
  <c r="C51" i="266"/>
  <c r="B52" i="266"/>
  <c r="C52" i="266"/>
  <c r="B53" i="266"/>
  <c r="C53" i="266"/>
  <c r="C32" i="266"/>
  <c r="C33" i="266"/>
  <c r="C34" i="266"/>
  <c r="C35" i="266"/>
  <c r="C36" i="266"/>
  <c r="C37" i="266"/>
  <c r="C38" i="266"/>
  <c r="C39" i="266"/>
  <c r="C40" i="266"/>
  <c r="C41" i="266"/>
  <c r="C42" i="266"/>
  <c r="C43" i="266"/>
  <c r="C44" i="266"/>
  <c r="C45" i="266"/>
  <c r="C46" i="266"/>
  <c r="C47" i="266"/>
  <c r="C48" i="266"/>
  <c r="C49" i="266"/>
  <c r="C31" i="266"/>
  <c r="B32" i="266"/>
  <c r="B33" i="266"/>
  <c r="B34" i="266"/>
  <c r="B35" i="266"/>
  <c r="B43" i="274" s="1"/>
  <c r="B36" i="266"/>
  <c r="B37" i="266"/>
  <c r="B38" i="266"/>
  <c r="B45" i="274" s="1"/>
  <c r="B39" i="266"/>
  <c r="B40" i="266"/>
  <c r="B41" i="266"/>
  <c r="B42" i="266"/>
  <c r="B43" i="266"/>
  <c r="B44" i="266"/>
  <c r="B45" i="266"/>
  <c r="B46" i="266"/>
  <c r="B47" i="266"/>
  <c r="B48" i="266"/>
  <c r="B49" i="266"/>
  <c r="B31" i="266"/>
  <c r="B12" i="266"/>
  <c r="C12" i="266"/>
  <c r="B13" i="266"/>
  <c r="C13" i="266"/>
  <c r="B14" i="266"/>
  <c r="C14" i="266"/>
  <c r="B15" i="266"/>
  <c r="C15" i="266"/>
  <c r="B16" i="266"/>
  <c r="C16" i="266"/>
  <c r="B17" i="266"/>
  <c r="C17" i="266"/>
  <c r="B18" i="266"/>
  <c r="C18" i="266"/>
  <c r="B19" i="266"/>
  <c r="C19" i="266"/>
  <c r="B20" i="266"/>
  <c r="C20" i="266"/>
  <c r="B21" i="266"/>
  <c r="C21" i="266"/>
  <c r="B22" i="266"/>
  <c r="C22" i="266"/>
  <c r="B23" i="266"/>
  <c r="C23" i="266"/>
  <c r="B24" i="266"/>
  <c r="C24" i="266"/>
  <c r="B25" i="266"/>
  <c r="C25" i="266"/>
  <c r="B26" i="266"/>
  <c r="C26" i="266"/>
  <c r="B27" i="266"/>
  <c r="C27" i="266"/>
  <c r="C11" i="266"/>
  <c r="B11" i="266"/>
  <c r="R22" i="4" l="1"/>
  <c r="AD46" i="4" l="1"/>
  <c r="AD47" i="4"/>
  <c r="AD48" i="4"/>
  <c r="AD49" i="4"/>
  <c r="AD37" i="4"/>
  <c r="AD38" i="4"/>
  <c r="AD39" i="4"/>
  <c r="Y37" i="4"/>
  <c r="Y38" i="4"/>
  <c r="Y48" i="4"/>
  <c r="Y49" i="4"/>
  <c r="Y50" i="4"/>
  <c r="T48" i="4"/>
  <c r="T49" i="4"/>
  <c r="T37" i="4"/>
  <c r="Z37" i="282" l="1"/>
  <c r="G37" i="282" s="1"/>
  <c r="P37" i="282"/>
  <c r="E37" i="282" s="1"/>
  <c r="P50" i="282"/>
  <c r="E50" i="282" s="1"/>
  <c r="Z50" i="282"/>
  <c r="G50" i="282" s="1"/>
  <c r="P49" i="282"/>
  <c r="E49" i="282" s="1"/>
  <c r="Z49" i="282"/>
  <c r="G49" i="282" s="1"/>
  <c r="Z48" i="282"/>
  <c r="G48" i="282" s="1"/>
  <c r="P48" i="282"/>
  <c r="E48" i="282" s="1"/>
  <c r="Z38" i="282"/>
  <c r="G38" i="282" s="1"/>
  <c r="P38" i="282"/>
  <c r="E38" i="282" s="1"/>
  <c r="K87" i="279" l="1"/>
  <c r="C253" i="239" l="1"/>
  <c r="B253" i="239"/>
  <c r="C246" i="239"/>
  <c r="C219" i="239"/>
  <c r="C205" i="239"/>
  <c r="C196" i="239"/>
  <c r="B22" i="194" l="1"/>
  <c r="S50" i="274" l="1"/>
  <c r="S49" i="274"/>
  <c r="S48" i="274"/>
  <c r="S47" i="274"/>
  <c r="S46" i="274"/>
  <c r="S44" i="274"/>
  <c r="S43" i="274"/>
  <c r="S42" i="274"/>
  <c r="S41" i="274"/>
  <c r="S40" i="274"/>
  <c r="T50" i="274"/>
  <c r="T49" i="274"/>
  <c r="T48" i="274"/>
  <c r="T47" i="274"/>
  <c r="T46" i="274"/>
  <c r="T44" i="274"/>
  <c r="T43" i="274"/>
  <c r="T42" i="274"/>
  <c r="T41" i="274"/>
  <c r="T40" i="274"/>
  <c r="Q7" i="274" l="1"/>
  <c r="Q8" i="274" s="1"/>
  <c r="Q9" i="274" s="1"/>
  <c r="Q10" i="274" s="1"/>
  <c r="Q11" i="274" s="1"/>
  <c r="Q12" i="274" s="1"/>
  <c r="Q13" i="274" s="1"/>
  <c r="Q14" i="274" s="1"/>
  <c r="Q15" i="274" s="1"/>
  <c r="Q16" i="274" s="1"/>
  <c r="Q17" i="274" s="1"/>
  <c r="Q18" i="274" s="1"/>
  <c r="Q19" i="274" s="1"/>
  <c r="Q20" i="274" s="1"/>
  <c r="Q21" i="274" s="1"/>
  <c r="Q22" i="274" s="1"/>
  <c r="Q23" i="274" s="1"/>
  <c r="Q24" i="274" s="1"/>
  <c r="Q25" i="274" s="1"/>
  <c r="Q26" i="274" s="1"/>
  <c r="Q27" i="274" s="1"/>
  <c r="Q28" i="274" s="1"/>
  <c r="U7" i="274"/>
  <c r="T7" i="274"/>
  <c r="S7" i="274"/>
  <c r="U6" i="274"/>
  <c r="T6" i="274"/>
  <c r="S6" i="274"/>
  <c r="Q29" i="274" l="1"/>
  <c r="Q30" i="274" s="1"/>
  <c r="V23" i="274"/>
  <c r="V13" i="274"/>
  <c r="V11" i="274"/>
  <c r="V28" i="274"/>
  <c r="V24" i="274"/>
  <c r="V14" i="274"/>
  <c r="V18" i="274"/>
  <c r="V12" i="274"/>
  <c r="V25" i="274"/>
  <c r="V15" i="274"/>
  <c r="V30" i="274"/>
  <c r="V26" i="274"/>
  <c r="V16" i="274"/>
  <c r="V20" i="274"/>
  <c r="V27" i="274"/>
  <c r="V17" i="274"/>
  <c r="V21" i="274"/>
  <c r="V29" i="274"/>
  <c r="V19" i="274"/>
  <c r="V22" i="274"/>
  <c r="A1" i="280"/>
  <c r="Q31" i="274" l="1"/>
  <c r="Q32" i="274" s="1"/>
  <c r="Q33" i="274" s="1"/>
  <c r="Q34" i="274" s="1"/>
  <c r="Q35" i="274" s="1"/>
  <c r="Q36" i="274" s="1"/>
  <c r="Q37" i="274" s="1"/>
  <c r="Q38" i="274" s="1"/>
  <c r="Q39" i="274" s="1"/>
  <c r="Q40" i="274" s="1"/>
  <c r="Q41" i="274" s="1"/>
  <c r="X50" i="274"/>
  <c r="Y50" i="274"/>
  <c r="X49" i="274"/>
  <c r="X48" i="274"/>
  <c r="X47" i="274"/>
  <c r="X46" i="274"/>
  <c r="X44" i="274"/>
  <c r="X42" i="274"/>
  <c r="U50" i="274"/>
  <c r="U49" i="274"/>
  <c r="U48" i="274"/>
  <c r="U47" i="274"/>
  <c r="U46" i="274"/>
  <c r="U44" i="274"/>
  <c r="U43" i="274"/>
  <c r="U42" i="274"/>
  <c r="U41" i="274"/>
  <c r="U40" i="274"/>
  <c r="R50" i="274"/>
  <c r="R49" i="274"/>
  <c r="R48" i="274"/>
  <c r="R47" i="274"/>
  <c r="R46" i="274"/>
  <c r="R44" i="274"/>
  <c r="R43" i="274"/>
  <c r="R42" i="274"/>
  <c r="R41" i="274"/>
  <c r="R40" i="274"/>
  <c r="B50" i="274"/>
  <c r="X41" i="274"/>
  <c r="X30" i="274"/>
  <c r="X29" i="274"/>
  <c r="V40" i="274" l="1"/>
  <c r="Q42" i="274"/>
  <c r="V41" i="274"/>
  <c r="X28" i="274"/>
  <c r="Y27" i="274"/>
  <c r="X26" i="274"/>
  <c r="X25" i="274"/>
  <c r="X24" i="274"/>
  <c r="Y24" i="274"/>
  <c r="X23" i="274"/>
  <c r="X22" i="274"/>
  <c r="Y22" i="274"/>
  <c r="X21" i="274"/>
  <c r="X20" i="274"/>
  <c r="X19" i="274"/>
  <c r="X18" i="274"/>
  <c r="X13" i="274"/>
  <c r="X11" i="274"/>
  <c r="B27" i="274"/>
  <c r="B24" i="274"/>
  <c r="B22" i="274"/>
  <c r="AJ16" i="274"/>
  <c r="AE16" i="274"/>
  <c r="Q43" i="274" l="1"/>
  <c r="V42" i="274"/>
  <c r="Z22" i="274"/>
  <c r="Z27" i="274"/>
  <c r="Z24" i="274"/>
  <c r="X31" i="274"/>
  <c r="Z16" i="274"/>
  <c r="Q44" i="274" l="1"/>
  <c r="V43" i="274"/>
  <c r="J21" i="236"/>
  <c r="I21" i="236"/>
  <c r="Q45" i="274" l="1"/>
  <c r="V44" i="274"/>
  <c r="Q46" i="274" l="1"/>
  <c r="V45" i="274"/>
  <c r="A3" i="267"/>
  <c r="S166" i="40" l="1"/>
  <c r="S164" i="40"/>
  <c r="S163" i="40"/>
  <c r="S162" i="40"/>
  <c r="S161" i="40"/>
  <c r="S160" i="40"/>
  <c r="S159" i="40"/>
  <c r="S158" i="40"/>
  <c r="S157" i="40"/>
  <c r="S156" i="40"/>
  <c r="S154" i="40"/>
  <c r="S149" i="40"/>
  <c r="S148" i="40"/>
  <c r="S140" i="40"/>
  <c r="S132" i="40"/>
  <c r="S109" i="40"/>
  <c r="S101" i="40"/>
  <c r="S59" i="40"/>
  <c r="S58" i="40"/>
  <c r="S55" i="40"/>
  <c r="S46" i="40"/>
  <c r="S45" i="40"/>
  <c r="S44" i="40"/>
  <c r="S43" i="40"/>
  <c r="S42" i="40"/>
  <c r="S41" i="40"/>
  <c r="S40" i="40"/>
  <c r="S39" i="40"/>
  <c r="S38" i="40"/>
  <c r="S30" i="40"/>
  <c r="S28" i="40"/>
  <c r="S27" i="40"/>
  <c r="S26" i="40"/>
  <c r="S22" i="40"/>
  <c r="S21" i="40"/>
  <c r="S20" i="40"/>
  <c r="S19" i="40"/>
  <c r="S17" i="40"/>
  <c r="S15" i="40"/>
  <c r="S14" i="40"/>
  <c r="S13" i="40"/>
  <c r="Q47" i="274" l="1"/>
  <c r="V46" i="274"/>
  <c r="Q48" i="274" l="1"/>
  <c r="V47" i="274"/>
  <c r="B71" i="268"/>
  <c r="B81" i="268" s="1"/>
  <c r="C71" i="268"/>
  <c r="C81" i="268" s="1"/>
  <c r="Q49" i="274" l="1"/>
  <c r="Q50" i="274" s="1"/>
  <c r="V48" i="274"/>
  <c r="V49" i="274" l="1"/>
  <c r="A9" i="29"/>
  <c r="A10" i="29" s="1"/>
  <c r="A11" i="29" s="1"/>
  <c r="A12" i="29" s="1"/>
  <c r="A13" i="29" s="1"/>
  <c r="A14" i="29" s="1"/>
  <c r="A15" i="29" s="1"/>
  <c r="A16" i="29" s="1"/>
  <c r="A17" i="29" s="1"/>
  <c r="A18" i="29" s="1"/>
  <c r="A19" i="29" s="1"/>
  <c r="A20" i="29" s="1"/>
  <c r="A21" i="29" s="1"/>
  <c r="A22" i="29" s="1"/>
  <c r="A23" i="29" s="1"/>
  <c r="A24" i="29" s="1"/>
  <c r="A25" i="29" s="1"/>
  <c r="A26" i="29" s="1"/>
  <c r="A27" i="29" s="1"/>
  <c r="A28" i="29" s="1"/>
  <c r="B64" i="239" l="1"/>
  <c r="C40" i="239"/>
  <c r="B40" i="239"/>
  <c r="M17" i="280" l="1"/>
  <c r="M38" i="280"/>
  <c r="V50" i="274"/>
  <c r="J10" i="11"/>
  <c r="H10" i="11"/>
  <c r="N38" i="280" l="1"/>
  <c r="Y22" i="2" l="1"/>
  <c r="AD27" i="256" l="1"/>
  <c r="AC27" i="256"/>
  <c r="AE26" i="256"/>
  <c r="AE25" i="256"/>
  <c r="AE23" i="256"/>
  <c r="AE22" i="256"/>
  <c r="AE21" i="256"/>
  <c r="AE20" i="256"/>
  <c r="AE19" i="256"/>
  <c r="AE18" i="256"/>
  <c r="AE17" i="256"/>
  <c r="AE16" i="256"/>
  <c r="AE15" i="256"/>
  <c r="AE14" i="256"/>
  <c r="AE13" i="256"/>
  <c r="AE12" i="256"/>
  <c r="AE11" i="256"/>
  <c r="AE9" i="256"/>
  <c r="AD9" i="256"/>
  <c r="AC9" i="256"/>
  <c r="AB9" i="256"/>
  <c r="AB10" i="256" s="1"/>
  <c r="AB11" i="256" s="1"/>
  <c r="AB12" i="256" s="1"/>
  <c r="AB13" i="256" s="1"/>
  <c r="AB14" i="256" s="1"/>
  <c r="AB15" i="256" s="1"/>
  <c r="AB16" i="256" s="1"/>
  <c r="AB17" i="256" s="1"/>
  <c r="AB18" i="256" s="1"/>
  <c r="AB19" i="256" s="1"/>
  <c r="AB20" i="256" s="1"/>
  <c r="AB21" i="256" s="1"/>
  <c r="AB22" i="256" s="1"/>
  <c r="AB23" i="256" s="1"/>
  <c r="AB24" i="256" s="1"/>
  <c r="AB25" i="256" s="1"/>
  <c r="AB26" i="256" s="1"/>
  <c r="AB27" i="256" s="1"/>
  <c r="AE8" i="256"/>
  <c r="AD8" i="256"/>
  <c r="AC8" i="256"/>
  <c r="Y27" i="256"/>
  <c r="X27" i="256"/>
  <c r="Z26" i="256"/>
  <c r="Z23" i="256"/>
  <c r="Z22" i="256"/>
  <c r="Z21" i="256"/>
  <c r="Z20" i="256"/>
  <c r="Z19" i="256"/>
  <c r="Z18" i="256"/>
  <c r="Z17" i="256"/>
  <c r="Z16" i="256"/>
  <c r="Z15" i="256"/>
  <c r="Z14" i="256"/>
  <c r="Z13" i="256"/>
  <c r="Z12" i="256"/>
  <c r="Z11" i="256"/>
  <c r="Z9" i="256"/>
  <c r="Y9" i="256"/>
  <c r="X9" i="256"/>
  <c r="W9" i="256"/>
  <c r="W10" i="256" s="1"/>
  <c r="W11" i="256" s="1"/>
  <c r="W12" i="256" s="1"/>
  <c r="W13" i="256" s="1"/>
  <c r="W14" i="256" s="1"/>
  <c r="W15" i="256" s="1"/>
  <c r="W16" i="256" s="1"/>
  <c r="W17" i="256" s="1"/>
  <c r="W18" i="256" s="1"/>
  <c r="W19" i="256" s="1"/>
  <c r="W20" i="256" s="1"/>
  <c r="W21" i="256" s="1"/>
  <c r="W22" i="256" s="1"/>
  <c r="W23" i="256" s="1"/>
  <c r="W24" i="256" s="1"/>
  <c r="W25" i="256" s="1"/>
  <c r="W26" i="256" s="1"/>
  <c r="W27" i="256" s="1"/>
  <c r="T27" i="256"/>
  <c r="S27" i="256"/>
  <c r="U23" i="256"/>
  <c r="U22" i="256"/>
  <c r="U21" i="256"/>
  <c r="U20" i="256"/>
  <c r="U19" i="256"/>
  <c r="U18" i="256"/>
  <c r="U17" i="256"/>
  <c r="U16" i="256"/>
  <c r="U15" i="256"/>
  <c r="U14" i="256"/>
  <c r="U13" i="256"/>
  <c r="U12" i="256"/>
  <c r="U11" i="256"/>
  <c r="U9" i="256"/>
  <c r="T9" i="256"/>
  <c r="S9" i="256"/>
  <c r="R9" i="256"/>
  <c r="R10" i="256" s="1"/>
  <c r="R11" i="256" s="1"/>
  <c r="R12" i="256" s="1"/>
  <c r="R13" i="256" s="1"/>
  <c r="R14" i="256" s="1"/>
  <c r="R15" i="256" s="1"/>
  <c r="R16" i="256" s="1"/>
  <c r="R17" i="256" s="1"/>
  <c r="R18" i="256" s="1"/>
  <c r="R19" i="256" s="1"/>
  <c r="R20" i="256" s="1"/>
  <c r="R21" i="256" s="1"/>
  <c r="R22" i="256" s="1"/>
  <c r="R23" i="256" s="1"/>
  <c r="R24" i="256" s="1"/>
  <c r="R25" i="256" s="1"/>
  <c r="R26" i="256" s="1"/>
  <c r="R27" i="256" s="1"/>
  <c r="O27" i="256"/>
  <c r="N27" i="256"/>
  <c r="P26" i="256"/>
  <c r="P25" i="256"/>
  <c r="P11" i="256"/>
  <c r="P12" i="256"/>
  <c r="P13" i="256"/>
  <c r="P14" i="256"/>
  <c r="P15" i="256"/>
  <c r="P16" i="256"/>
  <c r="P17" i="256"/>
  <c r="P18" i="256"/>
  <c r="P19" i="256"/>
  <c r="P20" i="256"/>
  <c r="P21" i="256"/>
  <c r="P22" i="256"/>
  <c r="P23" i="256"/>
  <c r="AE27" i="256" l="1"/>
  <c r="H11" i="256"/>
  <c r="H12" i="256"/>
  <c r="H13" i="256"/>
  <c r="H14" i="256"/>
  <c r="H15" i="256"/>
  <c r="H16" i="256"/>
  <c r="H17" i="256"/>
  <c r="H18" i="256"/>
  <c r="G11" i="256"/>
  <c r="F11" i="256"/>
  <c r="Z27" i="256"/>
  <c r="U27" i="256"/>
  <c r="P27" i="256"/>
  <c r="H19" i="256" l="1"/>
  <c r="R72" i="242"/>
  <c r="S72" i="242"/>
  <c r="B29" i="242"/>
  <c r="B30" i="242"/>
  <c r="B44" i="242"/>
  <c r="B45" i="242"/>
  <c r="B46" i="242"/>
  <c r="B47" i="242"/>
  <c r="B48" i="242"/>
  <c r="B49" i="242"/>
  <c r="B28" i="242"/>
  <c r="B12" i="242"/>
  <c r="B56" i="242" s="1"/>
  <c r="B13" i="242"/>
  <c r="B57" i="242" s="1"/>
  <c r="B14" i="242"/>
  <c r="B58" i="242" s="1"/>
  <c r="B16" i="242"/>
  <c r="B60" i="242" s="1"/>
  <c r="B17" i="242"/>
  <c r="B61" i="242" s="1"/>
  <c r="B18" i="242"/>
  <c r="B62" i="242" s="1"/>
  <c r="B19" i="242"/>
  <c r="B63" i="242" s="1"/>
  <c r="B20" i="242"/>
  <c r="B64" i="242" s="1"/>
  <c r="B26" i="242"/>
  <c r="B70" i="242" s="1"/>
  <c r="B27" i="242"/>
  <c r="B71" i="242" s="1"/>
  <c r="B11" i="242"/>
  <c r="B55" i="242" l="1"/>
  <c r="H20" i="256"/>
  <c r="G12" i="256"/>
  <c r="F12" i="256"/>
  <c r="S23" i="37"/>
  <c r="P23" i="37"/>
  <c r="H21" i="256" l="1"/>
  <c r="F13" i="256"/>
  <c r="G13" i="256"/>
  <c r="Q59" i="158"/>
  <c r="P59" i="158"/>
  <c r="Q21" i="158"/>
  <c r="P21" i="158"/>
  <c r="M59" i="158"/>
  <c r="L59" i="158"/>
  <c r="M21" i="158"/>
  <c r="L21" i="158"/>
  <c r="H22" i="256" l="1"/>
  <c r="G14" i="256"/>
  <c r="F14" i="256"/>
  <c r="T30" i="198"/>
  <c r="H23" i="256" l="1"/>
  <c r="F15" i="256"/>
  <c r="G15" i="256"/>
  <c r="O8" i="271"/>
  <c r="N8" i="271"/>
  <c r="H24" i="256" l="1"/>
  <c r="G16" i="256"/>
  <c r="F16" i="256"/>
  <c r="B24" i="242"/>
  <c r="B68" i="242" l="1"/>
  <c r="H25" i="256"/>
  <c r="H27" i="256" s="1"/>
  <c r="J34" i="16"/>
  <c r="I34" i="16"/>
  <c r="J27" i="16"/>
  <c r="I27" i="16"/>
  <c r="J23" i="16"/>
  <c r="I23" i="16"/>
  <c r="J10" i="16"/>
  <c r="I10" i="16"/>
  <c r="J29" i="16" l="1"/>
  <c r="J36" i="16" s="1"/>
  <c r="J40" i="16" s="1"/>
  <c r="I29" i="16"/>
  <c r="I36" i="16" s="1"/>
  <c r="I40" i="16" s="1"/>
  <c r="F17" i="256" l="1"/>
  <c r="G17" i="256"/>
  <c r="Y46" i="4"/>
  <c r="T46" i="4"/>
  <c r="Z46" i="282" l="1"/>
  <c r="G46" i="282" s="1"/>
  <c r="P46" i="282"/>
  <c r="E46" i="282" s="1"/>
  <c r="B44" i="280"/>
  <c r="B23" i="280"/>
  <c r="F18" i="256" l="1"/>
  <c r="G18" i="256"/>
  <c r="Y14" i="2"/>
  <c r="Y20" i="2"/>
  <c r="G19" i="256" l="1"/>
  <c r="F19" i="256"/>
  <c r="BU89" i="231"/>
  <c r="BU97" i="231" s="1"/>
  <c r="BT89" i="231"/>
  <c r="BT97" i="231" s="1"/>
  <c r="BP89" i="231"/>
  <c r="BP97" i="231" s="1"/>
  <c r="BO89" i="231"/>
  <c r="BO97" i="231" s="1"/>
  <c r="BK89" i="231"/>
  <c r="BK97" i="231" s="1"/>
  <c r="BJ89" i="231"/>
  <c r="BJ97" i="231" s="1"/>
  <c r="BF89" i="231"/>
  <c r="BF97" i="231" s="1"/>
  <c r="BE89" i="231"/>
  <c r="BE97" i="231" s="1"/>
  <c r="BA89" i="231"/>
  <c r="BA97" i="231" s="1"/>
  <c r="AZ89" i="231"/>
  <c r="AZ97" i="231" s="1"/>
  <c r="AV89" i="231"/>
  <c r="AV97" i="231" s="1"/>
  <c r="AU89" i="231"/>
  <c r="AU97" i="231" s="1"/>
  <c r="AQ89" i="231"/>
  <c r="AQ97" i="231" s="1"/>
  <c r="AP89" i="231"/>
  <c r="AP97" i="231" s="1"/>
  <c r="AL89" i="231"/>
  <c r="AL97" i="231" s="1"/>
  <c r="AK89" i="231"/>
  <c r="AK97" i="231" s="1"/>
  <c r="AG89" i="231"/>
  <c r="AG97" i="231" s="1"/>
  <c r="AF89" i="231"/>
  <c r="AF97" i="231" s="1"/>
  <c r="F20" i="256" l="1"/>
  <c r="G20" i="256"/>
  <c r="BV89" i="231"/>
  <c r="BV87" i="231"/>
  <c r="BV85" i="231"/>
  <c r="BV83" i="231"/>
  <c r="BV81" i="231"/>
  <c r="BV79" i="231"/>
  <c r="BV77" i="231"/>
  <c r="BV75" i="231"/>
  <c r="BV73" i="231"/>
  <c r="BV71" i="231"/>
  <c r="BV69" i="231"/>
  <c r="BV67" i="231"/>
  <c r="BV65" i="231"/>
  <c r="BV63" i="231"/>
  <c r="BV61" i="231"/>
  <c r="BV59" i="231"/>
  <c r="BV57" i="231"/>
  <c r="BV55" i="231"/>
  <c r="BV53" i="231"/>
  <c r="BV51" i="231"/>
  <c r="BV49" i="231"/>
  <c r="BV47" i="231"/>
  <c r="BV45" i="231"/>
  <c r="BV43" i="231"/>
  <c r="BV41" i="231"/>
  <c r="BV39" i="231"/>
  <c r="BV37" i="231"/>
  <c r="BV35" i="231"/>
  <c r="BV33" i="231"/>
  <c r="BV31" i="231"/>
  <c r="BV29" i="231"/>
  <c r="BV27" i="231"/>
  <c r="BV25" i="231"/>
  <c r="BV23" i="231"/>
  <c r="BV21" i="231"/>
  <c r="BV19" i="231"/>
  <c r="BV17" i="231"/>
  <c r="BV15" i="231"/>
  <c r="BV13" i="231"/>
  <c r="BV11" i="231"/>
  <c r="BV9" i="231"/>
  <c r="BU9" i="231"/>
  <c r="BT9" i="231"/>
  <c r="BS9" i="231"/>
  <c r="BS10" i="231" s="1"/>
  <c r="BS11" i="231" s="1"/>
  <c r="BS12" i="231" s="1"/>
  <c r="BS13" i="231" s="1"/>
  <c r="BS14" i="231" s="1"/>
  <c r="BS15" i="231" s="1"/>
  <c r="BS16" i="231" s="1"/>
  <c r="BS17" i="231" s="1"/>
  <c r="BS18" i="231" s="1"/>
  <c r="BS19" i="231" s="1"/>
  <c r="BS20" i="231" s="1"/>
  <c r="BS21" i="231" s="1"/>
  <c r="BS22" i="231" s="1"/>
  <c r="BS23" i="231" s="1"/>
  <c r="BS24" i="231" s="1"/>
  <c r="BS25" i="231" s="1"/>
  <c r="BS26" i="231" s="1"/>
  <c r="BS27" i="231" s="1"/>
  <c r="BS28" i="231" s="1"/>
  <c r="BS29" i="231" s="1"/>
  <c r="BS30" i="231" s="1"/>
  <c r="BS31" i="231" s="1"/>
  <c r="BS32" i="231" s="1"/>
  <c r="BS33" i="231" s="1"/>
  <c r="BS34" i="231" s="1"/>
  <c r="BS35" i="231" s="1"/>
  <c r="BS36" i="231" s="1"/>
  <c r="BS37" i="231" s="1"/>
  <c r="BS38" i="231" s="1"/>
  <c r="BS39" i="231" s="1"/>
  <c r="BS40" i="231" s="1"/>
  <c r="BS41" i="231" s="1"/>
  <c r="BS42" i="231" s="1"/>
  <c r="BS43" i="231" s="1"/>
  <c r="BS44" i="231" s="1"/>
  <c r="BS45" i="231" s="1"/>
  <c r="BS46" i="231" s="1"/>
  <c r="BS47" i="231" s="1"/>
  <c r="BS48" i="231" s="1"/>
  <c r="BS49" i="231" s="1"/>
  <c r="BS50" i="231" s="1"/>
  <c r="BS51" i="231" s="1"/>
  <c r="BS52" i="231" s="1"/>
  <c r="BS53" i="231" s="1"/>
  <c r="BS54" i="231" s="1"/>
  <c r="BS55" i="231" s="1"/>
  <c r="BS56" i="231" s="1"/>
  <c r="BS57" i="231" s="1"/>
  <c r="BS58" i="231" s="1"/>
  <c r="BS59" i="231" s="1"/>
  <c r="BS60" i="231" s="1"/>
  <c r="BS61" i="231" s="1"/>
  <c r="BS62" i="231" s="1"/>
  <c r="BS63" i="231" s="1"/>
  <c r="BS64" i="231" s="1"/>
  <c r="BS65" i="231" s="1"/>
  <c r="BS66" i="231" s="1"/>
  <c r="BS67" i="231" s="1"/>
  <c r="BS68" i="231" s="1"/>
  <c r="BS69" i="231" s="1"/>
  <c r="BS70" i="231" s="1"/>
  <c r="BS71" i="231" s="1"/>
  <c r="BS72" i="231" s="1"/>
  <c r="BS73" i="231" s="1"/>
  <c r="BS74" i="231" s="1"/>
  <c r="BS75" i="231" s="1"/>
  <c r="BS76" i="231" s="1"/>
  <c r="BS77" i="231" s="1"/>
  <c r="BS78" i="231" s="1"/>
  <c r="BS79" i="231" s="1"/>
  <c r="BS80" i="231" s="1"/>
  <c r="BV8" i="231"/>
  <c r="BU8" i="231"/>
  <c r="BT8" i="231"/>
  <c r="BQ89" i="231"/>
  <c r="BQ87" i="231"/>
  <c r="BQ85" i="231"/>
  <c r="BQ83" i="231"/>
  <c r="BQ81" i="231"/>
  <c r="BQ79" i="231"/>
  <c r="BQ77" i="231"/>
  <c r="BQ75" i="231"/>
  <c r="BQ73" i="231"/>
  <c r="BQ71" i="231"/>
  <c r="BQ69" i="231"/>
  <c r="BQ67" i="231"/>
  <c r="BQ65" i="231"/>
  <c r="BQ63" i="231"/>
  <c r="BQ61" i="231"/>
  <c r="BQ59" i="231"/>
  <c r="BQ57" i="231"/>
  <c r="BQ55" i="231"/>
  <c r="BQ53" i="231"/>
  <c r="BQ51" i="231"/>
  <c r="BQ49" i="231"/>
  <c r="BQ47" i="231"/>
  <c r="BQ45" i="231"/>
  <c r="BQ43" i="231"/>
  <c r="BQ41" i="231"/>
  <c r="BQ39" i="231"/>
  <c r="BQ37" i="231"/>
  <c r="BQ35" i="231"/>
  <c r="BQ33" i="231"/>
  <c r="BQ31" i="231"/>
  <c r="BQ29" i="231"/>
  <c r="BQ27" i="231"/>
  <c r="BQ25" i="231"/>
  <c r="BQ23" i="231"/>
  <c r="BQ21" i="231"/>
  <c r="BQ19" i="231"/>
  <c r="BQ17" i="231"/>
  <c r="BQ15" i="231"/>
  <c r="BQ13" i="231"/>
  <c r="BQ11" i="231"/>
  <c r="BQ9" i="231"/>
  <c r="BP9" i="231"/>
  <c r="BO9" i="231"/>
  <c r="BN9" i="231"/>
  <c r="BN10" i="231" s="1"/>
  <c r="BN11" i="231" s="1"/>
  <c r="BN12" i="231" s="1"/>
  <c r="BN13" i="231" s="1"/>
  <c r="BN14" i="231" s="1"/>
  <c r="BN15" i="231" s="1"/>
  <c r="BN16" i="231" s="1"/>
  <c r="BN17" i="231" s="1"/>
  <c r="BN18" i="231" s="1"/>
  <c r="BN19" i="231" s="1"/>
  <c r="BN20" i="231" s="1"/>
  <c r="BN21" i="231" s="1"/>
  <c r="BN22" i="231" s="1"/>
  <c r="BN23" i="231" s="1"/>
  <c r="BN24" i="231" s="1"/>
  <c r="BN25" i="231" s="1"/>
  <c r="BN26" i="231" s="1"/>
  <c r="BN27" i="231" s="1"/>
  <c r="BN28" i="231" s="1"/>
  <c r="BN29" i="231" s="1"/>
  <c r="BN30" i="231" s="1"/>
  <c r="BN31" i="231" s="1"/>
  <c r="BN32" i="231" s="1"/>
  <c r="BN33" i="231" s="1"/>
  <c r="BN34" i="231" s="1"/>
  <c r="BN35" i="231" s="1"/>
  <c r="BN36" i="231" s="1"/>
  <c r="BN37" i="231" s="1"/>
  <c r="BN38" i="231" s="1"/>
  <c r="BN39" i="231" s="1"/>
  <c r="BN40" i="231" s="1"/>
  <c r="BN41" i="231" s="1"/>
  <c r="BN42" i="231" s="1"/>
  <c r="BN43" i="231" s="1"/>
  <c r="BN44" i="231" s="1"/>
  <c r="BN45" i="231" s="1"/>
  <c r="BN46" i="231" s="1"/>
  <c r="BN47" i="231" s="1"/>
  <c r="BN48" i="231" s="1"/>
  <c r="BN49" i="231" s="1"/>
  <c r="BN50" i="231" s="1"/>
  <c r="BN51" i="231" s="1"/>
  <c r="BN52" i="231" s="1"/>
  <c r="BN53" i="231" s="1"/>
  <c r="BN54" i="231" s="1"/>
  <c r="BN55" i="231" s="1"/>
  <c r="BN56" i="231" s="1"/>
  <c r="BN57" i="231" s="1"/>
  <c r="BN58" i="231" s="1"/>
  <c r="BN59" i="231" s="1"/>
  <c r="BN60" i="231" s="1"/>
  <c r="BN61" i="231" s="1"/>
  <c r="BN62" i="231" s="1"/>
  <c r="BN63" i="231" s="1"/>
  <c r="BN64" i="231" s="1"/>
  <c r="BN65" i="231" s="1"/>
  <c r="BN66" i="231" s="1"/>
  <c r="BN67" i="231" s="1"/>
  <c r="BN68" i="231" s="1"/>
  <c r="BN69" i="231" s="1"/>
  <c r="BN70" i="231" s="1"/>
  <c r="BN71" i="231" s="1"/>
  <c r="BN72" i="231" s="1"/>
  <c r="BN73" i="231" s="1"/>
  <c r="BN74" i="231" s="1"/>
  <c r="BN75" i="231" s="1"/>
  <c r="BN76" i="231" s="1"/>
  <c r="BN77" i="231" s="1"/>
  <c r="BN78" i="231" s="1"/>
  <c r="BN79" i="231" s="1"/>
  <c r="BN80" i="231" s="1"/>
  <c r="BQ8" i="231"/>
  <c r="BP8" i="231"/>
  <c r="BO8" i="231"/>
  <c r="BL89" i="231"/>
  <c r="BL87" i="231"/>
  <c r="BL85" i="231"/>
  <c r="BL83" i="231"/>
  <c r="BL81" i="231"/>
  <c r="BL79" i="231"/>
  <c r="BL77" i="231"/>
  <c r="BL75" i="231"/>
  <c r="BL73" i="231"/>
  <c r="BL71" i="231"/>
  <c r="BL69" i="231"/>
  <c r="BL67" i="231"/>
  <c r="BL65" i="231"/>
  <c r="BL63" i="231"/>
  <c r="BL61" i="231"/>
  <c r="BL59" i="231"/>
  <c r="BL57" i="231"/>
  <c r="BL55" i="231"/>
  <c r="BL53" i="231"/>
  <c r="BL51" i="231"/>
  <c r="BL49" i="231"/>
  <c r="BL47" i="231"/>
  <c r="BL45" i="231"/>
  <c r="BL43" i="231"/>
  <c r="BL41" i="231"/>
  <c r="BL39" i="231"/>
  <c r="BL37" i="231"/>
  <c r="BL35" i="231"/>
  <c r="BL33" i="231"/>
  <c r="BL31" i="231"/>
  <c r="BL29" i="231"/>
  <c r="BL27" i="231"/>
  <c r="BL25" i="231"/>
  <c r="BL23" i="231"/>
  <c r="BL21" i="231"/>
  <c r="BL19" i="231"/>
  <c r="BL17" i="231"/>
  <c r="BL15" i="231"/>
  <c r="BL13" i="231"/>
  <c r="BL11" i="231"/>
  <c r="BL9" i="231"/>
  <c r="BK9" i="231"/>
  <c r="BJ9" i="231"/>
  <c r="BI9" i="231"/>
  <c r="BI10" i="231" s="1"/>
  <c r="BI11" i="231" s="1"/>
  <c r="BI12" i="231" s="1"/>
  <c r="BI13" i="231" s="1"/>
  <c r="BI14" i="231" s="1"/>
  <c r="BI15" i="231" s="1"/>
  <c r="BI16" i="231" s="1"/>
  <c r="BI17" i="231" s="1"/>
  <c r="BI18" i="231" s="1"/>
  <c r="BI19" i="231" s="1"/>
  <c r="BI20" i="231" s="1"/>
  <c r="BI21" i="231" s="1"/>
  <c r="BI22" i="231" s="1"/>
  <c r="BI23" i="231" s="1"/>
  <c r="BI24" i="231" s="1"/>
  <c r="BI25" i="231" s="1"/>
  <c r="BI26" i="231" s="1"/>
  <c r="BI27" i="231" s="1"/>
  <c r="BI28" i="231" s="1"/>
  <c r="BI29" i="231" s="1"/>
  <c r="BI30" i="231" s="1"/>
  <c r="BI31" i="231" s="1"/>
  <c r="BI32" i="231" s="1"/>
  <c r="BI33" i="231" s="1"/>
  <c r="BI34" i="231" s="1"/>
  <c r="BI35" i="231" s="1"/>
  <c r="BI36" i="231" s="1"/>
  <c r="BI37" i="231" s="1"/>
  <c r="BI38" i="231" s="1"/>
  <c r="BI39" i="231" s="1"/>
  <c r="BI40" i="231" s="1"/>
  <c r="BI41" i="231" s="1"/>
  <c r="BI42" i="231" s="1"/>
  <c r="BI43" i="231" s="1"/>
  <c r="BI44" i="231" s="1"/>
  <c r="BI45" i="231" s="1"/>
  <c r="BI46" i="231" s="1"/>
  <c r="BI47" i="231" s="1"/>
  <c r="BI48" i="231" s="1"/>
  <c r="BI49" i="231" s="1"/>
  <c r="BI50" i="231" s="1"/>
  <c r="BI51" i="231" s="1"/>
  <c r="BI52" i="231" s="1"/>
  <c r="BI53" i="231" s="1"/>
  <c r="BI54" i="231" s="1"/>
  <c r="BI55" i="231" s="1"/>
  <c r="BI56" i="231" s="1"/>
  <c r="BI57" i="231" s="1"/>
  <c r="BI58" i="231" s="1"/>
  <c r="BI59" i="231" s="1"/>
  <c r="BI60" i="231" s="1"/>
  <c r="BI61" i="231" s="1"/>
  <c r="BI62" i="231" s="1"/>
  <c r="BI63" i="231" s="1"/>
  <c r="BI64" i="231" s="1"/>
  <c r="BI65" i="231" s="1"/>
  <c r="BI66" i="231" s="1"/>
  <c r="BI67" i="231" s="1"/>
  <c r="BI68" i="231" s="1"/>
  <c r="BI69" i="231" s="1"/>
  <c r="BI70" i="231" s="1"/>
  <c r="BI71" i="231" s="1"/>
  <c r="BI72" i="231" s="1"/>
  <c r="BI73" i="231" s="1"/>
  <c r="BI74" i="231" s="1"/>
  <c r="BI75" i="231" s="1"/>
  <c r="BI76" i="231" s="1"/>
  <c r="BI77" i="231" s="1"/>
  <c r="BI78" i="231" s="1"/>
  <c r="BI79" i="231" s="1"/>
  <c r="BI80" i="231" s="1"/>
  <c r="BL8" i="231"/>
  <c r="BK8" i="231"/>
  <c r="BJ8" i="231"/>
  <c r="BG89" i="231"/>
  <c r="BG87" i="231"/>
  <c r="BG85" i="231"/>
  <c r="BG83" i="231"/>
  <c r="BG81" i="231"/>
  <c r="BG79" i="231"/>
  <c r="BG77" i="231"/>
  <c r="BG75" i="231"/>
  <c r="BG73" i="231"/>
  <c r="BG71" i="231"/>
  <c r="BG69" i="231"/>
  <c r="BG67" i="231"/>
  <c r="BG65" i="231"/>
  <c r="BG63" i="231"/>
  <c r="BG61" i="231"/>
  <c r="BG59" i="231"/>
  <c r="BG57" i="231"/>
  <c r="BG55" i="231"/>
  <c r="BG53" i="231"/>
  <c r="BG51" i="231"/>
  <c r="BG49" i="231"/>
  <c r="BG47" i="231"/>
  <c r="BG45" i="231"/>
  <c r="BG43" i="231"/>
  <c r="BG41" i="231"/>
  <c r="BG39" i="231"/>
  <c r="BG37" i="231"/>
  <c r="BG35" i="231"/>
  <c r="BG33" i="231"/>
  <c r="BG31" i="231"/>
  <c r="BG29" i="231"/>
  <c r="BG27" i="231"/>
  <c r="BG25" i="231"/>
  <c r="BG23" i="231"/>
  <c r="BG21" i="231"/>
  <c r="BG19" i="231"/>
  <c r="BG17" i="231"/>
  <c r="BG15" i="231"/>
  <c r="BG13" i="231"/>
  <c r="BG11" i="231"/>
  <c r="BG9" i="231"/>
  <c r="BF9" i="231"/>
  <c r="BE9" i="231"/>
  <c r="BD9" i="231"/>
  <c r="BD10" i="231" s="1"/>
  <c r="BD11" i="231" s="1"/>
  <c r="BD12" i="231" s="1"/>
  <c r="BD13" i="231" s="1"/>
  <c r="BD14" i="231" s="1"/>
  <c r="BD15" i="231" s="1"/>
  <c r="BD16" i="231" s="1"/>
  <c r="BD17" i="231" s="1"/>
  <c r="BD18" i="231" s="1"/>
  <c r="BD19" i="231" s="1"/>
  <c r="BD20" i="231" s="1"/>
  <c r="BD21" i="231" s="1"/>
  <c r="BD22" i="231" s="1"/>
  <c r="BD23" i="231" s="1"/>
  <c r="BD24" i="231" s="1"/>
  <c r="BD25" i="231" s="1"/>
  <c r="BD26" i="231" s="1"/>
  <c r="BD27" i="231" s="1"/>
  <c r="BD28" i="231" s="1"/>
  <c r="BD29" i="231" s="1"/>
  <c r="BD30" i="231" s="1"/>
  <c r="BD31" i="231" s="1"/>
  <c r="BD32" i="231" s="1"/>
  <c r="BD33" i="231" s="1"/>
  <c r="BD34" i="231" s="1"/>
  <c r="BD35" i="231" s="1"/>
  <c r="BD36" i="231" s="1"/>
  <c r="BD37" i="231" s="1"/>
  <c r="BD38" i="231" s="1"/>
  <c r="BD39" i="231" s="1"/>
  <c r="BD40" i="231" s="1"/>
  <c r="BD41" i="231" s="1"/>
  <c r="BD42" i="231" s="1"/>
  <c r="BD43" i="231" s="1"/>
  <c r="BD44" i="231" s="1"/>
  <c r="BD45" i="231" s="1"/>
  <c r="BD46" i="231" s="1"/>
  <c r="BD47" i="231" s="1"/>
  <c r="BD48" i="231" s="1"/>
  <c r="BD49" i="231" s="1"/>
  <c r="BD50" i="231" s="1"/>
  <c r="BD51" i="231" s="1"/>
  <c r="BD52" i="231" s="1"/>
  <c r="BD53" i="231" s="1"/>
  <c r="BD54" i="231" s="1"/>
  <c r="BD55" i="231" s="1"/>
  <c r="BD56" i="231" s="1"/>
  <c r="BD57" i="231" s="1"/>
  <c r="BD58" i="231" s="1"/>
  <c r="BD59" i="231" s="1"/>
  <c r="BD60" i="231" s="1"/>
  <c r="BD61" i="231" s="1"/>
  <c r="BD62" i="231" s="1"/>
  <c r="BD63" i="231" s="1"/>
  <c r="BD64" i="231" s="1"/>
  <c r="BD65" i="231" s="1"/>
  <c r="BD66" i="231" s="1"/>
  <c r="BD67" i="231" s="1"/>
  <c r="BD68" i="231" s="1"/>
  <c r="BD69" i="231" s="1"/>
  <c r="BD70" i="231" s="1"/>
  <c r="BD71" i="231" s="1"/>
  <c r="BD72" i="231" s="1"/>
  <c r="BD73" i="231" s="1"/>
  <c r="BD74" i="231" s="1"/>
  <c r="BD75" i="231" s="1"/>
  <c r="BD76" i="231" s="1"/>
  <c r="BD77" i="231" s="1"/>
  <c r="BD78" i="231" s="1"/>
  <c r="BD79" i="231" s="1"/>
  <c r="BD80" i="231" s="1"/>
  <c r="BG8" i="231"/>
  <c r="BF8" i="231"/>
  <c r="BE8" i="231"/>
  <c r="BB89" i="231"/>
  <c r="BB87" i="231"/>
  <c r="BB85" i="231"/>
  <c r="BB83" i="231"/>
  <c r="BB81" i="231"/>
  <c r="BB79" i="231"/>
  <c r="BB77" i="231"/>
  <c r="BB75" i="231"/>
  <c r="BB73" i="231"/>
  <c r="BB71" i="231"/>
  <c r="BB69" i="231"/>
  <c r="BB67" i="231"/>
  <c r="BB65" i="231"/>
  <c r="BB63" i="231"/>
  <c r="BB61" i="231"/>
  <c r="BB59" i="231"/>
  <c r="BB57" i="231"/>
  <c r="BB55" i="231"/>
  <c r="BB53" i="231"/>
  <c r="BB51" i="231"/>
  <c r="BB49" i="231"/>
  <c r="BB47" i="231"/>
  <c r="BB45" i="231"/>
  <c r="BB43" i="231"/>
  <c r="BB41" i="231"/>
  <c r="BB39" i="231"/>
  <c r="BB37" i="231"/>
  <c r="BB35" i="231"/>
  <c r="BB33" i="231"/>
  <c r="BB31" i="231"/>
  <c r="BB29" i="231"/>
  <c r="BB27" i="231"/>
  <c r="BB25" i="231"/>
  <c r="BB23" i="231"/>
  <c r="BB21" i="231"/>
  <c r="BB19" i="231"/>
  <c r="BB17" i="231"/>
  <c r="BB15" i="231"/>
  <c r="BB13" i="231"/>
  <c r="BB11" i="231"/>
  <c r="BB9" i="231"/>
  <c r="BA9" i="231"/>
  <c r="AZ9" i="231"/>
  <c r="AY9" i="231"/>
  <c r="AY10" i="231" s="1"/>
  <c r="AY11" i="231" s="1"/>
  <c r="AY12" i="231" s="1"/>
  <c r="AY13" i="231" s="1"/>
  <c r="AY14" i="231" s="1"/>
  <c r="AY15" i="231" s="1"/>
  <c r="AY16" i="231" s="1"/>
  <c r="AY17" i="231" s="1"/>
  <c r="AY18" i="231" s="1"/>
  <c r="AY19" i="231" s="1"/>
  <c r="AY20" i="231" s="1"/>
  <c r="AY21" i="231" s="1"/>
  <c r="AY22" i="231" s="1"/>
  <c r="AY23" i="231" s="1"/>
  <c r="AY24" i="231" s="1"/>
  <c r="AY25" i="231" s="1"/>
  <c r="AY26" i="231" s="1"/>
  <c r="AY27" i="231" s="1"/>
  <c r="AY28" i="231" s="1"/>
  <c r="AY29" i="231" s="1"/>
  <c r="AY30" i="231" s="1"/>
  <c r="AY31" i="231" s="1"/>
  <c r="AY32" i="231" s="1"/>
  <c r="AY33" i="231" s="1"/>
  <c r="AY34" i="231" s="1"/>
  <c r="AY35" i="231" s="1"/>
  <c r="AY36" i="231" s="1"/>
  <c r="AY37" i="231" s="1"/>
  <c r="AY38" i="231" s="1"/>
  <c r="AY39" i="231" s="1"/>
  <c r="AY40" i="231" s="1"/>
  <c r="AY41" i="231" s="1"/>
  <c r="AY42" i="231" s="1"/>
  <c r="AY43" i="231" s="1"/>
  <c r="AY44" i="231" s="1"/>
  <c r="AY45" i="231" s="1"/>
  <c r="AY46" i="231" s="1"/>
  <c r="AY47" i="231" s="1"/>
  <c r="AY48" i="231" s="1"/>
  <c r="AY49" i="231" s="1"/>
  <c r="AY50" i="231" s="1"/>
  <c r="AY51" i="231" s="1"/>
  <c r="AY52" i="231" s="1"/>
  <c r="AY53" i="231" s="1"/>
  <c r="AY54" i="231" s="1"/>
  <c r="AY55" i="231" s="1"/>
  <c r="AY56" i="231" s="1"/>
  <c r="AY57" i="231" s="1"/>
  <c r="AY58" i="231" s="1"/>
  <c r="AY59" i="231" s="1"/>
  <c r="AY60" i="231" s="1"/>
  <c r="AY61" i="231" s="1"/>
  <c r="AY62" i="231" s="1"/>
  <c r="AY63" i="231" s="1"/>
  <c r="AY64" i="231" s="1"/>
  <c r="AY65" i="231" s="1"/>
  <c r="AY66" i="231" s="1"/>
  <c r="AY67" i="231" s="1"/>
  <c r="AY68" i="231" s="1"/>
  <c r="AY69" i="231" s="1"/>
  <c r="AY70" i="231" s="1"/>
  <c r="AY71" i="231" s="1"/>
  <c r="AY72" i="231" s="1"/>
  <c r="AY73" i="231" s="1"/>
  <c r="AY74" i="231" s="1"/>
  <c r="AY75" i="231" s="1"/>
  <c r="AY76" i="231" s="1"/>
  <c r="AY77" i="231" s="1"/>
  <c r="AY78" i="231" s="1"/>
  <c r="AY79" i="231" s="1"/>
  <c r="AY80" i="231" s="1"/>
  <c r="BB8" i="231"/>
  <c r="BA8" i="231"/>
  <c r="AZ8" i="231"/>
  <c r="AW89" i="231"/>
  <c r="AW87" i="231"/>
  <c r="AW85" i="231"/>
  <c r="AW83" i="231"/>
  <c r="AW81" i="231"/>
  <c r="AW79" i="231"/>
  <c r="AW77" i="231"/>
  <c r="AW75" i="231"/>
  <c r="AW73" i="231"/>
  <c r="AW71" i="231"/>
  <c r="AW69" i="231"/>
  <c r="AW67" i="231"/>
  <c r="AW65" i="231"/>
  <c r="AW63" i="231"/>
  <c r="AW61" i="231"/>
  <c r="AW59" i="231"/>
  <c r="AW57" i="231"/>
  <c r="AW55" i="231"/>
  <c r="AW53" i="231"/>
  <c r="AW51" i="231"/>
  <c r="AW49" i="231"/>
  <c r="AW47" i="231"/>
  <c r="AW45" i="231"/>
  <c r="AW43" i="231"/>
  <c r="AW41" i="231"/>
  <c r="AW39" i="231"/>
  <c r="AW37" i="231"/>
  <c r="AW35" i="231"/>
  <c r="AW33" i="231"/>
  <c r="AW31" i="231"/>
  <c r="AW29" i="231"/>
  <c r="AW27" i="231"/>
  <c r="AW25" i="231"/>
  <c r="AW23" i="231"/>
  <c r="AW21" i="231"/>
  <c r="AW19" i="231"/>
  <c r="AW17" i="231"/>
  <c r="AW15" i="231"/>
  <c r="AW13" i="231"/>
  <c r="AW11" i="231"/>
  <c r="AW9" i="231"/>
  <c r="AV9" i="231"/>
  <c r="AU9" i="231"/>
  <c r="AT9" i="231"/>
  <c r="AT10" i="231" s="1"/>
  <c r="AT11" i="231" s="1"/>
  <c r="AT12" i="231" s="1"/>
  <c r="AT13" i="231" s="1"/>
  <c r="AT14" i="231" s="1"/>
  <c r="AT15" i="231" s="1"/>
  <c r="AT16" i="231" s="1"/>
  <c r="AT17" i="231" s="1"/>
  <c r="AT18" i="231" s="1"/>
  <c r="AT19" i="231" s="1"/>
  <c r="AT20" i="231" s="1"/>
  <c r="AT21" i="231" s="1"/>
  <c r="AT22" i="231" s="1"/>
  <c r="AT23" i="231" s="1"/>
  <c r="AT24" i="231" s="1"/>
  <c r="AT25" i="231" s="1"/>
  <c r="AT26" i="231" s="1"/>
  <c r="AT27" i="231" s="1"/>
  <c r="AT28" i="231" s="1"/>
  <c r="AT29" i="231" s="1"/>
  <c r="AT30" i="231" s="1"/>
  <c r="AT31" i="231" s="1"/>
  <c r="AT32" i="231" s="1"/>
  <c r="AT33" i="231" s="1"/>
  <c r="AT34" i="231" s="1"/>
  <c r="AT35" i="231" s="1"/>
  <c r="AT36" i="231" s="1"/>
  <c r="AT37" i="231" s="1"/>
  <c r="AT38" i="231" s="1"/>
  <c r="AT39" i="231" s="1"/>
  <c r="AT40" i="231" s="1"/>
  <c r="AT41" i="231" s="1"/>
  <c r="AT42" i="231" s="1"/>
  <c r="AT43" i="231" s="1"/>
  <c r="AT44" i="231" s="1"/>
  <c r="AT45" i="231" s="1"/>
  <c r="AT46" i="231" s="1"/>
  <c r="AT47" i="231" s="1"/>
  <c r="AT48" i="231" s="1"/>
  <c r="AT49" i="231" s="1"/>
  <c r="AT50" i="231" s="1"/>
  <c r="AT51" i="231" s="1"/>
  <c r="AT52" i="231" s="1"/>
  <c r="AT53" i="231" s="1"/>
  <c r="AT54" i="231" s="1"/>
  <c r="AT55" i="231" s="1"/>
  <c r="AT56" i="231" s="1"/>
  <c r="AT57" i="231" s="1"/>
  <c r="AT58" i="231" s="1"/>
  <c r="AT59" i="231" s="1"/>
  <c r="AT60" i="231" s="1"/>
  <c r="AT61" i="231" s="1"/>
  <c r="AT62" i="231" s="1"/>
  <c r="AT63" i="231" s="1"/>
  <c r="AT64" i="231" s="1"/>
  <c r="AT65" i="231" s="1"/>
  <c r="AT66" i="231" s="1"/>
  <c r="AT67" i="231" s="1"/>
  <c r="AT68" i="231" s="1"/>
  <c r="AT69" i="231" s="1"/>
  <c r="AT70" i="231" s="1"/>
  <c r="AT71" i="231" s="1"/>
  <c r="AT72" i="231" s="1"/>
  <c r="AT73" i="231" s="1"/>
  <c r="AT74" i="231" s="1"/>
  <c r="AT75" i="231" s="1"/>
  <c r="AT76" i="231" s="1"/>
  <c r="AT77" i="231" s="1"/>
  <c r="AT78" i="231" s="1"/>
  <c r="AT79" i="231" s="1"/>
  <c r="AT80" i="231" s="1"/>
  <c r="AW8" i="231"/>
  <c r="AV8" i="231"/>
  <c r="AU8" i="231"/>
  <c r="BS81" i="231" l="1"/>
  <c r="BS82" i="231" s="1"/>
  <c r="BS83" i="231" s="1"/>
  <c r="BN81" i="231"/>
  <c r="BN82" i="231" s="1"/>
  <c r="BN83" i="231" s="1"/>
  <c r="BI81" i="231"/>
  <c r="BI82" i="231" s="1"/>
  <c r="BI83" i="231" s="1"/>
  <c r="BD81" i="231"/>
  <c r="BD82" i="231" s="1"/>
  <c r="BD83" i="231" s="1"/>
  <c r="AY81" i="231"/>
  <c r="AY82" i="231" s="1"/>
  <c r="AY83" i="231" s="1"/>
  <c r="AT81" i="231"/>
  <c r="AT82" i="231" s="1"/>
  <c r="AT83" i="231" s="1"/>
  <c r="G21" i="256"/>
  <c r="F21" i="256"/>
  <c r="Q35" i="231"/>
  <c r="Q21" i="231"/>
  <c r="Q59" i="231"/>
  <c r="Q37" i="231"/>
  <c r="U69" i="231"/>
  <c r="Q77" i="231"/>
  <c r="U79" i="231"/>
  <c r="Q69" i="231"/>
  <c r="U37" i="231"/>
  <c r="Q19" i="231"/>
  <c r="Q81" i="231"/>
  <c r="U53" i="231"/>
  <c r="S23" i="231"/>
  <c r="S13" i="231"/>
  <c r="Q51" i="231"/>
  <c r="S69" i="231"/>
  <c r="Q53" i="231"/>
  <c r="Q67" i="231"/>
  <c r="U21" i="231"/>
  <c r="S45" i="231"/>
  <c r="Q27" i="231"/>
  <c r="Q75" i="231"/>
  <c r="S21" i="231"/>
  <c r="S53" i="231"/>
  <c r="U13" i="231"/>
  <c r="U45" i="231"/>
  <c r="Q15" i="231"/>
  <c r="Q31" i="231"/>
  <c r="Q47" i="231"/>
  <c r="Q63" i="231"/>
  <c r="Q79" i="231"/>
  <c r="S25" i="231"/>
  <c r="S41" i="231"/>
  <c r="S57" i="231"/>
  <c r="S73" i="231"/>
  <c r="U17" i="231"/>
  <c r="U33" i="231"/>
  <c r="U49" i="231"/>
  <c r="U65" i="231"/>
  <c r="S61" i="231"/>
  <c r="Q43" i="231"/>
  <c r="S37" i="231"/>
  <c r="U61" i="231"/>
  <c r="Q17" i="231"/>
  <c r="Q33" i="231"/>
  <c r="Q49" i="231"/>
  <c r="Q65" i="231"/>
  <c r="S11" i="231"/>
  <c r="S27" i="231"/>
  <c r="S43" i="231"/>
  <c r="S59" i="231"/>
  <c r="S75" i="231"/>
  <c r="U19" i="231"/>
  <c r="U35" i="231"/>
  <c r="U51" i="231"/>
  <c r="U67" i="231"/>
  <c r="U81" i="231"/>
  <c r="S77" i="231"/>
  <c r="S31" i="231"/>
  <c r="S63" i="231"/>
  <c r="U55" i="231"/>
  <c r="Q23" i="231"/>
  <c r="Q39" i="231"/>
  <c r="Q55" i="231"/>
  <c r="Q71" i="231"/>
  <c r="S17" i="231"/>
  <c r="S33" i="231"/>
  <c r="S49" i="231"/>
  <c r="S65" i="231"/>
  <c r="U25" i="231"/>
  <c r="U41" i="231"/>
  <c r="U57" i="231"/>
  <c r="U73" i="231"/>
  <c r="S29" i="231"/>
  <c r="S15" i="231"/>
  <c r="S47" i="231"/>
  <c r="S79" i="231"/>
  <c r="U23" i="231"/>
  <c r="U39" i="231"/>
  <c r="U71" i="231"/>
  <c r="Q25" i="231"/>
  <c r="Q41" i="231"/>
  <c r="Q57" i="231"/>
  <c r="Q73" i="231"/>
  <c r="S19" i="231"/>
  <c r="S35" i="231"/>
  <c r="S51" i="231"/>
  <c r="S67" i="231"/>
  <c r="S81" i="231"/>
  <c r="U11" i="231"/>
  <c r="U27" i="231"/>
  <c r="U43" i="231"/>
  <c r="U59" i="231"/>
  <c r="U75" i="231"/>
  <c r="Q11" i="231"/>
  <c r="U29" i="231"/>
  <c r="U77" i="231"/>
  <c r="Q13" i="231"/>
  <c r="Q29" i="231"/>
  <c r="Q45" i="231"/>
  <c r="Q61" i="231"/>
  <c r="S39" i="231"/>
  <c r="S55" i="231"/>
  <c r="S71" i="231"/>
  <c r="U15" i="231"/>
  <c r="U31" i="231"/>
  <c r="U47" i="231"/>
  <c r="U63" i="231"/>
  <c r="M49" i="231"/>
  <c r="M33" i="231"/>
  <c r="K71" i="231"/>
  <c r="O77" i="231"/>
  <c r="O43" i="231"/>
  <c r="M17" i="231"/>
  <c r="K23" i="231"/>
  <c r="K39" i="231"/>
  <c r="K55" i="231"/>
  <c r="O11" i="231"/>
  <c r="K25" i="231"/>
  <c r="K57" i="231"/>
  <c r="K11" i="231"/>
  <c r="K27" i="231"/>
  <c r="K43" i="231"/>
  <c r="K59" i="231"/>
  <c r="K75" i="231"/>
  <c r="M21" i="231"/>
  <c r="M37" i="231"/>
  <c r="M53" i="231"/>
  <c r="M69" i="231"/>
  <c r="O15" i="231"/>
  <c r="O31" i="231"/>
  <c r="O47" i="231"/>
  <c r="O63" i="231"/>
  <c r="O79" i="231"/>
  <c r="K13" i="231"/>
  <c r="K29" i="231"/>
  <c r="K45" i="231"/>
  <c r="K61" i="231"/>
  <c r="K77" i="231"/>
  <c r="M23" i="231"/>
  <c r="M39" i="231"/>
  <c r="M55" i="231"/>
  <c r="M71" i="231"/>
  <c r="O17" i="231"/>
  <c r="O33" i="231"/>
  <c r="O49" i="231"/>
  <c r="O65" i="231"/>
  <c r="O59" i="231"/>
  <c r="K15" i="231"/>
  <c r="M25" i="231"/>
  <c r="M73" i="231"/>
  <c r="O19" i="231"/>
  <c r="O67" i="231"/>
  <c r="K17" i="231"/>
  <c r="K65" i="231"/>
  <c r="M43" i="231"/>
  <c r="O27" i="231"/>
  <c r="K31" i="231"/>
  <c r="K63" i="231"/>
  <c r="M57" i="231"/>
  <c r="O81" i="231"/>
  <c r="K33" i="231"/>
  <c r="M27" i="231"/>
  <c r="M75" i="231"/>
  <c r="O53" i="231"/>
  <c r="K19" i="231"/>
  <c r="K35" i="231"/>
  <c r="K51" i="231"/>
  <c r="K67" i="231"/>
  <c r="M13" i="231"/>
  <c r="M29" i="231"/>
  <c r="M45" i="231"/>
  <c r="M61" i="231"/>
  <c r="O23" i="231"/>
  <c r="O39" i="231"/>
  <c r="O55" i="231"/>
  <c r="O71" i="231"/>
  <c r="K47" i="231"/>
  <c r="K79" i="231"/>
  <c r="M41" i="231"/>
  <c r="O35" i="231"/>
  <c r="O51" i="231"/>
  <c r="K49" i="231"/>
  <c r="M11" i="231"/>
  <c r="M59" i="231"/>
  <c r="O21" i="231"/>
  <c r="O37" i="231"/>
  <c r="O69" i="231"/>
  <c r="K21" i="231"/>
  <c r="K37" i="231"/>
  <c r="K53" i="231"/>
  <c r="K69" i="231"/>
  <c r="M15" i="231"/>
  <c r="M31" i="231"/>
  <c r="M47" i="231"/>
  <c r="M63" i="231"/>
  <c r="M79" i="231"/>
  <c r="O25" i="231"/>
  <c r="O41" i="231"/>
  <c r="O57" i="231"/>
  <c r="O73" i="231"/>
  <c r="O75" i="231"/>
  <c r="K41" i="231"/>
  <c r="K73" i="231"/>
  <c r="M19" i="231"/>
  <c r="M35" i="231"/>
  <c r="M51" i="231"/>
  <c r="M67" i="231"/>
  <c r="O13" i="231"/>
  <c r="O29" i="231"/>
  <c r="O45" i="231"/>
  <c r="O61" i="231"/>
  <c r="M81" i="231" l="1"/>
  <c r="K81" i="231"/>
  <c r="AT84" i="231"/>
  <c r="AT85" i="231" s="1"/>
  <c r="AT86" i="231" s="1"/>
  <c r="AT87" i="231" s="1"/>
  <c r="AT88" i="231" s="1"/>
  <c r="AT89" i="231" s="1"/>
  <c r="K83" i="231"/>
  <c r="AY84" i="231"/>
  <c r="AY85" i="231" s="1"/>
  <c r="M83" i="231"/>
  <c r="BD84" i="231"/>
  <c r="BD85" i="231" s="1"/>
  <c r="O83" i="231"/>
  <c r="BI84" i="231"/>
  <c r="BI85" i="231" s="1"/>
  <c r="Q83" i="231"/>
  <c r="BN84" i="231"/>
  <c r="BN85" i="231" s="1"/>
  <c r="S83" i="231"/>
  <c r="BS84" i="231"/>
  <c r="BS85" i="231" s="1"/>
  <c r="U83" i="231"/>
  <c r="F22" i="256"/>
  <c r="G22" i="256"/>
  <c r="BI86" i="231" l="1"/>
  <c r="BI87" i="231" s="1"/>
  <c r="BI88" i="231" s="1"/>
  <c r="BI89" i="231" s="1"/>
  <c r="Q85" i="231"/>
  <c r="BD86" i="231"/>
  <c r="BD87" i="231" s="1"/>
  <c r="BD88" i="231" s="1"/>
  <c r="BD89" i="231" s="1"/>
  <c r="O85" i="231"/>
  <c r="BS86" i="231"/>
  <c r="BS87" i="231" s="1"/>
  <c r="BS88" i="231" s="1"/>
  <c r="BS89" i="231" s="1"/>
  <c r="U85" i="231"/>
  <c r="AY86" i="231"/>
  <c r="AY87" i="231" s="1"/>
  <c r="AY88" i="231" s="1"/>
  <c r="AY89" i="231" s="1"/>
  <c r="M85" i="231"/>
  <c r="BN86" i="231"/>
  <c r="BN87" i="231" s="1"/>
  <c r="BN88" i="231" s="1"/>
  <c r="BN89" i="231" s="1"/>
  <c r="S85" i="231"/>
  <c r="K85" i="231"/>
  <c r="AR9" i="231"/>
  <c r="AQ9" i="231"/>
  <c r="AP9" i="231"/>
  <c r="AO9" i="231"/>
  <c r="AO10" i="231" s="1"/>
  <c r="AO11" i="231" s="1"/>
  <c r="AO12" i="231" s="1"/>
  <c r="AO13" i="231" s="1"/>
  <c r="AO14" i="231" s="1"/>
  <c r="AO15" i="231" s="1"/>
  <c r="AO16" i="231" s="1"/>
  <c r="AO17" i="231" s="1"/>
  <c r="AO18" i="231" s="1"/>
  <c r="AO19" i="231" s="1"/>
  <c r="AO20" i="231" s="1"/>
  <c r="AO21" i="231" s="1"/>
  <c r="AO22" i="231" s="1"/>
  <c r="AO23" i="231" s="1"/>
  <c r="AO24" i="231" s="1"/>
  <c r="AO25" i="231" s="1"/>
  <c r="AO26" i="231" s="1"/>
  <c r="AO27" i="231" s="1"/>
  <c r="AO28" i="231" s="1"/>
  <c r="AO29" i="231" s="1"/>
  <c r="AO30" i="231" s="1"/>
  <c r="AO31" i="231" s="1"/>
  <c r="AO32" i="231" s="1"/>
  <c r="AO33" i="231" s="1"/>
  <c r="AO34" i="231" s="1"/>
  <c r="AO35" i="231" s="1"/>
  <c r="AO36" i="231" s="1"/>
  <c r="AO37" i="231" s="1"/>
  <c r="AO38" i="231" s="1"/>
  <c r="AO39" i="231" s="1"/>
  <c r="AO40" i="231" s="1"/>
  <c r="AO41" i="231" s="1"/>
  <c r="AO42" i="231" s="1"/>
  <c r="AO43" i="231" s="1"/>
  <c r="AO44" i="231" s="1"/>
  <c r="AO45" i="231" s="1"/>
  <c r="AO46" i="231" s="1"/>
  <c r="AO47" i="231" s="1"/>
  <c r="AO48" i="231" s="1"/>
  <c r="AO49" i="231" s="1"/>
  <c r="AO50" i="231" s="1"/>
  <c r="AO51" i="231" s="1"/>
  <c r="AO52" i="231" s="1"/>
  <c r="AO53" i="231" s="1"/>
  <c r="AO54" i="231" s="1"/>
  <c r="AO55" i="231" s="1"/>
  <c r="AO56" i="231" s="1"/>
  <c r="AO57" i="231" s="1"/>
  <c r="AO58" i="231" s="1"/>
  <c r="AO59" i="231" s="1"/>
  <c r="AO60" i="231" s="1"/>
  <c r="AO61" i="231" s="1"/>
  <c r="AO62" i="231" s="1"/>
  <c r="AO63" i="231" s="1"/>
  <c r="AO64" i="231" s="1"/>
  <c r="AO65" i="231" s="1"/>
  <c r="AO66" i="231" s="1"/>
  <c r="AO67" i="231" s="1"/>
  <c r="AO68" i="231" s="1"/>
  <c r="AO69" i="231" s="1"/>
  <c r="AO70" i="231" s="1"/>
  <c r="AO71" i="231" s="1"/>
  <c r="AO72" i="231" s="1"/>
  <c r="AO73" i="231" s="1"/>
  <c r="AO74" i="231" s="1"/>
  <c r="AO75" i="231" s="1"/>
  <c r="AO76" i="231" s="1"/>
  <c r="AO77" i="231" s="1"/>
  <c r="AO78" i="231" s="1"/>
  <c r="AO79" i="231" s="1"/>
  <c r="AO80" i="231" s="1"/>
  <c r="AR8" i="231"/>
  <c r="AQ8" i="231"/>
  <c r="AP8" i="231"/>
  <c r="C87" i="231"/>
  <c r="C85" i="231"/>
  <c r="C83" i="231"/>
  <c r="C81" i="231"/>
  <c r="C79" i="231"/>
  <c r="C77" i="231"/>
  <c r="C75" i="231"/>
  <c r="C73" i="231"/>
  <c r="C71" i="231"/>
  <c r="C69" i="231"/>
  <c r="C67" i="231"/>
  <c r="C65" i="231"/>
  <c r="C63" i="231"/>
  <c r="C61" i="231"/>
  <c r="C59" i="231"/>
  <c r="C57" i="231"/>
  <c r="C55" i="231"/>
  <c r="C53" i="231"/>
  <c r="C31" i="231"/>
  <c r="C33" i="231"/>
  <c r="C35" i="231"/>
  <c r="C37" i="231"/>
  <c r="C39" i="231"/>
  <c r="C41" i="231"/>
  <c r="C43" i="231"/>
  <c r="C45" i="231"/>
  <c r="C47" i="231"/>
  <c r="C49" i="231"/>
  <c r="C51" i="231"/>
  <c r="C29" i="231"/>
  <c r="C27" i="231"/>
  <c r="C25" i="231"/>
  <c r="C23" i="231"/>
  <c r="C21" i="231"/>
  <c r="C19" i="231"/>
  <c r="C17" i="231"/>
  <c r="C15" i="231"/>
  <c r="C13" i="231"/>
  <c r="C11" i="231"/>
  <c r="O87" i="231" l="1"/>
  <c r="O89" i="231" s="1"/>
  <c r="S87" i="231"/>
  <c r="S89" i="231" s="1"/>
  <c r="Q87" i="231"/>
  <c r="Q89" i="231" s="1"/>
  <c r="AO81" i="231"/>
  <c r="I81" i="231" s="1"/>
  <c r="M87" i="231"/>
  <c r="M89" i="231" s="1"/>
  <c r="K87" i="231"/>
  <c r="K89" i="231" s="1"/>
  <c r="U87" i="231"/>
  <c r="U89" i="231" s="1"/>
  <c r="I77" i="231"/>
  <c r="I11" i="231"/>
  <c r="I27" i="231"/>
  <c r="I43" i="231"/>
  <c r="I59" i="231"/>
  <c r="I75" i="231"/>
  <c r="I13" i="231"/>
  <c r="I29" i="231"/>
  <c r="I45" i="231"/>
  <c r="I61" i="231"/>
  <c r="I79" i="231"/>
  <c r="I15" i="231"/>
  <c r="I31" i="231"/>
  <c r="I47" i="231"/>
  <c r="I63" i="231"/>
  <c r="I17" i="231"/>
  <c r="I33" i="231"/>
  <c r="I49" i="231"/>
  <c r="I65" i="231"/>
  <c r="I19" i="231"/>
  <c r="I35" i="231"/>
  <c r="I51" i="231"/>
  <c r="I67" i="231"/>
  <c r="I21" i="231"/>
  <c r="I37" i="231"/>
  <c r="I53" i="231"/>
  <c r="I69" i="231"/>
  <c r="I23" i="231"/>
  <c r="I39" i="231"/>
  <c r="I55" i="231"/>
  <c r="I71" i="231"/>
  <c r="I25" i="231"/>
  <c r="I41" i="231"/>
  <c r="I57" i="231"/>
  <c r="I73" i="231"/>
  <c r="AO82" i="231" l="1"/>
  <c r="AO83" i="231" s="1"/>
  <c r="J19" i="232"/>
  <c r="J21" i="232" s="1"/>
  <c r="I19" i="232"/>
  <c r="I21" i="232" s="1"/>
  <c r="K17" i="232"/>
  <c r="K16" i="232"/>
  <c r="K15" i="232"/>
  <c r="A9" i="232"/>
  <c r="A10" i="232" s="1"/>
  <c r="A11" i="232" s="1"/>
  <c r="A12" i="232" s="1"/>
  <c r="A13" i="232" s="1"/>
  <c r="A14" i="232" s="1"/>
  <c r="A15" i="232" s="1"/>
  <c r="A16" i="232" s="1"/>
  <c r="A17" i="232" s="1"/>
  <c r="A18" i="232" s="1"/>
  <c r="A19" i="232" s="1"/>
  <c r="A20" i="232" s="1"/>
  <c r="A21" i="232" s="1"/>
  <c r="A22" i="232" s="1"/>
  <c r="A23" i="232" s="1"/>
  <c r="A24" i="232" s="1"/>
  <c r="A25" i="232" s="1"/>
  <c r="A26" i="232" s="1"/>
  <c r="A27" i="232" s="1"/>
  <c r="A28" i="232" s="1"/>
  <c r="A29" i="232" s="1"/>
  <c r="AO84" i="231" l="1"/>
  <c r="AO85" i="231" s="1"/>
  <c r="I83" i="231"/>
  <c r="F23" i="256"/>
  <c r="G23" i="256"/>
  <c r="AO86" i="231" l="1"/>
  <c r="AO87" i="231" s="1"/>
  <c r="I85" i="231"/>
  <c r="Y21" i="2"/>
  <c r="X23" i="2"/>
  <c r="W23" i="2"/>
  <c r="Y13" i="2"/>
  <c r="Y15" i="2"/>
  <c r="G23" i="2"/>
  <c r="L23" i="2"/>
  <c r="M23" i="2"/>
  <c r="R23" i="2"/>
  <c r="AO88" i="231" l="1"/>
  <c r="AO89" i="231" s="1"/>
  <c r="I87" i="231"/>
  <c r="Y23" i="2"/>
  <c r="K72" i="240"/>
  <c r="K74" i="240" s="1"/>
  <c r="L72" i="240"/>
  <c r="L74" i="240" s="1"/>
  <c r="J11" i="232" l="1"/>
  <c r="I11" i="232"/>
  <c r="Q52" i="3" l="1"/>
  <c r="K52" i="3"/>
  <c r="A14" i="3"/>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53" i="3"/>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Y19" i="2"/>
  <c r="P10" i="6" l="1"/>
  <c r="F24" i="256" l="1"/>
  <c r="G24" i="256"/>
  <c r="G25" i="256" l="1"/>
  <c r="F25" i="256"/>
  <c r="N17" i="280" l="1"/>
  <c r="F27" i="256"/>
  <c r="G27" i="256"/>
  <c r="Q170" i="40"/>
  <c r="Q166" i="40"/>
  <c r="Q164" i="40"/>
  <c r="Q163" i="40"/>
  <c r="Q162" i="40"/>
  <c r="Q161" i="40"/>
  <c r="Q160" i="40"/>
  <c r="Q159" i="40"/>
  <c r="Q158" i="40"/>
  <c r="Q157" i="40"/>
  <c r="Q156" i="40"/>
  <c r="Q155" i="40"/>
  <c r="Q154" i="40"/>
  <c r="Q149" i="40"/>
  <c r="Q148" i="40"/>
  <c r="Q147" i="40"/>
  <c r="Q146" i="40"/>
  <c r="Q141" i="40"/>
  <c r="Q140" i="40"/>
  <c r="Q139" i="40"/>
  <c r="Q138" i="40"/>
  <c r="Q133" i="40"/>
  <c r="Q132" i="40"/>
  <c r="Q131" i="40"/>
  <c r="Q130" i="40"/>
  <c r="Q129" i="40"/>
  <c r="Q122" i="40"/>
  <c r="Q121" i="40"/>
  <c r="Q120" i="40"/>
  <c r="Q119" i="40"/>
  <c r="Q118" i="40"/>
  <c r="Q117" i="40"/>
  <c r="Q116" i="40"/>
  <c r="Q115" i="40"/>
  <c r="Q114" i="40"/>
  <c r="Q113" i="40"/>
  <c r="Q109" i="40"/>
  <c r="Q108" i="40"/>
  <c r="Q107" i="40"/>
  <c r="Q106" i="40"/>
  <c r="Q105" i="40"/>
  <c r="Q104" i="40"/>
  <c r="Q103" i="40"/>
  <c r="Q102" i="40"/>
  <c r="Q101" i="40"/>
  <c r="Q100" i="40"/>
  <c r="Q99" i="40"/>
  <c r="Q92" i="40"/>
  <c r="Q91" i="40"/>
  <c r="Q90" i="40"/>
  <c r="Q89" i="40"/>
  <c r="Q88" i="40"/>
  <c r="Q87" i="40"/>
  <c r="Q86" i="40"/>
  <c r="Q82" i="40"/>
  <c r="Q81" i="40"/>
  <c r="Q80" i="40"/>
  <c r="Q79" i="40"/>
  <c r="Q78" i="40"/>
  <c r="Q77" i="40"/>
  <c r="Q76" i="40"/>
  <c r="Q75" i="40"/>
  <c r="Q68" i="40"/>
  <c r="Q67" i="40"/>
  <c r="Q66" i="40"/>
  <c r="Q65" i="40"/>
  <c r="Q64" i="40"/>
  <c r="Q63" i="40"/>
  <c r="Q59" i="40"/>
  <c r="Q58" i="40"/>
  <c r="Q57" i="40"/>
  <c r="Q56" i="40"/>
  <c r="Q55" i="40"/>
  <c r="Q54" i="40"/>
  <c r="Q53" i="40"/>
  <c r="Q52" i="40"/>
  <c r="Q51" i="40"/>
  <c r="Q46" i="40"/>
  <c r="Q45" i="40"/>
  <c r="Q44" i="40"/>
  <c r="Q43" i="40"/>
  <c r="Q42" i="40"/>
  <c r="Q41" i="40"/>
  <c r="Q40" i="40"/>
  <c r="Q39" i="40"/>
  <c r="Q38" i="40"/>
  <c r="Q32" i="40"/>
  <c r="Q31" i="40"/>
  <c r="Q30" i="40"/>
  <c r="Q29" i="40"/>
  <c r="Q28" i="40"/>
  <c r="Q27" i="40"/>
  <c r="Q26" i="40"/>
  <c r="Q22" i="40"/>
  <c r="Q21" i="40"/>
  <c r="Q20" i="40"/>
  <c r="Q19" i="40"/>
  <c r="Q18" i="40"/>
  <c r="Q17" i="40"/>
  <c r="Q16" i="40"/>
  <c r="Q15" i="40"/>
  <c r="Q14" i="40"/>
  <c r="Q13" i="40"/>
  <c r="P162" i="40"/>
  <c r="P170" i="40"/>
  <c r="P166" i="40"/>
  <c r="P165" i="40"/>
  <c r="P164" i="40"/>
  <c r="P163" i="40"/>
  <c r="P161" i="40"/>
  <c r="P159" i="40"/>
  <c r="P158" i="40"/>
  <c r="P157" i="40"/>
  <c r="P156" i="40"/>
  <c r="P155" i="40"/>
  <c r="P154" i="40"/>
  <c r="P149" i="40"/>
  <c r="P148" i="40"/>
  <c r="P147" i="40"/>
  <c r="P146" i="40"/>
  <c r="P141" i="40"/>
  <c r="P140" i="40"/>
  <c r="P139" i="40"/>
  <c r="P138" i="40"/>
  <c r="P133" i="40"/>
  <c r="P132" i="40"/>
  <c r="P131" i="40"/>
  <c r="P130" i="40"/>
  <c r="P129" i="40"/>
  <c r="P122" i="40"/>
  <c r="P121" i="40"/>
  <c r="P120" i="40"/>
  <c r="P119" i="40"/>
  <c r="P118" i="40"/>
  <c r="P117" i="40"/>
  <c r="P116" i="40"/>
  <c r="P115" i="40"/>
  <c r="P114" i="40"/>
  <c r="P113" i="40"/>
  <c r="P109" i="40"/>
  <c r="P108" i="40"/>
  <c r="P107" i="40"/>
  <c r="P106" i="40"/>
  <c r="P105" i="40"/>
  <c r="P104" i="40"/>
  <c r="P103" i="40"/>
  <c r="P102" i="40"/>
  <c r="P101" i="40"/>
  <c r="P100" i="40"/>
  <c r="P99" i="40"/>
  <c r="P92" i="40"/>
  <c r="P91" i="40"/>
  <c r="P90" i="40"/>
  <c r="P89" i="40"/>
  <c r="P88" i="40"/>
  <c r="P87" i="40"/>
  <c r="P86" i="40"/>
  <c r="P82" i="40"/>
  <c r="P81" i="40"/>
  <c r="P80" i="40"/>
  <c r="P79" i="40"/>
  <c r="P78" i="40"/>
  <c r="P77" i="40"/>
  <c r="P76" i="40"/>
  <c r="P75" i="40"/>
  <c r="P68" i="40"/>
  <c r="P67" i="40"/>
  <c r="P66" i="40"/>
  <c r="P65" i="40"/>
  <c r="P64" i="40"/>
  <c r="P63" i="40"/>
  <c r="P59" i="40"/>
  <c r="P58" i="40"/>
  <c r="P57" i="40"/>
  <c r="P56" i="40"/>
  <c r="P55" i="40"/>
  <c r="P54" i="40"/>
  <c r="P53" i="40"/>
  <c r="P52" i="40"/>
  <c r="P51" i="40"/>
  <c r="P46" i="40"/>
  <c r="P45" i="40"/>
  <c r="P44" i="40"/>
  <c r="P43" i="40"/>
  <c r="P42" i="40"/>
  <c r="P41" i="40"/>
  <c r="P40" i="40"/>
  <c r="P39" i="40"/>
  <c r="P38" i="40"/>
  <c r="P32" i="40"/>
  <c r="P31" i="40"/>
  <c r="P30" i="40"/>
  <c r="P29" i="40"/>
  <c r="P28" i="40"/>
  <c r="P27" i="40"/>
  <c r="P26" i="40"/>
  <c r="P22" i="40"/>
  <c r="P21" i="40"/>
  <c r="P20" i="40"/>
  <c r="P19" i="40"/>
  <c r="P18" i="40"/>
  <c r="P17" i="40"/>
  <c r="P16" i="40"/>
  <c r="P15" i="40"/>
  <c r="P14" i="40"/>
  <c r="P13" i="40"/>
  <c r="M161" i="40"/>
  <c r="M132" i="40"/>
  <c r="M120" i="40"/>
  <c r="M118" i="40"/>
  <c r="M117" i="40"/>
  <c r="M114" i="40"/>
  <c r="M107" i="40"/>
  <c r="M105" i="40"/>
  <c r="M104" i="40"/>
  <c r="M101" i="40"/>
  <c r="M92" i="40"/>
  <c r="M90" i="40"/>
  <c r="M89" i="40"/>
  <c r="M87" i="40"/>
  <c r="M80" i="40"/>
  <c r="M79" i="40"/>
  <c r="M78" i="40"/>
  <c r="M68" i="40"/>
  <c r="M67" i="40"/>
  <c r="M66" i="40"/>
  <c r="M65" i="40"/>
  <c r="M64" i="40"/>
  <c r="M59" i="40"/>
  <c r="M58" i="40"/>
  <c r="M57" i="40"/>
  <c r="M56" i="40"/>
  <c r="M55" i="40"/>
  <c r="M54" i="40"/>
  <c r="M53" i="40"/>
  <c r="M52" i="40"/>
  <c r="M46" i="40"/>
  <c r="M45" i="40"/>
  <c r="M44" i="40"/>
  <c r="M43" i="40"/>
  <c r="M42" i="40"/>
  <c r="M41" i="40"/>
  <c r="M40" i="40"/>
  <c r="M39" i="40"/>
  <c r="M38" i="40"/>
  <c r="M32" i="40"/>
  <c r="M31" i="40"/>
  <c r="M30" i="40"/>
  <c r="M29" i="40"/>
  <c r="M28" i="40"/>
  <c r="M27" i="40"/>
  <c r="M26" i="40"/>
  <c r="M22" i="40"/>
  <c r="M21" i="40"/>
  <c r="M20" i="40"/>
  <c r="M19" i="40"/>
  <c r="M18" i="40"/>
  <c r="M17" i="40"/>
  <c r="M16" i="40"/>
  <c r="M15" i="40"/>
  <c r="M14" i="40"/>
  <c r="M13" i="40"/>
  <c r="L170" i="40"/>
  <c r="L166" i="40"/>
  <c r="L165" i="40"/>
  <c r="L164" i="40"/>
  <c r="L163" i="40"/>
  <c r="L162" i="40"/>
  <c r="L161" i="40"/>
  <c r="L159" i="40"/>
  <c r="L158" i="40"/>
  <c r="L157" i="40"/>
  <c r="L156" i="40"/>
  <c r="L155" i="40"/>
  <c r="L154" i="40"/>
  <c r="L149" i="40"/>
  <c r="L148" i="40"/>
  <c r="L147" i="40"/>
  <c r="L146" i="40"/>
  <c r="L141" i="40"/>
  <c r="L140" i="40"/>
  <c r="L139" i="40"/>
  <c r="L138" i="40"/>
  <c r="L133" i="40"/>
  <c r="L132" i="40"/>
  <c r="L131" i="40"/>
  <c r="L130" i="40"/>
  <c r="L129" i="40"/>
  <c r="L122" i="40"/>
  <c r="L121" i="40"/>
  <c r="L120" i="40"/>
  <c r="L119" i="40"/>
  <c r="L118" i="40"/>
  <c r="L117" i="40"/>
  <c r="L116" i="40"/>
  <c r="L115" i="40"/>
  <c r="L114" i="40"/>
  <c r="L113" i="40"/>
  <c r="L109" i="40"/>
  <c r="L108" i="40"/>
  <c r="L107" i="40"/>
  <c r="L106" i="40"/>
  <c r="L105" i="40"/>
  <c r="L104" i="40"/>
  <c r="L103" i="40"/>
  <c r="L102" i="40"/>
  <c r="L101" i="40"/>
  <c r="L100" i="40"/>
  <c r="L99" i="40"/>
  <c r="L92" i="40"/>
  <c r="L91" i="40"/>
  <c r="L90" i="40"/>
  <c r="L89" i="40"/>
  <c r="L88" i="40"/>
  <c r="L87" i="40"/>
  <c r="L86" i="40"/>
  <c r="L82" i="40"/>
  <c r="L81" i="40"/>
  <c r="L80" i="40"/>
  <c r="L79" i="40"/>
  <c r="L78" i="40"/>
  <c r="L77" i="40"/>
  <c r="L76" i="40"/>
  <c r="L75" i="40"/>
  <c r="L68" i="40"/>
  <c r="L67" i="40"/>
  <c r="L66" i="40"/>
  <c r="L65" i="40"/>
  <c r="L64" i="40"/>
  <c r="L63" i="40"/>
  <c r="L59" i="40"/>
  <c r="L58" i="40"/>
  <c r="L57" i="40"/>
  <c r="L56" i="40"/>
  <c r="L55" i="40"/>
  <c r="L54" i="40"/>
  <c r="L53" i="40"/>
  <c r="L52" i="40"/>
  <c r="L51" i="40"/>
  <c r="L46" i="40"/>
  <c r="L45" i="40"/>
  <c r="L44" i="40"/>
  <c r="L43" i="40"/>
  <c r="L42" i="40"/>
  <c r="L41" i="40"/>
  <c r="L40" i="40"/>
  <c r="L39" i="40"/>
  <c r="L38" i="40"/>
  <c r="L32" i="40"/>
  <c r="L31" i="40"/>
  <c r="L30" i="40"/>
  <c r="L29" i="40"/>
  <c r="L28" i="40"/>
  <c r="L27" i="40"/>
  <c r="L26" i="40"/>
  <c r="L22" i="40"/>
  <c r="L21" i="40"/>
  <c r="L20" i="40"/>
  <c r="L19" i="40"/>
  <c r="L18" i="40"/>
  <c r="L17" i="40"/>
  <c r="L16" i="40"/>
  <c r="L15" i="40"/>
  <c r="L14" i="40"/>
  <c r="L13" i="40"/>
  <c r="K163" i="40"/>
  <c r="K59" i="40"/>
  <c r="K58" i="40"/>
  <c r="K55" i="40"/>
  <c r="K51" i="40"/>
  <c r="K46" i="40"/>
  <c r="K45" i="40"/>
  <c r="K44" i="40"/>
  <c r="K43" i="40"/>
  <c r="K42" i="40"/>
  <c r="K41" i="40"/>
  <c r="K40" i="40"/>
  <c r="K39" i="40"/>
  <c r="K38" i="40"/>
  <c r="K30" i="40"/>
  <c r="K29" i="40"/>
  <c r="K28" i="40"/>
  <c r="K27" i="40"/>
  <c r="K26" i="40"/>
  <c r="K22" i="40"/>
  <c r="K21" i="40"/>
  <c r="K20" i="40"/>
  <c r="K19" i="40"/>
  <c r="K17" i="40"/>
  <c r="K15" i="40"/>
  <c r="K14" i="40"/>
  <c r="K13" i="40"/>
  <c r="J170" i="40"/>
  <c r="J166" i="40"/>
  <c r="J165" i="40"/>
  <c r="J164" i="40"/>
  <c r="J163" i="40"/>
  <c r="J162" i="40"/>
  <c r="J161" i="40"/>
  <c r="J160" i="40"/>
  <c r="J159" i="40"/>
  <c r="J158" i="40"/>
  <c r="J157" i="40"/>
  <c r="J156" i="40"/>
  <c r="J155" i="40"/>
  <c r="J154" i="40"/>
  <c r="J149" i="40"/>
  <c r="J148" i="40"/>
  <c r="J147" i="40"/>
  <c r="J146" i="40"/>
  <c r="J141" i="40"/>
  <c r="J140" i="40"/>
  <c r="J139" i="40"/>
  <c r="J138" i="40"/>
  <c r="J133" i="40"/>
  <c r="J132" i="40"/>
  <c r="J131" i="40"/>
  <c r="J130" i="40"/>
  <c r="J129" i="40"/>
  <c r="J122" i="40"/>
  <c r="J121" i="40"/>
  <c r="J120" i="40"/>
  <c r="J119" i="40"/>
  <c r="J118" i="40"/>
  <c r="J117" i="40"/>
  <c r="J116" i="40"/>
  <c r="J115" i="40"/>
  <c r="J114" i="40"/>
  <c r="J113" i="40"/>
  <c r="J109" i="40"/>
  <c r="J108" i="40"/>
  <c r="J107" i="40"/>
  <c r="J106" i="40"/>
  <c r="J105" i="40"/>
  <c r="J104" i="40"/>
  <c r="J103" i="40"/>
  <c r="J102" i="40"/>
  <c r="J101" i="40"/>
  <c r="J100" i="40"/>
  <c r="J99" i="40"/>
  <c r="J92" i="40"/>
  <c r="J91" i="40"/>
  <c r="J90" i="40"/>
  <c r="J89" i="40"/>
  <c r="J88" i="40"/>
  <c r="J87" i="40"/>
  <c r="J86" i="40"/>
  <c r="J82" i="40"/>
  <c r="J81" i="40"/>
  <c r="J80" i="40"/>
  <c r="J79" i="40"/>
  <c r="J78" i="40"/>
  <c r="J77" i="40"/>
  <c r="J76" i="40"/>
  <c r="J75" i="40"/>
  <c r="J68" i="40"/>
  <c r="J67" i="40"/>
  <c r="J66" i="40"/>
  <c r="J65" i="40"/>
  <c r="J64" i="40"/>
  <c r="J63" i="40"/>
  <c r="J59" i="40"/>
  <c r="J58" i="40"/>
  <c r="J57" i="40"/>
  <c r="J56" i="40"/>
  <c r="J55" i="40"/>
  <c r="J54" i="40"/>
  <c r="J53" i="40"/>
  <c r="J52" i="40"/>
  <c r="J51" i="40"/>
  <c r="J42" i="40"/>
  <c r="J32" i="40"/>
  <c r="J31" i="40"/>
  <c r="J30" i="40"/>
  <c r="J29" i="40"/>
  <c r="J28" i="40"/>
  <c r="J27" i="40"/>
  <c r="J26" i="40"/>
  <c r="J22" i="40"/>
  <c r="J21" i="40"/>
  <c r="J20" i="40"/>
  <c r="J19" i="40"/>
  <c r="J18" i="40"/>
  <c r="J17" i="40"/>
  <c r="J16" i="40"/>
  <c r="J15" i="40"/>
  <c r="J14" i="40"/>
  <c r="J13" i="40"/>
  <c r="I170" i="40"/>
  <c r="I166" i="40"/>
  <c r="I163" i="40"/>
  <c r="I161" i="40"/>
  <c r="I160" i="40"/>
  <c r="I159" i="40"/>
  <c r="I158" i="40"/>
  <c r="I157" i="40"/>
  <c r="I156" i="40"/>
  <c r="I154" i="40"/>
  <c r="I146" i="40"/>
  <c r="I138" i="40"/>
  <c r="I133" i="40"/>
  <c r="I132" i="40"/>
  <c r="I130" i="40"/>
  <c r="I129" i="40"/>
  <c r="I122" i="40"/>
  <c r="I120" i="40"/>
  <c r="I119" i="40"/>
  <c r="I118" i="40"/>
  <c r="I117" i="40"/>
  <c r="I116" i="40"/>
  <c r="I115" i="40"/>
  <c r="I114" i="40"/>
  <c r="I113" i="40"/>
  <c r="I109" i="40"/>
  <c r="I107" i="40"/>
  <c r="I106" i="40"/>
  <c r="I105" i="40"/>
  <c r="I104" i="40"/>
  <c r="I103" i="40"/>
  <c r="I102" i="40"/>
  <c r="I101" i="40"/>
  <c r="I100" i="40"/>
  <c r="I92" i="40"/>
  <c r="I91" i="40"/>
  <c r="I90" i="40"/>
  <c r="I89" i="40"/>
  <c r="I88" i="40"/>
  <c r="I87" i="40"/>
  <c r="I82" i="40"/>
  <c r="I81" i="40"/>
  <c r="I80" i="40"/>
  <c r="I79" i="40"/>
  <c r="I78" i="40"/>
  <c r="I77" i="40"/>
  <c r="I76" i="40"/>
  <c r="I68" i="40"/>
  <c r="I67" i="40"/>
  <c r="I66" i="40"/>
  <c r="I65" i="40"/>
  <c r="I64" i="40"/>
  <c r="I63" i="40"/>
  <c r="I59" i="40"/>
  <c r="I58" i="40"/>
  <c r="I57" i="40"/>
  <c r="I56" i="40"/>
  <c r="I55" i="40"/>
  <c r="I54" i="40"/>
  <c r="I53" i="40"/>
  <c r="I52" i="40"/>
  <c r="I51" i="40"/>
  <c r="I46" i="40"/>
  <c r="I45" i="40"/>
  <c r="I44" i="40"/>
  <c r="I43" i="40"/>
  <c r="I42" i="40"/>
  <c r="I41" i="40"/>
  <c r="I40" i="40"/>
  <c r="I39" i="40"/>
  <c r="I38" i="40"/>
  <c r="I32" i="40"/>
  <c r="I31" i="40"/>
  <c r="I30" i="40"/>
  <c r="I29" i="40"/>
  <c r="I28" i="40"/>
  <c r="I27" i="40"/>
  <c r="I26" i="40"/>
  <c r="I22" i="40"/>
  <c r="I21" i="40"/>
  <c r="I20" i="40"/>
  <c r="I19" i="40"/>
  <c r="I18" i="40"/>
  <c r="I17" i="40"/>
  <c r="I16" i="40"/>
  <c r="I15" i="40"/>
  <c r="I14" i="40"/>
  <c r="I13" i="40"/>
  <c r="O76" i="3" l="1"/>
  <c r="O60" i="3"/>
  <c r="A42" i="3"/>
  <c r="A40" i="3"/>
  <c r="O21" i="236"/>
  <c r="N21" i="236"/>
  <c r="P14" i="236"/>
  <c r="K14" i="236"/>
  <c r="M9" i="236"/>
  <c r="M10" i="236" s="1"/>
  <c r="M11" i="236" s="1"/>
  <c r="M12" i="236" s="1"/>
  <c r="M13" i="236" s="1"/>
  <c r="M14" i="236" s="1"/>
  <c r="M15" i="236" s="1"/>
  <c r="M16" i="236" s="1"/>
  <c r="M17" i="236" s="1"/>
  <c r="M18" i="236" s="1"/>
  <c r="M19" i="236" s="1"/>
  <c r="M20" i="236" s="1"/>
  <c r="M21" i="236" s="1"/>
  <c r="P19" i="236"/>
  <c r="P17" i="236"/>
  <c r="P12" i="236"/>
  <c r="P9" i="236"/>
  <c r="O9" i="236"/>
  <c r="N9" i="236"/>
  <c r="P8" i="236"/>
  <c r="O8" i="236"/>
  <c r="N8" i="236"/>
  <c r="P21" i="236" l="1"/>
  <c r="E14" i="236"/>
  <c r="E19" i="236"/>
  <c r="E12" i="236"/>
  <c r="E17" i="236"/>
  <c r="E21" i="236" l="1"/>
  <c r="D23" i="29" l="1"/>
  <c r="N61" i="280" l="1"/>
  <c r="F23" i="29" s="1"/>
  <c r="N19" i="280"/>
  <c r="F9" i="29" s="1"/>
  <c r="N40" i="280"/>
  <c r="F16" i="29" s="1"/>
  <c r="N63" i="280" l="1"/>
  <c r="J75" i="279" l="1"/>
  <c r="I75" i="279"/>
  <c r="K70" i="279"/>
  <c r="J68" i="279"/>
  <c r="I68" i="279"/>
  <c r="K67" i="279"/>
  <c r="K66" i="279"/>
  <c r="K65" i="279"/>
  <c r="K64" i="279"/>
  <c r="K63" i="279"/>
  <c r="K62" i="279"/>
  <c r="K61" i="279"/>
  <c r="K60" i="279"/>
  <c r="K59" i="279"/>
  <c r="K58" i="279"/>
  <c r="K57" i="279"/>
  <c r="K56" i="279"/>
  <c r="K55" i="279"/>
  <c r="K54" i="279"/>
  <c r="K53" i="279"/>
  <c r="K52" i="279"/>
  <c r="K51" i="279"/>
  <c r="K50" i="279"/>
  <c r="K49" i="279"/>
  <c r="K48" i="279"/>
  <c r="K47" i="279"/>
  <c r="K46" i="279"/>
  <c r="K45" i="279"/>
  <c r="J42" i="279"/>
  <c r="I42" i="279"/>
  <c r="K41" i="279"/>
  <c r="K40" i="279"/>
  <c r="K39" i="279"/>
  <c r="K38" i="279"/>
  <c r="K37" i="279"/>
  <c r="K36" i="279"/>
  <c r="K35" i="279"/>
  <c r="K34" i="279"/>
  <c r="K33" i="279"/>
  <c r="K32" i="279"/>
  <c r="K31" i="279"/>
  <c r="K30" i="279"/>
  <c r="K29" i="279"/>
  <c r="K28" i="279"/>
  <c r="K27" i="279"/>
  <c r="K26" i="279"/>
  <c r="K25" i="279"/>
  <c r="J22" i="279"/>
  <c r="I22" i="279"/>
  <c r="K21" i="279"/>
  <c r="K20" i="279"/>
  <c r="K19" i="279"/>
  <c r="K18" i="279"/>
  <c r="K15" i="279"/>
  <c r="K14" i="279"/>
  <c r="K13" i="279"/>
  <c r="K12" i="279"/>
  <c r="K11" i="279"/>
  <c r="K7" i="279"/>
  <c r="J7" i="279"/>
  <c r="I7" i="279"/>
  <c r="H6" i="279"/>
  <c r="H7" i="279" s="1"/>
  <c r="H8" i="279" s="1"/>
  <c r="H9" i="279" s="1"/>
  <c r="H10" i="279" s="1"/>
  <c r="H11" i="279" s="1"/>
  <c r="H12" i="279" s="1"/>
  <c r="H13" i="279" s="1"/>
  <c r="H14" i="279" s="1"/>
  <c r="H15" i="279" s="1"/>
  <c r="C75" i="279"/>
  <c r="C77" i="279"/>
  <c r="C22" i="279"/>
  <c r="C24" i="279"/>
  <c r="B25" i="279"/>
  <c r="C25" i="279"/>
  <c r="C42" i="279"/>
  <c r="C44" i="279"/>
  <c r="C68" i="279"/>
  <c r="C70" i="279"/>
  <c r="A10" i="279"/>
  <c r="A11" i="279" s="1"/>
  <c r="A12" i="279" s="1"/>
  <c r="A13" i="279" s="1"/>
  <c r="A14" i="279" s="1"/>
  <c r="A15" i="279" s="1"/>
  <c r="E2" i="279"/>
  <c r="A3" i="279"/>
  <c r="A1" i="279"/>
  <c r="A16" i="279" l="1"/>
  <c r="A17" i="279" s="1"/>
  <c r="A18" i="279" s="1"/>
  <c r="A19" i="279" s="1"/>
  <c r="A20" i="279" s="1"/>
  <c r="A21" i="279" s="1"/>
  <c r="A22" i="279" s="1"/>
  <c r="A23" i="279" s="1"/>
  <c r="A24" i="279" s="1"/>
  <c r="A25" i="279" s="1"/>
  <c r="A26" i="279" s="1"/>
  <c r="A27" i="279" s="1"/>
  <c r="A28" i="279" s="1"/>
  <c r="A29" i="279" s="1"/>
  <c r="A30" i="279" s="1"/>
  <c r="A31" i="279" s="1"/>
  <c r="A32" i="279" s="1"/>
  <c r="A33" i="279" s="1"/>
  <c r="A34" i="279" s="1"/>
  <c r="A35" i="279" s="1"/>
  <c r="A36" i="279" s="1"/>
  <c r="A37" i="279" s="1"/>
  <c r="A38" i="279" s="1"/>
  <c r="A39" i="279" s="1"/>
  <c r="A40" i="279" s="1"/>
  <c r="A41" i="279" s="1"/>
  <c r="A42" i="279" s="1"/>
  <c r="A43" i="279" s="1"/>
  <c r="A44" i="279" s="1"/>
  <c r="A45" i="279" s="1"/>
  <c r="A46" i="279" s="1"/>
  <c r="A47" i="279" s="1"/>
  <c r="A48" i="279" s="1"/>
  <c r="A49" i="279" s="1"/>
  <c r="A50" i="279" s="1"/>
  <c r="A51" i="279" s="1"/>
  <c r="A52" i="279" s="1"/>
  <c r="A53" i="279" s="1"/>
  <c r="A54" i="279" s="1"/>
  <c r="A55" i="279" s="1"/>
  <c r="A56" i="279" s="1"/>
  <c r="A57" i="279" s="1"/>
  <c r="A58" i="279" s="1"/>
  <c r="A59" i="279" s="1"/>
  <c r="A60" i="279" s="1"/>
  <c r="A61" i="279" s="1"/>
  <c r="A62" i="279" s="1"/>
  <c r="A63" i="279" s="1"/>
  <c r="A64" i="279" s="1"/>
  <c r="A65" i="279" s="1"/>
  <c r="A66" i="279" s="1"/>
  <c r="A67" i="279" s="1"/>
  <c r="A68" i="279" s="1"/>
  <c r="A69" i="279" s="1"/>
  <c r="A70" i="279" s="1"/>
  <c r="H16" i="279"/>
  <c r="H17" i="279" s="1"/>
  <c r="H18" i="279" s="1"/>
  <c r="J77" i="279"/>
  <c r="J88" i="279" s="1"/>
  <c r="I77" i="279"/>
  <c r="I88" i="279" s="1"/>
  <c r="E13" i="279"/>
  <c r="M13" i="4" s="1"/>
  <c r="E14" i="279"/>
  <c r="M14" i="4" s="1"/>
  <c r="E11" i="279"/>
  <c r="E12" i="279"/>
  <c r="M12" i="4" s="1"/>
  <c r="K75" i="279"/>
  <c r="K68" i="279"/>
  <c r="K42" i="279"/>
  <c r="K22" i="279"/>
  <c r="A71" i="279" l="1"/>
  <c r="A72" i="279" s="1"/>
  <c r="A73" i="279" s="1"/>
  <c r="A74" i="279" s="1"/>
  <c r="A75" i="279" s="1"/>
  <c r="A76" i="279" s="1"/>
  <c r="A77" i="279" s="1"/>
  <c r="A78" i="279" s="1"/>
  <c r="A79" i="279" s="1"/>
  <c r="A80" i="279" s="1"/>
  <c r="A81" i="279" s="1"/>
  <c r="A82" i="279" s="1"/>
  <c r="A83" i="279" s="1"/>
  <c r="H19" i="279"/>
  <c r="E18" i="279"/>
  <c r="M18" i="4" s="1"/>
  <c r="E15" i="279"/>
  <c r="H11" i="198" s="1"/>
  <c r="M11" i="4"/>
  <c r="K77" i="279"/>
  <c r="K88" i="279" s="1"/>
  <c r="H20" i="279" l="1"/>
  <c r="E19" i="279"/>
  <c r="M19" i="4" s="1"/>
  <c r="J61" i="266"/>
  <c r="J73" i="266" s="1"/>
  <c r="I61" i="266"/>
  <c r="I73" i="266" s="1"/>
  <c r="C61" i="266"/>
  <c r="C56" i="266"/>
  <c r="B77" i="242" s="1"/>
  <c r="B56" i="266"/>
  <c r="B50" i="242"/>
  <c r="B15" i="242"/>
  <c r="K73" i="266" l="1"/>
  <c r="L56" i="266"/>
  <c r="B59" i="242"/>
  <c r="H21" i="279"/>
  <c r="E20" i="279"/>
  <c r="M20" i="4" s="1"/>
  <c r="X33" i="2"/>
  <c r="W33" i="2"/>
  <c r="X16" i="2"/>
  <c r="X35" i="2" s="1"/>
  <c r="W16" i="2"/>
  <c r="W35" i="2" s="1"/>
  <c r="X25" i="2" l="1"/>
  <c r="W25" i="2"/>
  <c r="E21" i="279"/>
  <c r="M21" i="4" s="1"/>
  <c r="H22" i="279"/>
  <c r="H23" i="279" s="1"/>
  <c r="H24" i="279" s="1"/>
  <c r="H25" i="279" s="1"/>
  <c r="Y16" i="2"/>
  <c r="T67" i="37"/>
  <c r="V71" i="37"/>
  <c r="V70" i="37"/>
  <c r="V60" i="37"/>
  <c r="V61" i="37"/>
  <c r="U46" i="37"/>
  <c r="T46" i="37"/>
  <c r="T42" i="37"/>
  <c r="Y25" i="2" l="1"/>
  <c r="E25" i="279"/>
  <c r="M25" i="4" s="1"/>
  <c r="H26" i="279"/>
  <c r="E22" i="279"/>
  <c r="H17" i="198" s="1"/>
  <c r="P72" i="37"/>
  <c r="P71" i="37"/>
  <c r="P70" i="37"/>
  <c r="P66" i="37"/>
  <c r="P65" i="37"/>
  <c r="P64" i="37"/>
  <c r="P63" i="37"/>
  <c r="P62" i="37"/>
  <c r="P61" i="37"/>
  <c r="P60" i="37"/>
  <c r="P59" i="37"/>
  <c r="P58" i="37"/>
  <c r="P57" i="37"/>
  <c r="P45" i="37"/>
  <c r="P41" i="37"/>
  <c r="P40" i="37"/>
  <c r="P39" i="37"/>
  <c r="P38" i="37"/>
  <c r="P37" i="37"/>
  <c r="P33" i="37"/>
  <c r="P32" i="37"/>
  <c r="P31" i="37"/>
  <c r="P30" i="37"/>
  <c r="P29" i="37"/>
  <c r="P28" i="37"/>
  <c r="P27" i="37"/>
  <c r="P26" i="37"/>
  <c r="P25" i="37"/>
  <c r="P24" i="37"/>
  <c r="P22" i="37"/>
  <c r="P21" i="37"/>
  <c r="P20" i="37"/>
  <c r="P19" i="37"/>
  <c r="P18" i="37"/>
  <c r="P17" i="37"/>
  <c r="P16" i="37"/>
  <c r="P15" i="37"/>
  <c r="P14" i="37"/>
  <c r="P13" i="37"/>
  <c r="P12" i="37"/>
  <c r="O67" i="37"/>
  <c r="N67" i="37"/>
  <c r="O46" i="37"/>
  <c r="N46" i="37"/>
  <c r="O42" i="37"/>
  <c r="N42" i="37"/>
  <c r="O34" i="37"/>
  <c r="N34" i="37"/>
  <c r="S71" i="37"/>
  <c r="S70" i="37"/>
  <c r="R67" i="37"/>
  <c r="Q67" i="37"/>
  <c r="S60" i="37"/>
  <c r="S61" i="37"/>
  <c r="R42" i="37"/>
  <c r="R46" i="37"/>
  <c r="Q46" i="37"/>
  <c r="Q42" i="37"/>
  <c r="P9" i="37"/>
  <c r="O9" i="37"/>
  <c r="N9" i="37"/>
  <c r="P8" i="37"/>
  <c r="O8" i="37"/>
  <c r="N8" i="37"/>
  <c r="N74" i="37" l="1"/>
  <c r="O74" i="37"/>
  <c r="H27" i="279"/>
  <c r="E26" i="279"/>
  <c r="M26" i="4" s="1"/>
  <c r="P67" i="37"/>
  <c r="P46" i="37"/>
  <c r="P34" i="37"/>
  <c r="P42" i="37"/>
  <c r="R41" i="158"/>
  <c r="R56" i="158"/>
  <c r="H28" i="279" l="1"/>
  <c r="E27" i="279"/>
  <c r="M27" i="4" s="1"/>
  <c r="P74" i="37"/>
  <c r="N41" i="158"/>
  <c r="H29" i="279" l="1"/>
  <c r="E28" i="279"/>
  <c r="M28" i="4" s="1"/>
  <c r="N20" i="158"/>
  <c r="R20" i="158"/>
  <c r="H30" i="279" l="1"/>
  <c r="E29" i="279"/>
  <c r="M29" i="4" s="1"/>
  <c r="Y70" i="4"/>
  <c r="Y76" i="4"/>
  <c r="X75" i="4"/>
  <c r="O92" i="282" s="1"/>
  <c r="W75" i="4"/>
  <c r="N92" i="282" s="1"/>
  <c r="S15" i="4"/>
  <c r="R15" i="4"/>
  <c r="T70" i="4"/>
  <c r="S75" i="4"/>
  <c r="R75" i="4"/>
  <c r="T69" i="4"/>
  <c r="S68" i="4"/>
  <c r="R68" i="4"/>
  <c r="T67" i="4"/>
  <c r="T66" i="4"/>
  <c r="T65" i="4"/>
  <c r="T64" i="4"/>
  <c r="T63" i="4"/>
  <c r="T62" i="4"/>
  <c r="T61" i="4"/>
  <c r="T60" i="4"/>
  <c r="T59" i="4"/>
  <c r="T58" i="4"/>
  <c r="T57" i="4"/>
  <c r="T56" i="4"/>
  <c r="T55" i="4"/>
  <c r="T54" i="4"/>
  <c r="T53" i="4"/>
  <c r="T52" i="4"/>
  <c r="T51" i="4"/>
  <c r="T50" i="4"/>
  <c r="T47" i="4"/>
  <c r="T45" i="4"/>
  <c r="T44" i="4"/>
  <c r="T43" i="4"/>
  <c r="S42" i="4"/>
  <c r="R42" i="4"/>
  <c r="T41" i="4"/>
  <c r="T40" i="4"/>
  <c r="T39" i="4"/>
  <c r="T38" i="4"/>
  <c r="T36" i="4"/>
  <c r="T35" i="4"/>
  <c r="T34" i="4"/>
  <c r="T33" i="4"/>
  <c r="T32" i="4"/>
  <c r="T31" i="4"/>
  <c r="T30" i="4"/>
  <c r="T29" i="4"/>
  <c r="T28" i="4"/>
  <c r="T27" i="4"/>
  <c r="T26" i="4"/>
  <c r="T25" i="4"/>
  <c r="T24" i="4"/>
  <c r="T23" i="4"/>
  <c r="S22" i="4"/>
  <c r="T21" i="4"/>
  <c r="T20" i="4"/>
  <c r="T19" i="4"/>
  <c r="T18" i="4"/>
  <c r="T17" i="4"/>
  <c r="T14" i="4"/>
  <c r="T13" i="4"/>
  <c r="T12" i="4"/>
  <c r="T11" i="4"/>
  <c r="T8" i="4"/>
  <c r="S8" i="4"/>
  <c r="R8" i="4"/>
  <c r="Q7" i="4"/>
  <c r="Q8" i="4" s="1"/>
  <c r="Q9" i="4" s="1"/>
  <c r="Q10" i="4" s="1"/>
  <c r="Q11" i="4" s="1"/>
  <c r="Q12" i="4" s="1"/>
  <c r="Q13" i="4" s="1"/>
  <c r="Q14" i="4" s="1"/>
  <c r="Q15" i="4" s="1"/>
  <c r="Q16" i="4" s="1"/>
  <c r="Q17" i="4" s="1"/>
  <c r="H31" i="279" l="1"/>
  <c r="E30" i="279"/>
  <c r="M30" i="4" s="1"/>
  <c r="R77" i="4"/>
  <c r="R86" i="4" s="1"/>
  <c r="S77" i="4"/>
  <c r="S86" i="4" s="1"/>
  <c r="Q18" i="4"/>
  <c r="Q19" i="4" s="1"/>
  <c r="Y75" i="4"/>
  <c r="E14" i="4"/>
  <c r="E11" i="4"/>
  <c r="E13" i="4"/>
  <c r="E12" i="4"/>
  <c r="T75" i="4"/>
  <c r="T68" i="4"/>
  <c r="T42" i="4"/>
  <c r="T22" i="4"/>
  <c r="T15" i="4"/>
  <c r="E18" i="4" l="1"/>
  <c r="H32" i="279"/>
  <c r="E31" i="279"/>
  <c r="M31" i="4" s="1"/>
  <c r="Q20" i="4"/>
  <c r="Q21" i="4" s="1"/>
  <c r="E19" i="4"/>
  <c r="E20" i="4"/>
  <c r="T77" i="4"/>
  <c r="T86" i="4" s="1"/>
  <c r="E15" i="4"/>
  <c r="H33" i="279" l="1"/>
  <c r="E32" i="279"/>
  <c r="M32" i="4" s="1"/>
  <c r="H12" i="11"/>
  <c r="Q22" i="4"/>
  <c r="Z163" i="40"/>
  <c r="Z29" i="40"/>
  <c r="H34" i="279" l="1"/>
  <c r="E33" i="279"/>
  <c r="M33" i="4" s="1"/>
  <c r="E21" i="4"/>
  <c r="E22" i="4" s="1"/>
  <c r="H163" i="40"/>
  <c r="H35" i="279" l="1"/>
  <c r="E34" i="279"/>
  <c r="M34" i="4" s="1"/>
  <c r="Q23" i="4"/>
  <c r="Q24" i="4" s="1"/>
  <c r="Q25" i="4" s="1"/>
  <c r="H20" i="11"/>
  <c r="E35" i="279" l="1"/>
  <c r="M35" i="4" s="1"/>
  <c r="H36" i="279"/>
  <c r="Q26" i="4"/>
  <c r="E25" i="4"/>
  <c r="J30" i="204"/>
  <c r="F30" i="204" s="1"/>
  <c r="J17" i="204"/>
  <c r="F17" i="204" s="1"/>
  <c r="J9" i="204"/>
  <c r="F9" i="204" s="1"/>
  <c r="J10" i="204"/>
  <c r="F10" i="204" s="1"/>
  <c r="K22" i="89"/>
  <c r="F22" i="89" s="1"/>
  <c r="K23" i="89"/>
  <c r="F23" i="89" s="1"/>
  <c r="K24" i="89"/>
  <c r="F24" i="89" s="1"/>
  <c r="K25" i="89"/>
  <c r="F25" i="89" s="1"/>
  <c r="K11" i="89"/>
  <c r="F11" i="89" s="1"/>
  <c r="H37" i="279" l="1"/>
  <c r="E36" i="279"/>
  <c r="M36" i="4" s="1"/>
  <c r="Q27" i="4"/>
  <c r="E26" i="4"/>
  <c r="H38" i="279" l="1"/>
  <c r="E37" i="279"/>
  <c r="M37" i="4" s="1"/>
  <c r="Q28" i="4"/>
  <c r="E27" i="4"/>
  <c r="F24" i="29"/>
  <c r="E38" i="279" l="1"/>
  <c r="M38" i="4" s="1"/>
  <c r="H39" i="279"/>
  <c r="Q29" i="4"/>
  <c r="E28" i="4"/>
  <c r="E39" i="279" l="1"/>
  <c r="M39" i="4" s="1"/>
  <c r="H40" i="279"/>
  <c r="Q30" i="4"/>
  <c r="Q31" i="4" s="1"/>
  <c r="E29" i="4"/>
  <c r="H41" i="279" l="1"/>
  <c r="E40" i="279"/>
  <c r="M40" i="4" s="1"/>
  <c r="E30" i="4"/>
  <c r="H42" i="279" l="1"/>
  <c r="H43" i="279" s="1"/>
  <c r="H44" i="279" s="1"/>
  <c r="H45" i="279" s="1"/>
  <c r="E41" i="279"/>
  <c r="M41" i="4" s="1"/>
  <c r="T22" i="275"/>
  <c r="T20" i="275"/>
  <c r="T19" i="275"/>
  <c r="T18" i="275"/>
  <c r="T17" i="275"/>
  <c r="T10" i="275"/>
  <c r="T11" i="275"/>
  <c r="T15" i="275"/>
  <c r="Y22" i="275"/>
  <c r="Y20" i="275"/>
  <c r="Y19" i="275"/>
  <c r="Y18" i="275"/>
  <c r="Y17" i="275"/>
  <c r="Y10" i="275"/>
  <c r="Y11" i="275"/>
  <c r="Y15" i="275"/>
  <c r="Y9" i="275"/>
  <c r="AD22" i="275"/>
  <c r="AD20" i="275"/>
  <c r="AD19" i="275"/>
  <c r="AD18" i="275"/>
  <c r="AD17" i="275"/>
  <c r="AD10" i="275"/>
  <c r="AD15" i="275"/>
  <c r="H46" i="279" l="1"/>
  <c r="E45" i="279"/>
  <c r="M45" i="4" s="1"/>
  <c r="E42" i="279"/>
  <c r="H19" i="198" s="1"/>
  <c r="Q32" i="4"/>
  <c r="E31" i="4"/>
  <c r="T12" i="242"/>
  <c r="T13" i="242"/>
  <c r="T14" i="242"/>
  <c r="T15" i="242"/>
  <c r="T16" i="242"/>
  <c r="T17" i="242"/>
  <c r="T18" i="242"/>
  <c r="T19" i="242"/>
  <c r="T20" i="242"/>
  <c r="T21" i="242"/>
  <c r="T22" i="242"/>
  <c r="T23" i="242"/>
  <c r="T24" i="242"/>
  <c r="T25" i="242"/>
  <c r="T26" i="242"/>
  <c r="T27" i="242"/>
  <c r="T28" i="242"/>
  <c r="T29" i="242"/>
  <c r="T30" i="242"/>
  <c r="T31" i="242"/>
  <c r="T32" i="242"/>
  <c r="T33" i="242"/>
  <c r="T34" i="242"/>
  <c r="T35" i="242"/>
  <c r="T36" i="242"/>
  <c r="T37" i="242"/>
  <c r="T38" i="242"/>
  <c r="T39" i="242"/>
  <c r="T40" i="242"/>
  <c r="T41" i="242"/>
  <c r="T42" i="242"/>
  <c r="T43" i="242"/>
  <c r="T44" i="242"/>
  <c r="T45" i="242"/>
  <c r="T46" i="242"/>
  <c r="T47" i="242"/>
  <c r="T48" i="242"/>
  <c r="T49" i="242"/>
  <c r="T50" i="242"/>
  <c r="T51" i="242"/>
  <c r="T52" i="242"/>
  <c r="T53" i="242"/>
  <c r="T54" i="242"/>
  <c r="T55" i="242"/>
  <c r="T56" i="242"/>
  <c r="T57" i="242"/>
  <c r="T58" i="242"/>
  <c r="T59" i="242"/>
  <c r="T60" i="242"/>
  <c r="T61" i="242"/>
  <c r="T62" i="242"/>
  <c r="T63" i="242"/>
  <c r="T64" i="242"/>
  <c r="T65" i="242"/>
  <c r="T66" i="242"/>
  <c r="T67" i="242"/>
  <c r="T68" i="242"/>
  <c r="T69" i="242"/>
  <c r="T70" i="242"/>
  <c r="T71" i="242"/>
  <c r="T72" i="242"/>
  <c r="T73" i="242"/>
  <c r="T74" i="242"/>
  <c r="T75" i="242"/>
  <c r="T76" i="242"/>
  <c r="T84" i="242"/>
  <c r="T85" i="242"/>
  <c r="T86" i="242"/>
  <c r="T87" i="242"/>
  <c r="T88" i="242"/>
  <c r="T11" i="242"/>
  <c r="Y88" i="242"/>
  <c r="Y87" i="242"/>
  <c r="Y86" i="242"/>
  <c r="Y85" i="242"/>
  <c r="Y84" i="242"/>
  <c r="Y83" i="242"/>
  <c r="Y76" i="242"/>
  <c r="Y75" i="242"/>
  <c r="Y74" i="242"/>
  <c r="Y73" i="242"/>
  <c r="Y72" i="242"/>
  <c r="Y71" i="242"/>
  <c r="Y70" i="242"/>
  <c r="Y69" i="242"/>
  <c r="Y68" i="242"/>
  <c r="Y67" i="242"/>
  <c r="Y66" i="242"/>
  <c r="Y65" i="242"/>
  <c r="Y64" i="242"/>
  <c r="Y63" i="242"/>
  <c r="Y62" i="242"/>
  <c r="Y61" i="242"/>
  <c r="Y60" i="242"/>
  <c r="Y59" i="242"/>
  <c r="Y58" i="242"/>
  <c r="Y57" i="242"/>
  <c r="Y56" i="242"/>
  <c r="Y55" i="242"/>
  <c r="Y54" i="242"/>
  <c r="Y53" i="242"/>
  <c r="Y52" i="242"/>
  <c r="Y51" i="242"/>
  <c r="Y50" i="242"/>
  <c r="Y49" i="242"/>
  <c r="Y48" i="242"/>
  <c r="Y47" i="242"/>
  <c r="Y46" i="242"/>
  <c r="Y45" i="242"/>
  <c r="Y44" i="242"/>
  <c r="Y43" i="242"/>
  <c r="Y42" i="242"/>
  <c r="Y41" i="242"/>
  <c r="Y40" i="242"/>
  <c r="Y39" i="242"/>
  <c r="Y38" i="242"/>
  <c r="Y37" i="242"/>
  <c r="Y36" i="242"/>
  <c r="Y35" i="242"/>
  <c r="Y34" i="242"/>
  <c r="Y33" i="242"/>
  <c r="Y32" i="242"/>
  <c r="Y31" i="242"/>
  <c r="Y30" i="242"/>
  <c r="Y29" i="242"/>
  <c r="Y28" i="242"/>
  <c r="Y27" i="242"/>
  <c r="Y26" i="242"/>
  <c r="Y25" i="242"/>
  <c r="Y24" i="242"/>
  <c r="Y23" i="242"/>
  <c r="Y22" i="242"/>
  <c r="Y21" i="242"/>
  <c r="Y20" i="242"/>
  <c r="Y19" i="242"/>
  <c r="Y18" i="242"/>
  <c r="Y17" i="242"/>
  <c r="Y16" i="242"/>
  <c r="Y15" i="242"/>
  <c r="Y14" i="242"/>
  <c r="Y13" i="242"/>
  <c r="Y12" i="242"/>
  <c r="Y11" i="242"/>
  <c r="AD11" i="242"/>
  <c r="AD12" i="242"/>
  <c r="AD13" i="242"/>
  <c r="AD14" i="242"/>
  <c r="AD15" i="242"/>
  <c r="AD16" i="242"/>
  <c r="AD17" i="242"/>
  <c r="AD18" i="242"/>
  <c r="AD19" i="242"/>
  <c r="AD20" i="242"/>
  <c r="AD21" i="242"/>
  <c r="AD22" i="242"/>
  <c r="AD23" i="242"/>
  <c r="AD24" i="242"/>
  <c r="AD25" i="242"/>
  <c r="AD26" i="242"/>
  <c r="AD27" i="242"/>
  <c r="AD28" i="242"/>
  <c r="AD29" i="242"/>
  <c r="AD30" i="242"/>
  <c r="AD31" i="242"/>
  <c r="AD32" i="242"/>
  <c r="AD33" i="242"/>
  <c r="AD34" i="242"/>
  <c r="AD35" i="242"/>
  <c r="AD36" i="242"/>
  <c r="AD37" i="242"/>
  <c r="AD38" i="242"/>
  <c r="AD39" i="242"/>
  <c r="AD40" i="242"/>
  <c r="AD41" i="242"/>
  <c r="AD42" i="242"/>
  <c r="AD43" i="242"/>
  <c r="AD44" i="242"/>
  <c r="AD45" i="242"/>
  <c r="AD46" i="242"/>
  <c r="AD47" i="242"/>
  <c r="AD48" i="242"/>
  <c r="AD49" i="242"/>
  <c r="AD50" i="242"/>
  <c r="AD51" i="242"/>
  <c r="AD52" i="242"/>
  <c r="AD53" i="242"/>
  <c r="AD54" i="242"/>
  <c r="AD55" i="242"/>
  <c r="AD56" i="242"/>
  <c r="AD57" i="242"/>
  <c r="AD58" i="242"/>
  <c r="AD59" i="242"/>
  <c r="AD60" i="242"/>
  <c r="AD61" i="242"/>
  <c r="AD62" i="242"/>
  <c r="AD63" i="242"/>
  <c r="AD64" i="242"/>
  <c r="AD65" i="242"/>
  <c r="AD66" i="242"/>
  <c r="AD67" i="242"/>
  <c r="AD68" i="242"/>
  <c r="AD69" i="242"/>
  <c r="AD70" i="242"/>
  <c r="AD71" i="242"/>
  <c r="AD72" i="242"/>
  <c r="AD73" i="242"/>
  <c r="AD74" i="242"/>
  <c r="AD75" i="242"/>
  <c r="AD76" i="242"/>
  <c r="AD83" i="242"/>
  <c r="AD84" i="242"/>
  <c r="AD85" i="242"/>
  <c r="AD86" i="242"/>
  <c r="AD87" i="242"/>
  <c r="AD88" i="242"/>
  <c r="E46" i="279" l="1"/>
  <c r="M46" i="4" s="1"/>
  <c r="H47" i="279"/>
  <c r="Q33" i="4"/>
  <c r="E32" i="4"/>
  <c r="S72" i="37"/>
  <c r="S67" i="37"/>
  <c r="S66" i="37"/>
  <c r="S65" i="37"/>
  <c r="S64" i="37"/>
  <c r="S63" i="37"/>
  <c r="S62" i="37"/>
  <c r="S58" i="37"/>
  <c r="S57" i="37"/>
  <c r="S45" i="37"/>
  <c r="S42" i="37"/>
  <c r="S41" i="37"/>
  <c r="S40" i="37"/>
  <c r="S39" i="37"/>
  <c r="S38" i="37"/>
  <c r="S37" i="37"/>
  <c r="S33" i="37"/>
  <c r="S32" i="37"/>
  <c r="S31" i="37"/>
  <c r="S30" i="37"/>
  <c r="S29" i="37"/>
  <c r="S28" i="37"/>
  <c r="S27" i="37"/>
  <c r="S26" i="37"/>
  <c r="S25" i="37"/>
  <c r="S24" i="37"/>
  <c r="S22" i="37"/>
  <c r="S21" i="37"/>
  <c r="S20" i="37"/>
  <c r="S19" i="37"/>
  <c r="S18" i="37"/>
  <c r="S17" i="37"/>
  <c r="S16" i="37"/>
  <c r="S15" i="37"/>
  <c r="S14" i="37"/>
  <c r="S13" i="37"/>
  <c r="S12" i="37"/>
  <c r="V72" i="37"/>
  <c r="V66" i="37"/>
  <c r="V65" i="37"/>
  <c r="V64" i="37"/>
  <c r="V63" i="37"/>
  <c r="V62" i="37"/>
  <c r="V58" i="37"/>
  <c r="V57" i="37"/>
  <c r="V46" i="37"/>
  <c r="V45" i="37"/>
  <c r="V41" i="37"/>
  <c r="V40" i="37"/>
  <c r="V39" i="37"/>
  <c r="V38" i="37"/>
  <c r="V33" i="37"/>
  <c r="V32" i="37"/>
  <c r="V31" i="37"/>
  <c r="V30" i="37"/>
  <c r="V29" i="37"/>
  <c r="V28" i="37"/>
  <c r="V27" i="37"/>
  <c r="V26" i="37"/>
  <c r="V25" i="37"/>
  <c r="V24" i="37"/>
  <c r="V21" i="37"/>
  <c r="V20" i="37"/>
  <c r="V17" i="37"/>
  <c r="V16" i="37"/>
  <c r="V15" i="37"/>
  <c r="V14" i="37"/>
  <c r="V13" i="37"/>
  <c r="V12" i="37"/>
  <c r="L23" i="237"/>
  <c r="L22" i="237"/>
  <c r="L21" i="237"/>
  <c r="L14" i="237"/>
  <c r="L13" i="237"/>
  <c r="L12" i="237"/>
  <c r="M56" i="41"/>
  <c r="M55" i="41"/>
  <c r="M54" i="41"/>
  <c r="M53" i="41"/>
  <c r="M50" i="41"/>
  <c r="M49" i="41"/>
  <c r="M48" i="41"/>
  <c r="M47" i="41"/>
  <c r="M44" i="41"/>
  <c r="M43" i="41"/>
  <c r="M42" i="41"/>
  <c r="M41" i="41"/>
  <c r="M38" i="41"/>
  <c r="M37" i="41"/>
  <c r="M36" i="41"/>
  <c r="M35" i="41"/>
  <c r="M32" i="41"/>
  <c r="M31" i="41"/>
  <c r="M30" i="41"/>
  <c r="M29" i="41"/>
  <c r="M26" i="41"/>
  <c r="M25" i="41"/>
  <c r="M24" i="41"/>
  <c r="M23" i="41"/>
  <c r="M20" i="41"/>
  <c r="M19" i="41"/>
  <c r="M18" i="41"/>
  <c r="M17" i="41"/>
  <c r="M12" i="41"/>
  <c r="M13" i="41"/>
  <c r="M14" i="41"/>
  <c r="N85" i="158"/>
  <c r="N84" i="158"/>
  <c r="N83" i="158"/>
  <c r="N82" i="158"/>
  <c r="N81" i="158"/>
  <c r="N80" i="158"/>
  <c r="N79" i="158"/>
  <c r="N78" i="158"/>
  <c r="N77" i="158"/>
  <c r="N76" i="158"/>
  <c r="N75" i="158"/>
  <c r="N74" i="158"/>
  <c r="N73" i="158"/>
  <c r="N72" i="158"/>
  <c r="N71" i="158"/>
  <c r="N70" i="158"/>
  <c r="N69" i="158"/>
  <c r="N68" i="158"/>
  <c r="N67" i="158"/>
  <c r="N66" i="158"/>
  <c r="N65" i="158"/>
  <c r="N64" i="158"/>
  <c r="N63" i="158"/>
  <c r="N62" i="158"/>
  <c r="N61" i="158"/>
  <c r="N60" i="158"/>
  <c r="N59" i="158"/>
  <c r="N58" i="158"/>
  <c r="N57" i="158"/>
  <c r="N56" i="158"/>
  <c r="N55" i="158"/>
  <c r="N54" i="158"/>
  <c r="N53" i="158"/>
  <c r="N52" i="158"/>
  <c r="N51" i="158"/>
  <c r="N50" i="158"/>
  <c r="N49" i="158"/>
  <c r="N48" i="158"/>
  <c r="N47" i="158"/>
  <c r="N46" i="158"/>
  <c r="N45" i="158"/>
  <c r="N44" i="158"/>
  <c r="N43" i="158"/>
  <c r="N42" i="158"/>
  <c r="N40" i="158"/>
  <c r="N39" i="158"/>
  <c r="N38" i="158"/>
  <c r="N37" i="158"/>
  <c r="N36" i="158"/>
  <c r="N35" i="158"/>
  <c r="N34" i="158"/>
  <c r="N33" i="158"/>
  <c r="N32" i="158"/>
  <c r="N31" i="158"/>
  <c r="N30" i="158"/>
  <c r="N29" i="158"/>
  <c r="N28" i="158"/>
  <c r="N27" i="158"/>
  <c r="N26" i="158"/>
  <c r="N25" i="158"/>
  <c r="N24" i="158"/>
  <c r="N23" i="158"/>
  <c r="N22" i="158"/>
  <c r="N21" i="158"/>
  <c r="N19" i="158"/>
  <c r="N18" i="158"/>
  <c r="N17" i="158"/>
  <c r="N16" i="158"/>
  <c r="N15" i="158"/>
  <c r="N14" i="158"/>
  <c r="N13" i="158"/>
  <c r="N12" i="158"/>
  <c r="N11" i="158"/>
  <c r="R85" i="158"/>
  <c r="R84" i="158"/>
  <c r="R83" i="158"/>
  <c r="R82" i="158"/>
  <c r="R81" i="158"/>
  <c r="R80" i="158"/>
  <c r="R79" i="158"/>
  <c r="R78" i="158"/>
  <c r="R77" i="158"/>
  <c r="R76" i="158"/>
  <c r="R75" i="158"/>
  <c r="R74" i="158"/>
  <c r="R73" i="158"/>
  <c r="R72" i="158"/>
  <c r="R71" i="158"/>
  <c r="R70" i="158"/>
  <c r="R69" i="158"/>
  <c r="R68" i="158"/>
  <c r="R67" i="158"/>
  <c r="R66" i="158"/>
  <c r="R65" i="158"/>
  <c r="R64" i="158"/>
  <c r="R63" i="158"/>
  <c r="R62" i="158"/>
  <c r="R61" i="158"/>
  <c r="R60" i="158"/>
  <c r="R59" i="158"/>
  <c r="R58" i="158"/>
  <c r="R57" i="158"/>
  <c r="R55" i="158"/>
  <c r="R54" i="158"/>
  <c r="R53" i="158"/>
  <c r="R51" i="158"/>
  <c r="R50" i="158"/>
  <c r="R49" i="158"/>
  <c r="R48" i="158"/>
  <c r="R47" i="158"/>
  <c r="R46" i="158"/>
  <c r="R45" i="158"/>
  <c r="R44" i="158"/>
  <c r="R43" i="158"/>
  <c r="R42" i="158"/>
  <c r="R40" i="158"/>
  <c r="R39" i="158"/>
  <c r="R38" i="158"/>
  <c r="R36" i="158"/>
  <c r="R35" i="158"/>
  <c r="R34" i="158"/>
  <c r="R33" i="158"/>
  <c r="R32" i="158"/>
  <c r="R31" i="158"/>
  <c r="R30" i="158"/>
  <c r="R29" i="158"/>
  <c r="R28" i="158"/>
  <c r="R27" i="158"/>
  <c r="R26" i="158"/>
  <c r="R25" i="158"/>
  <c r="R24" i="158"/>
  <c r="R23" i="158"/>
  <c r="R22" i="158"/>
  <c r="R21" i="158"/>
  <c r="R19" i="158"/>
  <c r="R18" i="158"/>
  <c r="R17" i="158"/>
  <c r="R16" i="158"/>
  <c r="R15" i="158"/>
  <c r="R14" i="158"/>
  <c r="R13" i="158"/>
  <c r="R12" i="158"/>
  <c r="R11" i="158"/>
  <c r="R32" i="12"/>
  <c r="R30" i="12"/>
  <c r="R28" i="12"/>
  <c r="R26" i="12"/>
  <c r="R23" i="12"/>
  <c r="R21" i="12"/>
  <c r="R19" i="12"/>
  <c r="R17" i="12"/>
  <c r="R15" i="12"/>
  <c r="R13" i="12"/>
  <c r="H48" i="279" l="1"/>
  <c r="E47" i="279"/>
  <c r="M47" i="4" s="1"/>
  <c r="Q34" i="4"/>
  <c r="Q35" i="4" s="1"/>
  <c r="E33" i="4"/>
  <c r="AE44" i="274"/>
  <c r="AE30" i="274"/>
  <c r="AE31" i="274"/>
  <c r="AE39" i="274"/>
  <c r="AE40" i="274"/>
  <c r="AE41" i="274"/>
  <c r="AE42" i="274"/>
  <c r="AE43" i="274"/>
  <c r="AE29" i="274"/>
  <c r="AE28" i="274"/>
  <c r="AE26" i="274"/>
  <c r="AE25" i="274"/>
  <c r="AE23" i="274"/>
  <c r="AE21" i="274"/>
  <c r="AE20" i="274"/>
  <c r="AE19" i="274"/>
  <c r="AE18" i="274"/>
  <c r="AE17" i="274"/>
  <c r="AE15" i="274"/>
  <c r="AE14" i="274"/>
  <c r="AE13" i="274"/>
  <c r="AE12" i="274"/>
  <c r="AE11" i="274"/>
  <c r="AJ12" i="274"/>
  <c r="AJ13" i="274"/>
  <c r="AJ14" i="274"/>
  <c r="AJ15" i="274"/>
  <c r="AJ17" i="274"/>
  <c r="AJ18" i="274"/>
  <c r="AJ19" i="274"/>
  <c r="AJ20" i="274"/>
  <c r="AJ21" i="274"/>
  <c r="AJ23" i="274"/>
  <c r="AJ25" i="274"/>
  <c r="AJ26" i="274"/>
  <c r="AJ28" i="274"/>
  <c r="AJ29" i="274"/>
  <c r="AJ30" i="274"/>
  <c r="AJ31" i="274"/>
  <c r="AJ39" i="274"/>
  <c r="AJ40" i="274"/>
  <c r="AJ41" i="274"/>
  <c r="AJ42" i="274"/>
  <c r="AJ43" i="274"/>
  <c r="AJ44" i="274"/>
  <c r="AJ11" i="274"/>
  <c r="H49" i="279" l="1"/>
  <c r="E48" i="279"/>
  <c r="M48" i="4" s="1"/>
  <c r="E34" i="4"/>
  <c r="Y35" i="2"/>
  <c r="Y33" i="2"/>
  <c r="Y32" i="2"/>
  <c r="Y31" i="2"/>
  <c r="Y30" i="2"/>
  <c r="Y29" i="2"/>
  <c r="Y28" i="2"/>
  <c r="P8" i="271"/>
  <c r="N8" i="267"/>
  <c r="T8" i="264"/>
  <c r="P8" i="264"/>
  <c r="M72" i="240"/>
  <c r="M74" i="240" s="1"/>
  <c r="M70" i="240"/>
  <c r="M69" i="240"/>
  <c r="M68" i="240"/>
  <c r="M67" i="240"/>
  <c r="M66" i="240"/>
  <c r="M65" i="240"/>
  <c r="M64" i="240"/>
  <c r="M63" i="240"/>
  <c r="M62" i="240"/>
  <c r="M61" i="240"/>
  <c r="M60" i="240"/>
  <c r="M59" i="240"/>
  <c r="M58" i="240"/>
  <c r="M57" i="240"/>
  <c r="M56" i="240"/>
  <c r="M55" i="240"/>
  <c r="M54" i="240"/>
  <c r="M53" i="240"/>
  <c r="M52" i="240"/>
  <c r="M51" i="240"/>
  <c r="M50" i="240"/>
  <c r="M49" i="240"/>
  <c r="M48" i="240"/>
  <c r="M47" i="240"/>
  <c r="M46" i="240"/>
  <c r="M45" i="240"/>
  <c r="M44" i="240"/>
  <c r="M43" i="240"/>
  <c r="M42" i="240"/>
  <c r="M41" i="240"/>
  <c r="M40" i="240"/>
  <c r="M39" i="240"/>
  <c r="M38" i="240"/>
  <c r="M37" i="240"/>
  <c r="M36" i="240"/>
  <c r="M35" i="240"/>
  <c r="M34" i="240"/>
  <c r="M33" i="240"/>
  <c r="M32" i="240"/>
  <c r="M31" i="240"/>
  <c r="M30" i="240"/>
  <c r="M29" i="240"/>
  <c r="M28" i="240"/>
  <c r="M27" i="240"/>
  <c r="M26" i="240"/>
  <c r="M25" i="240"/>
  <c r="M24" i="240"/>
  <c r="M23" i="240"/>
  <c r="M22" i="240"/>
  <c r="M21" i="240"/>
  <c r="M20" i="240"/>
  <c r="M19" i="240"/>
  <c r="M18" i="240"/>
  <c r="M17" i="240"/>
  <c r="M16" i="240"/>
  <c r="M15" i="240"/>
  <c r="M14" i="240"/>
  <c r="M13" i="240"/>
  <c r="M12" i="240"/>
  <c r="M11" i="240"/>
  <c r="M10" i="240"/>
  <c r="M9" i="240"/>
  <c r="M8" i="240"/>
  <c r="K9" i="232"/>
  <c r="K10" i="232"/>
  <c r="K11" i="232"/>
  <c r="K19" i="232"/>
  <c r="K8" i="232"/>
  <c r="AM89" i="231"/>
  <c r="AM87" i="231"/>
  <c r="AM85" i="231"/>
  <c r="AM83" i="231"/>
  <c r="AM81" i="231"/>
  <c r="AM79" i="231"/>
  <c r="AM77" i="231"/>
  <c r="AM75" i="231"/>
  <c r="AM73" i="231"/>
  <c r="AM71" i="231"/>
  <c r="AM69" i="231"/>
  <c r="AM67" i="231"/>
  <c r="AM65" i="231"/>
  <c r="AM63" i="231"/>
  <c r="AM61" i="231"/>
  <c r="AM59" i="231"/>
  <c r="AM57" i="231"/>
  <c r="AM55" i="231"/>
  <c r="AM53" i="231"/>
  <c r="AM51" i="231"/>
  <c r="AM49" i="231"/>
  <c r="AM47" i="231"/>
  <c r="AM45" i="231"/>
  <c r="AM43" i="231"/>
  <c r="AM41" i="231"/>
  <c r="AM39" i="231"/>
  <c r="AM37" i="231"/>
  <c r="AM35" i="231"/>
  <c r="AM33" i="231"/>
  <c r="AM31" i="231"/>
  <c r="AM29" i="231"/>
  <c r="AM27" i="231"/>
  <c r="AM25" i="231"/>
  <c r="AM23" i="231"/>
  <c r="AM21" i="231"/>
  <c r="AM19" i="231"/>
  <c r="AM17" i="231"/>
  <c r="AM15" i="231"/>
  <c r="AM13" i="231"/>
  <c r="AM11" i="231"/>
  <c r="AH89" i="231"/>
  <c r="AH87" i="231"/>
  <c r="AH85" i="231"/>
  <c r="AH83" i="231"/>
  <c r="AH81" i="231"/>
  <c r="AH79" i="231"/>
  <c r="AH77" i="231"/>
  <c r="AH75" i="231"/>
  <c r="AH73" i="231"/>
  <c r="AH71" i="231"/>
  <c r="AH69" i="231"/>
  <c r="AH67" i="231"/>
  <c r="AH65" i="231"/>
  <c r="AH63" i="231"/>
  <c r="AH61" i="231"/>
  <c r="AH59" i="231"/>
  <c r="AH57" i="231"/>
  <c r="AH55" i="231"/>
  <c r="AH53" i="231"/>
  <c r="AH51" i="231"/>
  <c r="AH49" i="231"/>
  <c r="AH47" i="231"/>
  <c r="AH45" i="231"/>
  <c r="AH43" i="231"/>
  <c r="AH41" i="231"/>
  <c r="AH39" i="231"/>
  <c r="AH37" i="231"/>
  <c r="AH35" i="231"/>
  <c r="AH33" i="231"/>
  <c r="AH31" i="231"/>
  <c r="AH29" i="231"/>
  <c r="AH27" i="231"/>
  <c r="AH25" i="231"/>
  <c r="AH23" i="231"/>
  <c r="AH21" i="231"/>
  <c r="AH19" i="231"/>
  <c r="AH17" i="231"/>
  <c r="AH15" i="231"/>
  <c r="AH13" i="231"/>
  <c r="H50" i="279" l="1"/>
  <c r="E49" i="279"/>
  <c r="M49" i="4" s="1"/>
  <c r="AH11" i="231"/>
  <c r="K19" i="236"/>
  <c r="K17" i="236"/>
  <c r="K12" i="236"/>
  <c r="H51" i="279" l="1"/>
  <c r="E50" i="279"/>
  <c r="M50" i="4" s="1"/>
  <c r="K21" i="236"/>
  <c r="X69" i="40"/>
  <c r="X60" i="40"/>
  <c r="X33" i="40"/>
  <c r="X23" i="40"/>
  <c r="Z170" i="40"/>
  <c r="Z166" i="40"/>
  <c r="Z165" i="40"/>
  <c r="Z164" i="40"/>
  <c r="Z162" i="40"/>
  <c r="Z161" i="40"/>
  <c r="Z160" i="40"/>
  <c r="Z159" i="40"/>
  <c r="Z158" i="40"/>
  <c r="Z157" i="40"/>
  <c r="Z156" i="40"/>
  <c r="Z155" i="40"/>
  <c r="Z154" i="40"/>
  <c r="Z149" i="40"/>
  <c r="Z148" i="40"/>
  <c r="Z147" i="40"/>
  <c r="Z146" i="40"/>
  <c r="Z141" i="40"/>
  <c r="Z140" i="40"/>
  <c r="Z139" i="40"/>
  <c r="Z138" i="40"/>
  <c r="Z133" i="40"/>
  <c r="Z130" i="40"/>
  <c r="Z131" i="40"/>
  <c r="Z132" i="40"/>
  <c r="Z129" i="40"/>
  <c r="Z122" i="40"/>
  <c r="Z121" i="40"/>
  <c r="Z120" i="40"/>
  <c r="Z119" i="40"/>
  <c r="Z118" i="40"/>
  <c r="Z117" i="40"/>
  <c r="Z116" i="40"/>
  <c r="Z115" i="40"/>
  <c r="Z114" i="40"/>
  <c r="Z113" i="40"/>
  <c r="Z100" i="40"/>
  <c r="Z101" i="40"/>
  <c r="Z102" i="40"/>
  <c r="Z103" i="40"/>
  <c r="Z104" i="40"/>
  <c r="Z105" i="40"/>
  <c r="Z106" i="40"/>
  <c r="Z107" i="40"/>
  <c r="Z108" i="40"/>
  <c r="Z109" i="40"/>
  <c r="Z99" i="40"/>
  <c r="Z92" i="40"/>
  <c r="Z91" i="40"/>
  <c r="Z90" i="40"/>
  <c r="Z89" i="40"/>
  <c r="Z88" i="40"/>
  <c r="Z87" i="40"/>
  <c r="Z86" i="40"/>
  <c r="Z82" i="40"/>
  <c r="Z81" i="40"/>
  <c r="Z80" i="40"/>
  <c r="Z79" i="40"/>
  <c r="Z78" i="40"/>
  <c r="Z77" i="40"/>
  <c r="Z76" i="40"/>
  <c r="Z75" i="40"/>
  <c r="Z64" i="40"/>
  <c r="Z65" i="40"/>
  <c r="Z66" i="40"/>
  <c r="Z67" i="40"/>
  <c r="Z68" i="40"/>
  <c r="Z63" i="40"/>
  <c r="Z59" i="40"/>
  <c r="Z58" i="40"/>
  <c r="Z57" i="40"/>
  <c r="Z56" i="40"/>
  <c r="Z55" i="40"/>
  <c r="Z54" i="40"/>
  <c r="Z53" i="40"/>
  <c r="Z52" i="40"/>
  <c r="Z51" i="40"/>
  <c r="Z46" i="40"/>
  <c r="Z45" i="40"/>
  <c r="Z44" i="40"/>
  <c r="Z43" i="40"/>
  <c r="Z42" i="40"/>
  <c r="Z40" i="40"/>
  <c r="Z27" i="40"/>
  <c r="Z28" i="40"/>
  <c r="Z30" i="40"/>
  <c r="Z31" i="40"/>
  <c r="Z32" i="40"/>
  <c r="Z26" i="40"/>
  <c r="Z22" i="40"/>
  <c r="Z21" i="40"/>
  <c r="Z20" i="40"/>
  <c r="Z19" i="40"/>
  <c r="Z18" i="40"/>
  <c r="Z17" i="40"/>
  <c r="Z16" i="40"/>
  <c r="Z15" i="40"/>
  <c r="Z14" i="40"/>
  <c r="Z13" i="40"/>
  <c r="N29" i="162"/>
  <c r="N27" i="162"/>
  <c r="N26" i="162"/>
  <c r="N25" i="162"/>
  <c r="N24" i="162"/>
  <c r="N23" i="162"/>
  <c r="N22" i="162"/>
  <c r="N17" i="162"/>
  <c r="N16" i="162"/>
  <c r="N15" i="162"/>
  <c r="N14" i="162"/>
  <c r="N13" i="162"/>
  <c r="N12" i="162"/>
  <c r="P11" i="6"/>
  <c r="P12" i="6"/>
  <c r="P13" i="6"/>
  <c r="P14" i="6"/>
  <c r="P15" i="6"/>
  <c r="P16" i="6"/>
  <c r="P17" i="6"/>
  <c r="P18" i="6"/>
  <c r="P19" i="6"/>
  <c r="P20" i="6"/>
  <c r="P21" i="6"/>
  <c r="P22" i="6"/>
  <c r="K11" i="6"/>
  <c r="K12" i="6"/>
  <c r="K13" i="6"/>
  <c r="K14" i="6"/>
  <c r="K15" i="6"/>
  <c r="K16" i="6"/>
  <c r="K17" i="6"/>
  <c r="K18" i="6"/>
  <c r="K19" i="6"/>
  <c r="K20" i="6"/>
  <c r="K21" i="6"/>
  <c r="K22" i="6"/>
  <c r="K10" i="6"/>
  <c r="Y12" i="198"/>
  <c r="Y13" i="198"/>
  <c r="Y14" i="198"/>
  <c r="Y15" i="198"/>
  <c r="Y16" i="198"/>
  <c r="Y17" i="198"/>
  <c r="Y18" i="198"/>
  <c r="Y19" i="198"/>
  <c r="Y20" i="198"/>
  <c r="Y21" i="198"/>
  <c r="Y22" i="198"/>
  <c r="Y23" i="198"/>
  <c r="Y30" i="198"/>
  <c r="Y11" i="198"/>
  <c r="T12" i="198"/>
  <c r="T13" i="198"/>
  <c r="T14" i="198"/>
  <c r="T15" i="198"/>
  <c r="T16" i="198"/>
  <c r="T17" i="198"/>
  <c r="T18" i="198"/>
  <c r="T19" i="198"/>
  <c r="T20" i="198"/>
  <c r="T21" i="198"/>
  <c r="T22" i="198"/>
  <c r="T23" i="198"/>
  <c r="T11" i="198"/>
  <c r="O12" i="198"/>
  <c r="O13" i="198"/>
  <c r="O14" i="198"/>
  <c r="O15" i="198"/>
  <c r="O16" i="198"/>
  <c r="O18" i="198"/>
  <c r="O20" i="198"/>
  <c r="O22" i="198"/>
  <c r="O23" i="198"/>
  <c r="O30" i="198"/>
  <c r="O11" i="198"/>
  <c r="J54" i="266"/>
  <c r="I54" i="266"/>
  <c r="J28" i="266"/>
  <c r="I28" i="266"/>
  <c r="I63" i="266" s="1"/>
  <c r="I72" i="266" s="1"/>
  <c r="AC42" i="4"/>
  <c r="AB42" i="4"/>
  <c r="AC22" i="4"/>
  <c r="AB22" i="4"/>
  <c r="AC15" i="4"/>
  <c r="AB15" i="4"/>
  <c r="AD67" i="4"/>
  <c r="AD66" i="4"/>
  <c r="AD65" i="4"/>
  <c r="AD64" i="4"/>
  <c r="AD63" i="4"/>
  <c r="AD62" i="4"/>
  <c r="AD61" i="4"/>
  <c r="AD60" i="4"/>
  <c r="AD59" i="4"/>
  <c r="AD58" i="4"/>
  <c r="AD57" i="4"/>
  <c r="AD56" i="4"/>
  <c r="AD55" i="4"/>
  <c r="AD54" i="4"/>
  <c r="AD53" i="4"/>
  <c r="AD52" i="4"/>
  <c r="AD51" i="4"/>
  <c r="AD50" i="4"/>
  <c r="AD45" i="4"/>
  <c r="AD41" i="4"/>
  <c r="AD40" i="4"/>
  <c r="AD36" i="4"/>
  <c r="AD35" i="4"/>
  <c r="AD34" i="4"/>
  <c r="AD33" i="4"/>
  <c r="AD32" i="4"/>
  <c r="AD31" i="4"/>
  <c r="AD30" i="4"/>
  <c r="AD29" i="4"/>
  <c r="AD28" i="4"/>
  <c r="AD27" i="4"/>
  <c r="AD26" i="4"/>
  <c r="AD25" i="4"/>
  <c r="AD21" i="4"/>
  <c r="AD20" i="4"/>
  <c r="AD19" i="4"/>
  <c r="AD18" i="4"/>
  <c r="AD14" i="4"/>
  <c r="AD13" i="4"/>
  <c r="AD12" i="4"/>
  <c r="AD11" i="4"/>
  <c r="Y69" i="4"/>
  <c r="Y67" i="4"/>
  <c r="Y66" i="4"/>
  <c r="Y65" i="4"/>
  <c r="Y64" i="4"/>
  <c r="Y63" i="4"/>
  <c r="Y62" i="4"/>
  <c r="Y61" i="4"/>
  <c r="Y60" i="4"/>
  <c r="Y59" i="4"/>
  <c r="Y58" i="4"/>
  <c r="Y57" i="4"/>
  <c r="Y56" i="4"/>
  <c r="Y55" i="4"/>
  <c r="Y54" i="4"/>
  <c r="Y53" i="4"/>
  <c r="Y52" i="4"/>
  <c r="Y51" i="4"/>
  <c r="Y47" i="4"/>
  <c r="Y45" i="4"/>
  <c r="Y44" i="4"/>
  <c r="Y43" i="4"/>
  <c r="Y41" i="4"/>
  <c r="Y40" i="4"/>
  <c r="Y39" i="4"/>
  <c r="Y36" i="4"/>
  <c r="Y35" i="4"/>
  <c r="Y34" i="4"/>
  <c r="Y33" i="4"/>
  <c r="Y32" i="4"/>
  <c r="Y31" i="4"/>
  <c r="Y30" i="4"/>
  <c r="Y29" i="4"/>
  <c r="Y28" i="4"/>
  <c r="Y27" i="4"/>
  <c r="Y26" i="4"/>
  <c r="Y25" i="4"/>
  <c r="Y24" i="4"/>
  <c r="Y23" i="4"/>
  <c r="Y21" i="4"/>
  <c r="Y20" i="4"/>
  <c r="Y19" i="4"/>
  <c r="Y18" i="4"/>
  <c r="Y17" i="4"/>
  <c r="Y12" i="4"/>
  <c r="Y13" i="4"/>
  <c r="Y14" i="4"/>
  <c r="B7" i="246"/>
  <c r="N354" i="239" l="1"/>
  <c r="L16" i="275"/>
  <c r="T19" i="37"/>
  <c r="Z27" i="282"/>
  <c r="G27" i="282" s="1"/>
  <c r="P27" i="282"/>
  <c r="E27" i="282" s="1"/>
  <c r="P19" i="282"/>
  <c r="E19" i="282" s="1"/>
  <c r="Z19" i="282"/>
  <c r="G19" i="282" s="1"/>
  <c r="Z36" i="282"/>
  <c r="G36" i="282" s="1"/>
  <c r="P36" i="282"/>
  <c r="E36" i="282" s="1"/>
  <c r="Z51" i="282"/>
  <c r="P51" i="282"/>
  <c r="E51" i="282" s="1"/>
  <c r="Z59" i="282"/>
  <c r="G59" i="282" s="1"/>
  <c r="P59" i="282"/>
  <c r="E59" i="282" s="1"/>
  <c r="Z67" i="282"/>
  <c r="G67" i="282" s="1"/>
  <c r="P67" i="282"/>
  <c r="E67" i="282" s="1"/>
  <c r="Z47" i="282"/>
  <c r="G47" i="282" s="1"/>
  <c r="P47" i="282"/>
  <c r="E47" i="282" s="1"/>
  <c r="P28" i="282"/>
  <c r="E28" i="282" s="1"/>
  <c r="Z28" i="282"/>
  <c r="P20" i="282"/>
  <c r="E20" i="282" s="1"/>
  <c r="Z20" i="282"/>
  <c r="G20" i="282" s="1"/>
  <c r="P29" i="282"/>
  <c r="E29" i="282" s="1"/>
  <c r="Z29" i="282"/>
  <c r="G29" i="282" s="1"/>
  <c r="Z39" i="282"/>
  <c r="G39" i="282" s="1"/>
  <c r="P39" i="282"/>
  <c r="E39" i="282" s="1"/>
  <c r="Z52" i="282"/>
  <c r="G52" i="282" s="1"/>
  <c r="P52" i="282"/>
  <c r="E52" i="282" s="1"/>
  <c r="Z60" i="282"/>
  <c r="G60" i="282" s="1"/>
  <c r="P60" i="282"/>
  <c r="E60" i="282" s="1"/>
  <c r="Z21" i="282"/>
  <c r="G21" i="282" s="1"/>
  <c r="P21" i="282"/>
  <c r="E21" i="282" s="1"/>
  <c r="Z30" i="282"/>
  <c r="G30" i="282" s="1"/>
  <c r="P30" i="282"/>
  <c r="E30" i="282" s="1"/>
  <c r="Z40" i="282"/>
  <c r="G40" i="282" s="1"/>
  <c r="P40" i="282"/>
  <c r="E40" i="282" s="1"/>
  <c r="Z53" i="282"/>
  <c r="G53" i="282" s="1"/>
  <c r="P53" i="282"/>
  <c r="E53" i="282" s="1"/>
  <c r="P61" i="282"/>
  <c r="E61" i="282" s="1"/>
  <c r="Z61" i="282"/>
  <c r="G61" i="282" s="1"/>
  <c r="Z66" i="282"/>
  <c r="G66" i="282" s="1"/>
  <c r="P66" i="282"/>
  <c r="E66" i="282" s="1"/>
  <c r="Z14" i="282"/>
  <c r="G14" i="282" s="1"/>
  <c r="P14" i="282"/>
  <c r="E14" i="282" s="1"/>
  <c r="Z31" i="282"/>
  <c r="G31" i="282" s="1"/>
  <c r="P31" i="282"/>
  <c r="E31" i="282" s="1"/>
  <c r="Z41" i="282"/>
  <c r="G41" i="282" s="1"/>
  <c r="P41" i="282"/>
  <c r="E41" i="282" s="1"/>
  <c r="Z54" i="282"/>
  <c r="G54" i="282" s="1"/>
  <c r="P54" i="282"/>
  <c r="E54" i="282" s="1"/>
  <c r="Z62" i="282"/>
  <c r="G62" i="282" s="1"/>
  <c r="P62" i="282"/>
  <c r="E62" i="282" s="1"/>
  <c r="Z35" i="282"/>
  <c r="G35" i="282" s="1"/>
  <c r="P35" i="282"/>
  <c r="E35" i="282" s="1"/>
  <c r="Z13" i="282"/>
  <c r="G13" i="282" s="1"/>
  <c r="P13" i="282"/>
  <c r="E13" i="282" s="1"/>
  <c r="Z32" i="282"/>
  <c r="G32" i="282" s="1"/>
  <c r="P32" i="282"/>
  <c r="E32" i="282" s="1"/>
  <c r="Z55" i="282"/>
  <c r="G55" i="282" s="1"/>
  <c r="P55" i="282"/>
  <c r="E55" i="282" s="1"/>
  <c r="Z63" i="282"/>
  <c r="G63" i="282" s="1"/>
  <c r="P63" i="282"/>
  <c r="E63" i="282" s="1"/>
  <c r="Z58" i="282"/>
  <c r="G58" i="282" s="1"/>
  <c r="P58" i="282"/>
  <c r="E58" i="282" s="1"/>
  <c r="Z12" i="282"/>
  <c r="G12" i="282" s="1"/>
  <c r="P12" i="282"/>
  <c r="E12" i="282" s="1"/>
  <c r="P25" i="282"/>
  <c r="E25" i="282" s="1"/>
  <c r="N42" i="282"/>
  <c r="P42" i="282" s="1"/>
  <c r="Z33" i="282"/>
  <c r="G33" i="282" s="1"/>
  <c r="P33" i="282"/>
  <c r="E33" i="282" s="1"/>
  <c r="Z56" i="282"/>
  <c r="G56" i="282" s="1"/>
  <c r="P56" i="282"/>
  <c r="E56" i="282" s="1"/>
  <c r="Z64" i="282"/>
  <c r="G64" i="282" s="1"/>
  <c r="P64" i="282"/>
  <c r="E64" i="282" s="1"/>
  <c r="N22" i="282"/>
  <c r="P22" i="282" s="1"/>
  <c r="P18" i="282"/>
  <c r="E18" i="282" s="1"/>
  <c r="Z26" i="282"/>
  <c r="G26" i="282" s="1"/>
  <c r="P26" i="282"/>
  <c r="E26" i="282" s="1"/>
  <c r="Z34" i="282"/>
  <c r="G34" i="282" s="1"/>
  <c r="P34" i="282"/>
  <c r="E34" i="282" s="1"/>
  <c r="N68" i="282"/>
  <c r="P68" i="282" s="1"/>
  <c r="P45" i="282"/>
  <c r="E45" i="282" s="1"/>
  <c r="Z57" i="282"/>
  <c r="G57" i="282" s="1"/>
  <c r="P57" i="282"/>
  <c r="E57" i="282" s="1"/>
  <c r="Z65" i="282"/>
  <c r="G65" i="282" s="1"/>
  <c r="P65" i="282"/>
  <c r="E65" i="282" s="1"/>
  <c r="L80" i="242"/>
  <c r="L79" i="242"/>
  <c r="L78" i="242"/>
  <c r="L77" i="242"/>
  <c r="J63" i="266"/>
  <c r="J72" i="266" s="1"/>
  <c r="H52" i="279"/>
  <c r="E51" i="279"/>
  <c r="M51" i="4" s="1"/>
  <c r="L17" i="274"/>
  <c r="L25" i="274"/>
  <c r="L27" i="274"/>
  <c r="L20" i="274"/>
  <c r="L21" i="274"/>
  <c r="L23" i="274"/>
  <c r="L16" i="274"/>
  <c r="L18" i="274"/>
  <c r="L26" i="274"/>
  <c r="L19" i="274"/>
  <c r="L28" i="274"/>
  <c r="L22" i="274"/>
  <c r="L24" i="274"/>
  <c r="L29" i="274"/>
  <c r="L9" i="275"/>
  <c r="L11" i="275"/>
  <c r="G25" i="228"/>
  <c r="AD68" i="4"/>
  <c r="AD22" i="4"/>
  <c r="AD42" i="4"/>
  <c r="AB11" i="275" l="1"/>
  <c r="AC11" i="275"/>
  <c r="Z45" i="282"/>
  <c r="G45" i="282" s="1"/>
  <c r="X68" i="282"/>
  <c r="Z25" i="282"/>
  <c r="G25" i="282" s="1"/>
  <c r="X42" i="282"/>
  <c r="G51" i="282"/>
  <c r="G28" i="282"/>
  <c r="E42" i="282"/>
  <c r="E22" i="282"/>
  <c r="E68" i="282"/>
  <c r="Z18" i="282"/>
  <c r="G18" i="282" s="1"/>
  <c r="G22" i="282" s="1"/>
  <c r="X22" i="282"/>
  <c r="Z22" i="282" s="1"/>
  <c r="H53" i="279"/>
  <c r="E52" i="279"/>
  <c r="M52" i="4" s="1"/>
  <c r="I68" i="4"/>
  <c r="AD11" i="275" l="1"/>
  <c r="Z42" i="282"/>
  <c r="Z68" i="282"/>
  <c r="G68" i="282"/>
  <c r="G42" i="282"/>
  <c r="H54" i="279"/>
  <c r="E53" i="279"/>
  <c r="M53" i="4" s="1"/>
  <c r="E35" i="4"/>
  <c r="Q36" i="4"/>
  <c r="Q37" i="4" s="1"/>
  <c r="R16" i="2"/>
  <c r="R25" i="2" s="1"/>
  <c r="H55" i="279" l="1"/>
  <c r="E54" i="279"/>
  <c r="M54" i="4" s="1"/>
  <c r="Q38" i="4"/>
  <c r="E37" i="4"/>
  <c r="E36" i="4"/>
  <c r="A12" i="236"/>
  <c r="A13" i="236" s="1"/>
  <c r="A14" i="236" s="1"/>
  <c r="A15" i="236" s="1"/>
  <c r="A16" i="236" s="1"/>
  <c r="A17" i="236" s="1"/>
  <c r="A18" i="236" s="1"/>
  <c r="A19" i="236" s="1"/>
  <c r="A20" i="236" s="1"/>
  <c r="A21" i="236" s="1"/>
  <c r="A22" i="236" s="1"/>
  <c r="A23" i="236" s="1"/>
  <c r="E55" i="279" l="1"/>
  <c r="M55" i="4" s="1"/>
  <c r="H56" i="279"/>
  <c r="Q39" i="4"/>
  <c r="E38" i="4"/>
  <c r="I12" i="204"/>
  <c r="H12" i="204"/>
  <c r="K10" i="89"/>
  <c r="F10" i="89" s="1"/>
  <c r="K12" i="89"/>
  <c r="F12" i="89" s="1"/>
  <c r="K13" i="89"/>
  <c r="F13" i="89" s="1"/>
  <c r="K14" i="89"/>
  <c r="F14" i="89" s="1"/>
  <c r="K15" i="89"/>
  <c r="F15" i="89" s="1"/>
  <c r="K16" i="89"/>
  <c r="F16" i="89" s="1"/>
  <c r="K19" i="89"/>
  <c r="F19" i="89" s="1"/>
  <c r="K21" i="89"/>
  <c r="F21" i="89" s="1"/>
  <c r="K28" i="89"/>
  <c r="F28" i="89" s="1"/>
  <c r="K32" i="89"/>
  <c r="F32" i="89" s="1"/>
  <c r="K33" i="89"/>
  <c r="F33" i="89" s="1"/>
  <c r="K34" i="89"/>
  <c r="F34" i="89" s="1"/>
  <c r="K35" i="89"/>
  <c r="F35" i="89" s="1"/>
  <c r="K36" i="89"/>
  <c r="F36" i="89" s="1"/>
  <c r="K37" i="89"/>
  <c r="F37" i="89" s="1"/>
  <c r="K38" i="89"/>
  <c r="F38" i="89" s="1"/>
  <c r="K39" i="89"/>
  <c r="F39" i="89" s="1"/>
  <c r="K40" i="89"/>
  <c r="F40" i="89" s="1"/>
  <c r="K41" i="89"/>
  <c r="F41" i="89" s="1"/>
  <c r="K45" i="89"/>
  <c r="F45" i="89" s="1"/>
  <c r="K46" i="89"/>
  <c r="F46" i="89" s="1"/>
  <c r="K47" i="89"/>
  <c r="F47" i="89" s="1"/>
  <c r="K48" i="89"/>
  <c r="F48" i="89" s="1"/>
  <c r="K49" i="89"/>
  <c r="F49" i="89" s="1"/>
  <c r="K50" i="89"/>
  <c r="F50" i="89" s="1"/>
  <c r="K9" i="89"/>
  <c r="F9" i="89" s="1"/>
  <c r="I41" i="204"/>
  <c r="H41" i="204"/>
  <c r="I32" i="204"/>
  <c r="H32" i="204"/>
  <c r="J19" i="204"/>
  <c r="F19" i="204" s="1"/>
  <c r="J11" i="204"/>
  <c r="F11" i="204" s="1"/>
  <c r="J15" i="204"/>
  <c r="F15" i="204" s="1"/>
  <c r="J22" i="204"/>
  <c r="F22" i="204" s="1"/>
  <c r="J23" i="204"/>
  <c r="F23" i="204" s="1"/>
  <c r="J24" i="204"/>
  <c r="F24" i="204" s="1"/>
  <c r="J25" i="204"/>
  <c r="F25" i="204" s="1"/>
  <c r="J26" i="204"/>
  <c r="F26" i="204" s="1"/>
  <c r="J27" i="204"/>
  <c r="F27" i="204" s="1"/>
  <c r="J28" i="204"/>
  <c r="F28" i="204" s="1"/>
  <c r="J29" i="204"/>
  <c r="F29" i="204" s="1"/>
  <c r="J31" i="204"/>
  <c r="F31" i="204" s="1"/>
  <c r="J35" i="204"/>
  <c r="F35" i="204" s="1"/>
  <c r="J36" i="204"/>
  <c r="F36" i="204" s="1"/>
  <c r="J37" i="204"/>
  <c r="F37" i="204" s="1"/>
  <c r="J38" i="204"/>
  <c r="F38" i="204" s="1"/>
  <c r="J39" i="204"/>
  <c r="F39" i="204" s="1"/>
  <c r="J40" i="204"/>
  <c r="F40" i="204" s="1"/>
  <c r="H44" i="204" l="1"/>
  <c r="I44" i="204"/>
  <c r="H57" i="279"/>
  <c r="E56" i="279"/>
  <c r="M56" i="4" s="1"/>
  <c r="Q40" i="4"/>
  <c r="E39" i="4"/>
  <c r="J41" i="204"/>
  <c r="J12" i="204"/>
  <c r="J32" i="204"/>
  <c r="J51" i="89"/>
  <c r="I51" i="89"/>
  <c r="I42" i="89"/>
  <c r="J42" i="89"/>
  <c r="I18" i="89"/>
  <c r="I26" i="89" s="1"/>
  <c r="J18" i="89"/>
  <c r="J26" i="89" s="1"/>
  <c r="H58" i="279" l="1"/>
  <c r="E57" i="279"/>
  <c r="M57" i="4" s="1"/>
  <c r="Q41" i="4"/>
  <c r="E40" i="4"/>
  <c r="J44" i="204"/>
  <c r="J53" i="89"/>
  <c r="K26" i="89"/>
  <c r="K51" i="89"/>
  <c r="I53" i="89"/>
  <c r="K18" i="89"/>
  <c r="F18" i="89" s="1"/>
  <c r="K42" i="89"/>
  <c r="I53" i="204" l="1"/>
  <c r="H53" i="204"/>
  <c r="H59" i="279"/>
  <c r="E58" i="279"/>
  <c r="M58" i="4" s="1"/>
  <c r="Q42" i="4"/>
  <c r="Q43" i="4" s="1"/>
  <c r="Q44" i="4" s="1"/>
  <c r="Q45" i="4" s="1"/>
  <c r="E41" i="4"/>
  <c r="E42" i="4" s="1"/>
  <c r="K53" i="89"/>
  <c r="B41" i="274"/>
  <c r="B40" i="274"/>
  <c r="H60" i="279" l="1"/>
  <c r="E59" i="279"/>
  <c r="M59" i="4" s="1"/>
  <c r="H22" i="11"/>
  <c r="Q46" i="4"/>
  <c r="E45" i="4"/>
  <c r="C110" i="277"/>
  <c r="B110" i="277"/>
  <c r="H61" i="279" l="1"/>
  <c r="E60" i="279"/>
  <c r="M60" i="4" s="1"/>
  <c r="Q47" i="4"/>
  <c r="Q48" i="4" s="1"/>
  <c r="E46" i="4"/>
  <c r="Z43" i="274"/>
  <c r="Y44" i="274"/>
  <c r="Z44" i="274" s="1"/>
  <c r="H62" i="279" l="1"/>
  <c r="E61" i="279"/>
  <c r="M61" i="4" s="1"/>
  <c r="Q49" i="4"/>
  <c r="E49" i="4" s="1"/>
  <c r="E48" i="4"/>
  <c r="E47" i="4"/>
  <c r="T34" i="37"/>
  <c r="T74" i="37" s="1"/>
  <c r="H63" i="279" l="1"/>
  <c r="E62" i="279"/>
  <c r="M62" i="4" s="1"/>
  <c r="Q50" i="4"/>
  <c r="E63" i="279" l="1"/>
  <c r="M63" i="4" s="1"/>
  <c r="H64" i="279"/>
  <c r="Q51" i="4"/>
  <c r="E50" i="4"/>
  <c r="H65" i="279" l="1"/>
  <c r="E64" i="279"/>
  <c r="M64" i="4" s="1"/>
  <c r="Q52" i="4"/>
  <c r="E51" i="4"/>
  <c r="Q34" i="37"/>
  <c r="Q74" i="37" s="1"/>
  <c r="E65" i="279" l="1"/>
  <c r="H66" i="279"/>
  <c r="Q53" i="4"/>
  <c r="Q54" i="4" s="1"/>
  <c r="E52" i="4"/>
  <c r="H67" i="279" l="1"/>
  <c r="E66" i="279"/>
  <c r="M66" i="4" s="1"/>
  <c r="M65" i="4"/>
  <c r="E53" i="4"/>
  <c r="Y29" i="274"/>
  <c r="Z29" i="274" s="1"/>
  <c r="H68" i="279" l="1"/>
  <c r="H69" i="279" s="1"/>
  <c r="H70" i="279" s="1"/>
  <c r="H71" i="279" s="1"/>
  <c r="E67" i="279"/>
  <c r="M67" i="4" s="1"/>
  <c r="M68" i="4" s="1"/>
  <c r="Y11" i="4"/>
  <c r="N15" i="282" l="1"/>
  <c r="N79" i="282" s="1"/>
  <c r="P79" i="282" s="1"/>
  <c r="P11" i="282"/>
  <c r="H72" i="279"/>
  <c r="E71" i="279"/>
  <c r="E70" i="279"/>
  <c r="E68" i="279"/>
  <c r="H21" i="198" s="1"/>
  <c r="Q55" i="4"/>
  <c r="E54" i="4"/>
  <c r="A3" i="89"/>
  <c r="A3" i="204"/>
  <c r="A3" i="16"/>
  <c r="H24" i="198" l="1"/>
  <c r="M71" i="4"/>
  <c r="H23" i="198"/>
  <c r="M70" i="4"/>
  <c r="E11" i="282"/>
  <c r="E15" i="282" s="1"/>
  <c r="E79" i="282" s="1"/>
  <c r="E93" i="282" s="1"/>
  <c r="P15" i="282"/>
  <c r="X15" i="282"/>
  <c r="X79" i="282" s="1"/>
  <c r="Z79" i="282" s="1"/>
  <c r="Z11" i="282"/>
  <c r="H73" i="279"/>
  <c r="E72" i="279"/>
  <c r="H26" i="198" s="1"/>
  <c r="Q56" i="4"/>
  <c r="E55" i="4"/>
  <c r="K8" i="16"/>
  <c r="F8" i="16" s="1"/>
  <c r="K9" i="16"/>
  <c r="F9" i="16" s="1"/>
  <c r="K10" i="16"/>
  <c r="K13" i="16"/>
  <c r="F13" i="16" s="1"/>
  <c r="K14" i="16"/>
  <c r="F14" i="16" s="1"/>
  <c r="K15" i="16"/>
  <c r="F15" i="16" s="1"/>
  <c r="K16" i="16"/>
  <c r="F16" i="16" s="1"/>
  <c r="K17" i="16"/>
  <c r="F17" i="16" s="1"/>
  <c r="K18" i="16"/>
  <c r="F18" i="16" s="1"/>
  <c r="K19" i="16"/>
  <c r="F19" i="16" s="1"/>
  <c r="K20" i="16"/>
  <c r="F20" i="16" s="1"/>
  <c r="K21" i="16"/>
  <c r="F21" i="16" s="1"/>
  <c r="K22" i="16"/>
  <c r="F22" i="16" s="1"/>
  <c r="K23" i="16"/>
  <c r="K25" i="16"/>
  <c r="F25" i="16" s="1"/>
  <c r="K26" i="16"/>
  <c r="F26" i="16" s="1"/>
  <c r="K27" i="16"/>
  <c r="K29" i="16"/>
  <c r="K31" i="16"/>
  <c r="F31" i="16" s="1"/>
  <c r="K32" i="16"/>
  <c r="F32" i="16" s="1"/>
  <c r="K33" i="16"/>
  <c r="F33" i="16" s="1"/>
  <c r="K34" i="16"/>
  <c r="K36" i="16"/>
  <c r="K38" i="16"/>
  <c r="F38" i="16" s="1"/>
  <c r="M72" i="4" l="1"/>
  <c r="Z15" i="282"/>
  <c r="G11" i="282"/>
  <c r="G15" i="282" s="1"/>
  <c r="G79" i="282" s="1"/>
  <c r="H74" i="279"/>
  <c r="E73" i="279"/>
  <c r="Q57" i="4"/>
  <c r="E56" i="4"/>
  <c r="H27" i="198" l="1"/>
  <c r="M73" i="4"/>
  <c r="E74" i="279"/>
  <c r="M74" i="4" s="1"/>
  <c r="H75" i="279"/>
  <c r="H76" i="279" s="1"/>
  <c r="H77" i="279" s="1"/>
  <c r="Q58" i="4"/>
  <c r="E57" i="4"/>
  <c r="M75" i="4" l="1"/>
  <c r="E75" i="279"/>
  <c r="E77" i="279" s="1"/>
  <c r="C16" i="275" s="1"/>
  <c r="H28" i="198"/>
  <c r="H47" i="198" s="1"/>
  <c r="Q59" i="4"/>
  <c r="E58" i="4"/>
  <c r="E59" i="4" l="1"/>
  <c r="Q60" i="4"/>
  <c r="M42" i="4"/>
  <c r="M15" i="4"/>
  <c r="Q61" i="4" l="1"/>
  <c r="E60" i="4"/>
  <c r="E61" i="4" l="1"/>
  <c r="Q62" i="4"/>
  <c r="Q63" i="4" l="1"/>
  <c r="E62" i="4"/>
  <c r="Q64" i="4" l="1"/>
  <c r="Q65" i="4" s="1"/>
  <c r="Q66" i="4" s="1"/>
  <c r="E63" i="4"/>
  <c r="E64" i="4" l="1"/>
  <c r="K72" i="266"/>
  <c r="D8" i="271" l="1"/>
  <c r="E65" i="4" l="1"/>
  <c r="Q67" i="4" l="1"/>
  <c r="E66" i="4"/>
  <c r="AC68" i="4"/>
  <c r="AB68" i="4"/>
  <c r="AD8" i="4"/>
  <c r="AC8" i="4"/>
  <c r="AB8" i="4"/>
  <c r="AA7" i="4"/>
  <c r="AA8" i="4" s="1"/>
  <c r="AA9" i="4" s="1"/>
  <c r="AA10" i="4" s="1"/>
  <c r="AA11" i="4" s="1"/>
  <c r="AA12" i="4" s="1"/>
  <c r="AA13" i="4" s="1"/>
  <c r="AA14" i="4" s="1"/>
  <c r="AA15" i="4" s="1"/>
  <c r="AA16" i="4" s="1"/>
  <c r="AA17" i="4" s="1"/>
  <c r="X31" i="198"/>
  <c r="W31" i="198"/>
  <c r="Y9" i="198"/>
  <c r="X9" i="198"/>
  <c r="W9" i="198"/>
  <c r="Y8" i="198"/>
  <c r="X8" i="198"/>
  <c r="W8" i="198"/>
  <c r="V8" i="198"/>
  <c r="V9" i="198" s="1"/>
  <c r="V10" i="198" s="1"/>
  <c r="V11" i="198" s="1"/>
  <c r="V12" i="198" s="1"/>
  <c r="V13" i="198" s="1"/>
  <c r="V14" i="198" s="1"/>
  <c r="V15" i="198" s="1"/>
  <c r="V16" i="198" s="1"/>
  <c r="V17" i="198" s="1"/>
  <c r="V18" i="198" s="1"/>
  <c r="V19" i="198" s="1"/>
  <c r="V20" i="198" s="1"/>
  <c r="V21" i="198" s="1"/>
  <c r="V22" i="198" s="1"/>
  <c r="V23" i="198" s="1"/>
  <c r="V24" i="198" s="1"/>
  <c r="V25" i="198" s="1"/>
  <c r="V26" i="198" s="1"/>
  <c r="V27" i="198" s="1"/>
  <c r="V28" i="198" s="1"/>
  <c r="V29" i="198" s="1"/>
  <c r="V30" i="198" s="1"/>
  <c r="F26" i="198" l="1"/>
  <c r="F27" i="198"/>
  <c r="F28" i="198"/>
  <c r="F29" i="198"/>
  <c r="F25" i="198"/>
  <c r="F24" i="198"/>
  <c r="AA18" i="4"/>
  <c r="AA19" i="4" s="1"/>
  <c r="Q68" i="4"/>
  <c r="Q69" i="4" s="1"/>
  <c r="Q70" i="4" s="1"/>
  <c r="Q71" i="4" s="1"/>
  <c r="E67" i="4"/>
  <c r="E68" i="4" s="1"/>
  <c r="F23" i="198"/>
  <c r="AD15" i="4"/>
  <c r="Y31" i="198"/>
  <c r="Q72" i="4" l="1"/>
  <c r="E71" i="4"/>
  <c r="H24" i="11"/>
  <c r="AA20" i="4"/>
  <c r="E70" i="4"/>
  <c r="F31" i="198"/>
  <c r="Q73" i="4" l="1"/>
  <c r="E72" i="4"/>
  <c r="AA21" i="4"/>
  <c r="AA22" i="4" s="1"/>
  <c r="AA23" i="4" s="1"/>
  <c r="AA24" i="4" s="1"/>
  <c r="AA25" i="4" s="1"/>
  <c r="AA26" i="4" s="1"/>
  <c r="AA27" i="4" s="1"/>
  <c r="AA28" i="4" s="1"/>
  <c r="AA29" i="4" s="1"/>
  <c r="AA30" i="4" s="1"/>
  <c r="Q74" i="4" l="1"/>
  <c r="E73" i="4"/>
  <c r="AA31" i="4"/>
  <c r="AA32" i="4" s="1"/>
  <c r="AA33" i="4" s="1"/>
  <c r="AA34" i="4" s="1"/>
  <c r="I42" i="4"/>
  <c r="I22" i="4"/>
  <c r="I15" i="4"/>
  <c r="P6" i="264"/>
  <c r="O6" i="264"/>
  <c r="N6" i="264"/>
  <c r="P5" i="264"/>
  <c r="O5" i="264"/>
  <c r="N5" i="264"/>
  <c r="E74" i="4" l="1"/>
  <c r="E75" i="4" s="1"/>
  <c r="Q75" i="4"/>
  <c r="Q76" i="4" s="1"/>
  <c r="Q77" i="4" s="1"/>
  <c r="AA35" i="4"/>
  <c r="AA36" i="4" s="1"/>
  <c r="F8" i="264"/>
  <c r="C293" i="239"/>
  <c r="C290" i="239"/>
  <c r="C291" i="239"/>
  <c r="C292" i="239"/>
  <c r="C289" i="239"/>
  <c r="H26" i="11" l="1"/>
  <c r="E77" i="4"/>
  <c r="AA37" i="4"/>
  <c r="AA38" i="4" s="1"/>
  <c r="AA39" i="4" s="1"/>
  <c r="AA40" i="4" s="1"/>
  <c r="AA41" i="4" s="1"/>
  <c r="AA42" i="4" s="1"/>
  <c r="AA43" i="4" s="1"/>
  <c r="AA44" i="4" s="1"/>
  <c r="AA45" i="4" s="1"/>
  <c r="AA46" i="4" s="1"/>
  <c r="AA47" i="4" s="1"/>
  <c r="F33" i="2"/>
  <c r="K33" i="2"/>
  <c r="L33" i="2"/>
  <c r="N33" i="2"/>
  <c r="Y12" i="2"/>
  <c r="AA48" i="4" l="1"/>
  <c r="AA49" i="4" s="1"/>
  <c r="AA50" i="4" s="1"/>
  <c r="AA51" i="4" s="1"/>
  <c r="AA52" i="4" s="1"/>
  <c r="AA53" i="4" s="1"/>
  <c r="AA54" i="4" l="1"/>
  <c r="AA55" i="4" s="1"/>
  <c r="AA56" i="4" s="1"/>
  <c r="AA57" i="4" s="1"/>
  <c r="AA58" i="4" s="1"/>
  <c r="AA59" i="4" s="1"/>
  <c r="AA60" i="4" s="1"/>
  <c r="AA61" i="4" s="1"/>
  <c r="AA62" i="4" s="1"/>
  <c r="AA63" i="4" s="1"/>
  <c r="AA64" i="4" s="1"/>
  <c r="B32" i="242"/>
  <c r="B33" i="242"/>
  <c r="B34" i="242"/>
  <c r="B35" i="242"/>
  <c r="B36" i="242"/>
  <c r="B37" i="242"/>
  <c r="B22" i="242"/>
  <c r="B66" i="242" s="1"/>
  <c r="B23" i="242"/>
  <c r="B67" i="242" s="1"/>
  <c r="B25" i="242"/>
  <c r="B69" i="242" s="1"/>
  <c r="AA65" i="4" l="1"/>
  <c r="AA66" i="4" s="1"/>
  <c r="AA67" i="4" s="1"/>
  <c r="AA68" i="4" s="1"/>
  <c r="AA69" i="4" s="1"/>
  <c r="AA70" i="4" s="1"/>
  <c r="B42" i="274"/>
  <c r="B31" i="242"/>
  <c r="B21" i="242"/>
  <c r="B44" i="274"/>
  <c r="B65" i="242" l="1"/>
  <c r="G43" i="274"/>
  <c r="H43" i="274"/>
  <c r="G45" i="274"/>
  <c r="H45" i="274"/>
  <c r="G41" i="274"/>
  <c r="H41" i="274"/>
  <c r="G40" i="274"/>
  <c r="H40" i="274"/>
  <c r="G44" i="274"/>
  <c r="H44" i="274"/>
  <c r="G42" i="274"/>
  <c r="H42" i="274"/>
  <c r="AA71" i="4"/>
  <c r="AA72" i="4" s="1"/>
  <c r="AA73" i="4" s="1"/>
  <c r="AA74" i="4" s="1"/>
  <c r="AA75" i="4" s="1"/>
  <c r="A1" i="261"/>
  <c r="AA76" i="4" l="1"/>
  <c r="AA77" i="4" s="1"/>
  <c r="A3" i="162"/>
  <c r="A3" i="261"/>
  <c r="A26" i="222" l="1"/>
  <c r="A27" i="222" s="1"/>
  <c r="A28" i="222" s="1"/>
  <c r="J60" i="40" l="1"/>
  <c r="J69" i="40"/>
  <c r="J83" i="40"/>
  <c r="J93" i="40"/>
  <c r="J110" i="40"/>
  <c r="J123" i="40"/>
  <c r="J134" i="40"/>
  <c r="J142" i="40"/>
  <c r="J150" i="40"/>
  <c r="J23" i="40"/>
  <c r="J33" i="40"/>
  <c r="J71" i="40" l="1"/>
  <c r="J167" i="40"/>
  <c r="J171" i="40" s="1"/>
  <c r="J95" i="40"/>
  <c r="J125" i="40"/>
  <c r="B50" i="239" l="1"/>
  <c r="C50" i="239"/>
  <c r="B51" i="239"/>
  <c r="C51" i="239"/>
  <c r="B52" i="239"/>
  <c r="C52" i="239"/>
  <c r="B53" i="239"/>
  <c r="C53" i="239"/>
  <c r="B54" i="239"/>
  <c r="C54" i="239"/>
  <c r="B44" i="239"/>
  <c r="C44" i="239"/>
  <c r="B45" i="239"/>
  <c r="C45" i="239"/>
  <c r="B46" i="239"/>
  <c r="C46" i="239"/>
  <c r="B47" i="239"/>
  <c r="C47" i="239"/>
  <c r="B48" i="239"/>
  <c r="C48" i="239"/>
  <c r="B31" i="239"/>
  <c r="C31" i="239"/>
  <c r="B25" i="239"/>
  <c r="C25" i="239"/>
  <c r="B16" i="239"/>
  <c r="C16" i="239"/>
  <c r="C39" i="239"/>
  <c r="C41" i="239"/>
  <c r="C43" i="239"/>
  <c r="C49" i="239"/>
  <c r="C55" i="239"/>
  <c r="C56" i="239"/>
  <c r="C57" i="239"/>
  <c r="C58" i="239"/>
  <c r="C59" i="239"/>
  <c r="C60" i="239"/>
  <c r="C61" i="239"/>
  <c r="C21" i="239"/>
  <c r="C22" i="239"/>
  <c r="C23" i="239"/>
  <c r="C24" i="239"/>
  <c r="C26" i="239"/>
  <c r="C27" i="239"/>
  <c r="C28" i="239"/>
  <c r="C29" i="239"/>
  <c r="C30" i="239"/>
  <c r="C32" i="239"/>
  <c r="C33" i="239"/>
  <c r="C34" i="239"/>
  <c r="C35" i="239"/>
  <c r="C36" i="239"/>
  <c r="C15" i="239"/>
  <c r="C17" i="239"/>
  <c r="C18" i="239"/>
  <c r="C9" i="239"/>
  <c r="C10" i="239"/>
  <c r="C11" i="239"/>
  <c r="C12" i="239"/>
  <c r="T1" i="2" l="1"/>
  <c r="M9" i="256" l="1"/>
  <c r="M10" i="256" s="1"/>
  <c r="M11" i="256" s="1"/>
  <c r="M12" i="256" s="1"/>
  <c r="M13" i="256" s="1"/>
  <c r="M14" i="256" s="1"/>
  <c r="M15" i="256" s="1"/>
  <c r="M16" i="256" s="1"/>
  <c r="M17" i="256" s="1"/>
  <c r="M18" i="256" s="1"/>
  <c r="M19" i="256" s="1"/>
  <c r="M20" i="256" s="1"/>
  <c r="M21" i="256" s="1"/>
  <c r="M22" i="256" s="1"/>
  <c r="M23" i="256" s="1"/>
  <c r="M24" i="256" s="1"/>
  <c r="M25" i="256" s="1"/>
  <c r="M26" i="256" s="1"/>
  <c r="M27" i="256" s="1"/>
  <c r="C118" i="239" l="1"/>
  <c r="C119" i="239"/>
  <c r="C120" i="239"/>
  <c r="C121" i="239"/>
  <c r="C122" i="239"/>
  <c r="C123" i="239"/>
  <c r="C117" i="239"/>
  <c r="C105" i="239"/>
  <c r="C106" i="239"/>
  <c r="C107" i="239"/>
  <c r="C108" i="239"/>
  <c r="C109" i="239"/>
  <c r="C110" i="239"/>
  <c r="C111" i="239"/>
  <c r="C112" i="239"/>
  <c r="C113" i="239"/>
  <c r="C104" i="239"/>
  <c r="A10" i="275" l="1"/>
  <c r="A11" i="275" l="1"/>
  <c r="A15" i="275" s="1"/>
  <c r="A16" i="275" s="1"/>
  <c r="A17" i="275" s="1"/>
  <c r="A18" i="275" s="1"/>
  <c r="A19" i="275" s="1"/>
  <c r="A20" i="275" s="1"/>
  <c r="A21" i="275" s="1"/>
  <c r="AD7" i="275"/>
  <c r="AC7" i="275"/>
  <c r="AB7" i="275"/>
  <c r="AA7" i="275"/>
  <c r="AA8" i="275" s="1"/>
  <c r="AA9" i="275" s="1"/>
  <c r="AA10" i="275" s="1"/>
  <c r="AA11" i="275" s="1"/>
  <c r="AA12" i="275" s="1"/>
  <c r="AA13" i="275" s="1"/>
  <c r="AA14" i="275" s="1"/>
  <c r="AA15" i="275" s="1"/>
  <c r="AA16" i="275" s="1"/>
  <c r="AA17" i="275" s="1"/>
  <c r="AA18" i="275" s="1"/>
  <c r="AA19" i="275" s="1"/>
  <c r="AA20" i="275" s="1"/>
  <c r="AA21" i="275" s="1"/>
  <c r="AA22" i="275" s="1"/>
  <c r="Y7" i="275"/>
  <c r="X7" i="275"/>
  <c r="W7" i="275"/>
  <c r="V7" i="275"/>
  <c r="V8" i="275" s="1"/>
  <c r="V9" i="275" s="1"/>
  <c r="V10" i="275" s="1"/>
  <c r="V11" i="275" s="1"/>
  <c r="V12" i="275" s="1"/>
  <c r="V13" i="275" s="1"/>
  <c r="V14" i="275" s="1"/>
  <c r="V15" i="275" s="1"/>
  <c r="V16" i="275" s="1"/>
  <c r="V17" i="275" s="1"/>
  <c r="V18" i="275" s="1"/>
  <c r="V19" i="275" s="1"/>
  <c r="V20" i="275" s="1"/>
  <c r="V21" i="275" s="1"/>
  <c r="V22" i="275" s="1"/>
  <c r="T7" i="275"/>
  <c r="S7" i="275"/>
  <c r="R7" i="275"/>
  <c r="Q7" i="275"/>
  <c r="Q8" i="275" s="1"/>
  <c r="Q9" i="275" s="1"/>
  <c r="Q10" i="275" s="1"/>
  <c r="Q11" i="275" s="1"/>
  <c r="Q12" i="275" s="1"/>
  <c r="Q13" i="275" s="1"/>
  <c r="Q14" i="275" s="1"/>
  <c r="Q15" i="275" s="1"/>
  <c r="Q16" i="275" s="1"/>
  <c r="Q17" i="275" s="1"/>
  <c r="Q18" i="275" s="1"/>
  <c r="Q19" i="275" s="1"/>
  <c r="Q20" i="275" s="1"/>
  <c r="Q21" i="275" s="1"/>
  <c r="Q22" i="275" s="1"/>
  <c r="AD6" i="275"/>
  <c r="AC6" i="275"/>
  <c r="AB6" i="275"/>
  <c r="Y6" i="275"/>
  <c r="X6" i="275"/>
  <c r="W6" i="275"/>
  <c r="T6" i="275"/>
  <c r="S6" i="275"/>
  <c r="R6" i="275"/>
  <c r="A3" i="275"/>
  <c r="O2" i="275"/>
  <c r="A1" i="275"/>
  <c r="A9" i="274"/>
  <c r="A10" i="274" s="1"/>
  <c r="A11" i="274" s="1"/>
  <c r="A12" i="274" s="1"/>
  <c r="A13" i="274" s="1"/>
  <c r="A14" i="274" s="1"/>
  <c r="Z50" i="274"/>
  <c r="Y49" i="274"/>
  <c r="Z49" i="274" s="1"/>
  <c r="Y48" i="274"/>
  <c r="Z48" i="274" s="1"/>
  <c r="Y47" i="274"/>
  <c r="Z47" i="274" s="1"/>
  <c r="Y46" i="274"/>
  <c r="Z46" i="274" s="1"/>
  <c r="Z45" i="274"/>
  <c r="Y42" i="274"/>
  <c r="Z42" i="274" s="1"/>
  <c r="Y41" i="274"/>
  <c r="Z41" i="274" s="1"/>
  <c r="Z40" i="274"/>
  <c r="Y30" i="274"/>
  <c r="Z30" i="274" s="1"/>
  <c r="B30" i="274"/>
  <c r="B29" i="274"/>
  <c r="Y28" i="274"/>
  <c r="Z28" i="274" s="1"/>
  <c r="B28" i="274"/>
  <c r="Y26" i="274"/>
  <c r="Z26" i="274" s="1"/>
  <c r="B26" i="274"/>
  <c r="Y25" i="274"/>
  <c r="Z25" i="274" s="1"/>
  <c r="B25" i="274"/>
  <c r="Y23" i="274"/>
  <c r="Z23" i="274" s="1"/>
  <c r="B23" i="274"/>
  <c r="Y21" i="274"/>
  <c r="Z21" i="274" s="1"/>
  <c r="B21" i="274"/>
  <c r="Y20" i="274"/>
  <c r="Z20" i="274" s="1"/>
  <c r="B20" i="274"/>
  <c r="Y19" i="274"/>
  <c r="Z19" i="274" s="1"/>
  <c r="B19" i="274"/>
  <c r="Y18" i="274"/>
  <c r="Z18" i="274" s="1"/>
  <c r="Z17" i="274"/>
  <c r="Z15" i="274"/>
  <c r="Z14" i="274"/>
  <c r="Y13" i="274"/>
  <c r="Z13" i="274" s="1"/>
  <c r="Z12" i="274"/>
  <c r="B12" i="274"/>
  <c r="Y11" i="274"/>
  <c r="B11" i="274"/>
  <c r="AJ7" i="274"/>
  <c r="AI7" i="274"/>
  <c r="AH7" i="274"/>
  <c r="AG7" i="274"/>
  <c r="AG8" i="274" s="1"/>
  <c r="AG9" i="274" s="1"/>
  <c r="AG10" i="274" s="1"/>
  <c r="AG11" i="274" s="1"/>
  <c r="AG12" i="274" s="1"/>
  <c r="AG13" i="274" s="1"/>
  <c r="AG14" i="274" s="1"/>
  <c r="AG15" i="274" s="1"/>
  <c r="AG16" i="274" s="1"/>
  <c r="AG17" i="274" s="1"/>
  <c r="AG18" i="274" s="1"/>
  <c r="AG19" i="274" s="1"/>
  <c r="AG20" i="274" s="1"/>
  <c r="AG21" i="274" s="1"/>
  <c r="AG22" i="274" s="1"/>
  <c r="AG23" i="274" s="1"/>
  <c r="AG24" i="274" s="1"/>
  <c r="AG25" i="274" s="1"/>
  <c r="AG26" i="274" s="1"/>
  <c r="AG27" i="274" s="1"/>
  <c r="AG28" i="274" s="1"/>
  <c r="AG29" i="274" s="1"/>
  <c r="AG30" i="274" s="1"/>
  <c r="AG31" i="274" s="1"/>
  <c r="AG32" i="274" s="1"/>
  <c r="AG33" i="274" s="1"/>
  <c r="AG34" i="274" s="1"/>
  <c r="AG35" i="274" s="1"/>
  <c r="AG36" i="274" s="1"/>
  <c r="AG37" i="274" s="1"/>
  <c r="AG38" i="274" s="1"/>
  <c r="AG39" i="274" s="1"/>
  <c r="AG40" i="274" s="1"/>
  <c r="AE7" i="274"/>
  <c r="AD7" i="274"/>
  <c r="AC7" i="274"/>
  <c r="AB7" i="274"/>
  <c r="AB8" i="274" s="1"/>
  <c r="AB9" i="274" s="1"/>
  <c r="AB10" i="274" s="1"/>
  <c r="AB11" i="274" s="1"/>
  <c r="AB12" i="274" s="1"/>
  <c r="AB13" i="274" s="1"/>
  <c r="AB14" i="274" s="1"/>
  <c r="AB15" i="274" s="1"/>
  <c r="AB16" i="274" s="1"/>
  <c r="AB17" i="274" s="1"/>
  <c r="AB18" i="274" s="1"/>
  <c r="Z7" i="274"/>
  <c r="Y7" i="274"/>
  <c r="X7" i="274"/>
  <c r="W7" i="274"/>
  <c r="W8" i="274" s="1"/>
  <c r="W9" i="274" s="1"/>
  <c r="W10" i="274" s="1"/>
  <c r="W11" i="274" s="1"/>
  <c r="W12" i="274" s="1"/>
  <c r="W13" i="274" s="1"/>
  <c r="W14" i="274" s="1"/>
  <c r="AJ6" i="274"/>
  <c r="AI6" i="274"/>
  <c r="AH6" i="274"/>
  <c r="AE6" i="274"/>
  <c r="AD6" i="274"/>
  <c r="AC6" i="274"/>
  <c r="Z6" i="274"/>
  <c r="Y6" i="274"/>
  <c r="X6" i="274"/>
  <c r="A3" i="274"/>
  <c r="O1" i="274"/>
  <c r="A1" i="274"/>
  <c r="F16" i="275" l="1"/>
  <c r="F11" i="275"/>
  <c r="I16" i="275"/>
  <c r="I11" i="275"/>
  <c r="I9" i="275"/>
  <c r="I13" i="274"/>
  <c r="I11" i="274"/>
  <c r="I14" i="274"/>
  <c r="I12" i="274"/>
  <c r="C12" i="274"/>
  <c r="C13" i="274"/>
  <c r="C14" i="274"/>
  <c r="F16" i="274"/>
  <c r="F13" i="274"/>
  <c r="F14" i="274"/>
  <c r="F11" i="274"/>
  <c r="F17" i="274"/>
  <c r="F15" i="274"/>
  <c r="F18" i="274"/>
  <c r="F12" i="274"/>
  <c r="Z11" i="274"/>
  <c r="C11" i="274" s="1"/>
  <c r="Y31" i="274"/>
  <c r="Z31" i="274" s="1"/>
  <c r="A15" i="274"/>
  <c r="A16" i="274" s="1"/>
  <c r="A17" i="274" s="1"/>
  <c r="A18" i="274" s="1"/>
  <c r="W15" i="274"/>
  <c r="W16" i="274" s="1"/>
  <c r="W17" i="274" s="1"/>
  <c r="W18" i="274" s="1"/>
  <c r="C18" i="274" s="1"/>
  <c r="AB19" i="274"/>
  <c r="AB20" i="274" s="1"/>
  <c r="AB21" i="274" s="1"/>
  <c r="F21" i="274" s="1"/>
  <c r="G1" i="41"/>
  <c r="J16" i="275" l="1"/>
  <c r="I17" i="274"/>
  <c r="I18" i="274"/>
  <c r="I15" i="274"/>
  <c r="I16" i="274"/>
  <c r="C16" i="274"/>
  <c r="F20" i="274"/>
  <c r="C15" i="274"/>
  <c r="F19" i="274"/>
  <c r="C17" i="274"/>
  <c r="AB22" i="274"/>
  <c r="F22" i="274" s="1"/>
  <c r="A19" i="274"/>
  <c r="A20" i="274" s="1"/>
  <c r="A21" i="274" s="1"/>
  <c r="A22" i="274" s="1"/>
  <c r="A23" i="274" s="1"/>
  <c r="A24" i="274" s="1"/>
  <c r="A25" i="274" s="1"/>
  <c r="J12" i="274"/>
  <c r="J13" i="274"/>
  <c r="J14" i="274"/>
  <c r="J11" i="274"/>
  <c r="J15" i="274" l="1"/>
  <c r="AB23" i="274"/>
  <c r="J16" i="274"/>
  <c r="N16" i="274" s="1"/>
  <c r="O16" i="274" s="1"/>
  <c r="A26" i="274"/>
  <c r="J17" i="274"/>
  <c r="N17" i="274" s="1"/>
  <c r="O17" i="274" s="1"/>
  <c r="AB24" i="274" l="1"/>
  <c r="F24" i="274" s="1"/>
  <c r="F23" i="274"/>
  <c r="AG41" i="274"/>
  <c r="AG42" i="274" s="1"/>
  <c r="A27" i="274"/>
  <c r="A28" i="274" s="1"/>
  <c r="A29" i="274" s="1"/>
  <c r="H30" i="40"/>
  <c r="H28" i="40"/>
  <c r="H27" i="40"/>
  <c r="H26" i="40"/>
  <c r="H55" i="40"/>
  <c r="H58" i="40"/>
  <c r="H59" i="40"/>
  <c r="AB25" i="274" l="1"/>
  <c r="AG43" i="274"/>
  <c r="AG44" i="274" s="1"/>
  <c r="A30" i="274"/>
  <c r="A31" i="274" s="1"/>
  <c r="A32" i="274" s="1"/>
  <c r="A33" i="274" s="1"/>
  <c r="W19" i="274"/>
  <c r="A34" i="274" l="1"/>
  <c r="A35" i="274" s="1"/>
  <c r="A36" i="274" s="1"/>
  <c r="A37" i="274" s="1"/>
  <c r="A38" i="274" s="1"/>
  <c r="A39" i="274" s="1"/>
  <c r="A40" i="274" s="1"/>
  <c r="A41" i="274" s="1"/>
  <c r="A42" i="274" s="1"/>
  <c r="A43" i="274" s="1"/>
  <c r="A44" i="274" s="1"/>
  <c r="A45" i="274" s="1"/>
  <c r="F25" i="274"/>
  <c r="AB26" i="274"/>
  <c r="C19" i="274"/>
  <c r="I19" i="274"/>
  <c r="J18" i="274"/>
  <c r="N18" i="274" s="1"/>
  <c r="O18" i="274" s="1"/>
  <c r="W20" i="274"/>
  <c r="M22" i="4"/>
  <c r="AB27" i="274" l="1"/>
  <c r="F26" i="274"/>
  <c r="C20" i="274"/>
  <c r="I20" i="274"/>
  <c r="A46" i="274"/>
  <c r="A47" i="274" s="1"/>
  <c r="A48" i="274" s="1"/>
  <c r="A49" i="274" s="1"/>
  <c r="M77" i="4"/>
  <c r="M88" i="4" s="1"/>
  <c r="J19" i="274"/>
  <c r="N19" i="274" s="1"/>
  <c r="O19" i="274" s="1"/>
  <c r="W21" i="274"/>
  <c r="F27" i="274" l="1"/>
  <c r="AB28" i="274"/>
  <c r="A50" i="274"/>
  <c r="A51" i="274" s="1"/>
  <c r="A52" i="274" s="1"/>
  <c r="A53" i="274" s="1"/>
  <c r="C21" i="274"/>
  <c r="I21" i="274"/>
  <c r="J20" i="274"/>
  <c r="N20" i="274" s="1"/>
  <c r="O20" i="274" s="1"/>
  <c r="W22" i="274"/>
  <c r="I22" i="274" s="1"/>
  <c r="AB29" i="274" l="1"/>
  <c r="F28" i="274"/>
  <c r="C22" i="274"/>
  <c r="J21" i="274"/>
  <c r="N21" i="274" s="1"/>
  <c r="O21" i="274" s="1"/>
  <c r="W23" i="274"/>
  <c r="I23" i="274" s="1"/>
  <c r="AB30" i="274" l="1"/>
  <c r="AB31" i="274" s="1"/>
  <c r="AB32" i="274" s="1"/>
  <c r="AB33" i="274" s="1"/>
  <c r="AB34" i="274" s="1"/>
  <c r="AB35" i="274" s="1"/>
  <c r="AB36" i="274" s="1"/>
  <c r="AB37" i="274" s="1"/>
  <c r="AB38" i="274" s="1"/>
  <c r="AB39" i="274" s="1"/>
  <c r="AB40" i="274" s="1"/>
  <c r="F29" i="274"/>
  <c r="W24" i="274"/>
  <c r="W25" i="274" s="1"/>
  <c r="I25" i="274" s="1"/>
  <c r="C23" i="274"/>
  <c r="J22" i="274"/>
  <c r="N22" i="274" s="1"/>
  <c r="O22" i="274" s="1"/>
  <c r="F30" i="274" l="1"/>
  <c r="F31" i="274" s="1"/>
  <c r="AB41" i="274"/>
  <c r="AB42" i="274" s="1"/>
  <c r="AB43" i="274" s="1"/>
  <c r="AB44" i="274" s="1"/>
  <c r="C24" i="274"/>
  <c r="I24" i="274"/>
  <c r="C25" i="274"/>
  <c r="J23" i="274"/>
  <c r="N23" i="274" s="1"/>
  <c r="O23" i="274" s="1"/>
  <c r="J24" i="274" l="1"/>
  <c r="N24" i="274" s="1"/>
  <c r="O24" i="274" s="1"/>
  <c r="W26" i="274"/>
  <c r="J25" i="274"/>
  <c r="N25" i="274" s="1"/>
  <c r="O25" i="274" s="1"/>
  <c r="C26" i="274" l="1"/>
  <c r="I26" i="274"/>
  <c r="W27" i="274"/>
  <c r="I27" i="274" s="1"/>
  <c r="W28" i="274" l="1"/>
  <c r="I28" i="274" s="1"/>
  <c r="C27" i="274"/>
  <c r="J26" i="274"/>
  <c r="N26" i="274" s="1"/>
  <c r="O26" i="274" s="1"/>
  <c r="W29" i="274" l="1"/>
  <c r="C29" i="274" s="1"/>
  <c r="C28" i="274"/>
  <c r="J28" i="274" s="1"/>
  <c r="N28" i="274" s="1"/>
  <c r="O28" i="274" s="1"/>
  <c r="W30" i="274"/>
  <c r="W31" i="274" s="1"/>
  <c r="W32" i="274" s="1"/>
  <c r="W33" i="274" s="1"/>
  <c r="W34" i="274" s="1"/>
  <c r="W35" i="274" s="1"/>
  <c r="W36" i="274" s="1"/>
  <c r="W37" i="274" s="1"/>
  <c r="W38" i="274" s="1"/>
  <c r="W39" i="274" s="1"/>
  <c r="W40" i="274" s="1"/>
  <c r="I29" i="274"/>
  <c r="J27" i="274"/>
  <c r="N27" i="274" s="1"/>
  <c r="O27" i="274" s="1"/>
  <c r="C30" i="274"/>
  <c r="G22" i="162"/>
  <c r="H22" i="162" s="1"/>
  <c r="I30" i="274" l="1"/>
  <c r="J29" i="274"/>
  <c r="N29" i="274" s="1"/>
  <c r="O29" i="274" s="1"/>
  <c r="C40" i="274" l="1"/>
  <c r="C31" i="274"/>
  <c r="I23" i="2"/>
  <c r="J30" i="274" l="1"/>
  <c r="I31" i="274"/>
  <c r="W41" i="274"/>
  <c r="C41" i="274" s="1"/>
  <c r="N23" i="2" l="1"/>
  <c r="I40" i="274"/>
  <c r="W42" i="274"/>
  <c r="I41" i="274"/>
  <c r="J31" i="274"/>
  <c r="I16" i="2" l="1"/>
  <c r="W43" i="274"/>
  <c r="C43" i="274" s="1"/>
  <c r="C42" i="274"/>
  <c r="I42" i="274" s="1"/>
  <c r="H33" i="2"/>
  <c r="N16" i="2"/>
  <c r="N35" i="2" s="1"/>
  <c r="F96" i="277" s="1"/>
  <c r="I25" i="2" l="1"/>
  <c r="I35" i="2"/>
  <c r="F92" i="277" s="1"/>
  <c r="N25" i="2"/>
  <c r="W44" i="274" l="1"/>
  <c r="C44" i="274" s="1"/>
  <c r="W45" i="274" l="1"/>
  <c r="I43" i="274"/>
  <c r="C45" i="274" l="1"/>
  <c r="I45" i="274" s="1"/>
  <c r="W46" i="274"/>
  <c r="W47" i="274" s="1"/>
  <c r="W48" i="274" s="1"/>
  <c r="W49" i="274" s="1"/>
  <c r="W50" i="274" s="1"/>
  <c r="I44" i="274"/>
  <c r="A11" i="231"/>
  <c r="A12" i="231" s="1"/>
  <c r="A13" i="231" s="1"/>
  <c r="A14" i="231" s="1"/>
  <c r="A15" i="231" s="1"/>
  <c r="C46" i="274" l="1"/>
  <c r="C47" i="274" l="1"/>
  <c r="C48" i="274" l="1"/>
  <c r="C49" i="274" l="1"/>
  <c r="C50" i="274" l="1"/>
  <c r="R34" i="37"/>
  <c r="R74" i="37" s="1"/>
  <c r="S34" i="37" l="1"/>
  <c r="S74" i="37"/>
  <c r="S46" i="37"/>
  <c r="S59" i="37"/>
  <c r="C51" i="274" l="1"/>
  <c r="E12" i="254" l="1"/>
  <c r="E22" i="254" s="1"/>
  <c r="G103" i="277"/>
  <c r="F103" i="277" l="1"/>
  <c r="H103" i="277" s="1"/>
  <c r="B39" i="242" l="1"/>
  <c r="B40" i="242"/>
  <c r="B41" i="242"/>
  <c r="B42" i="242"/>
  <c r="B43" i="242"/>
  <c r="B38" i="242" l="1"/>
  <c r="B47" i="274"/>
  <c r="B46" i="274"/>
  <c r="B49" i="274"/>
  <c r="B48" i="274"/>
  <c r="K13" i="4"/>
  <c r="K14" i="4"/>
  <c r="K11" i="4"/>
  <c r="K12" i="4"/>
  <c r="G48" i="274" l="1"/>
  <c r="H48" i="274"/>
  <c r="I48" i="274" s="1"/>
  <c r="G49" i="274"/>
  <c r="H49" i="274"/>
  <c r="I49" i="274" s="1"/>
  <c r="G46" i="274"/>
  <c r="H46" i="274"/>
  <c r="I46" i="274" s="1"/>
  <c r="G47" i="274"/>
  <c r="H47" i="274"/>
  <c r="I47" i="274" s="1"/>
  <c r="H50" i="274"/>
  <c r="I50" i="274" s="1"/>
  <c r="G50" i="274"/>
  <c r="K15" i="4"/>
  <c r="I51" i="274" l="1"/>
  <c r="A11" i="254"/>
  <c r="A12" i="254" s="1"/>
  <c r="A13" i="254" s="1"/>
  <c r="A14" i="254" s="1"/>
  <c r="A15" i="254" s="1"/>
  <c r="A16" i="254" s="1"/>
  <c r="A17" i="254" s="1"/>
  <c r="A18" i="254" s="1"/>
  <c r="A19" i="254" s="1"/>
  <c r="A20" i="254" s="1"/>
  <c r="A9" i="271"/>
  <c r="A10" i="271" s="1"/>
  <c r="P6" i="271"/>
  <c r="O6" i="271"/>
  <c r="N6" i="271"/>
  <c r="P5" i="271"/>
  <c r="O5" i="271"/>
  <c r="N5" i="271"/>
  <c r="A3" i="271"/>
  <c r="J1" i="271"/>
  <c r="A1" i="271"/>
  <c r="A21" i="254" l="1"/>
  <c r="A22" i="254" s="1"/>
  <c r="A23" i="254" s="1"/>
  <c r="A24" i="254" s="1"/>
  <c r="A25" i="254" s="1"/>
  <c r="A26" i="254" s="1"/>
  <c r="T58" i="40"/>
  <c r="T26" i="40"/>
  <c r="T55" i="40"/>
  <c r="T59" i="40"/>
  <c r="T30" i="40"/>
  <c r="T27" i="40"/>
  <c r="T28" i="40"/>
  <c r="H8" i="271"/>
  <c r="S47" i="40"/>
  <c r="Q110" i="40"/>
  <c r="Q60" i="40"/>
  <c r="Q150" i="40"/>
  <c r="Q47" i="40"/>
  <c r="Q69" i="40"/>
  <c r="Q83" i="40"/>
  <c r="Q93" i="40"/>
  <c r="Q123" i="40"/>
  <c r="Q134" i="40"/>
  <c r="Q142" i="40"/>
  <c r="Q23" i="40"/>
  <c r="Q33" i="40"/>
  <c r="Q71" i="40" l="1"/>
  <c r="J8" i="271"/>
  <c r="G66" i="277" s="1"/>
  <c r="Q125" i="40"/>
  <c r="Q95" i="40"/>
  <c r="Q175" i="40" l="1"/>
  <c r="Q165" i="40"/>
  <c r="Y7" i="242" l="1"/>
  <c r="X7" i="242"/>
  <c r="W7" i="242"/>
  <c r="V7" i="242"/>
  <c r="V8" i="242" s="1"/>
  <c r="V9" i="242" s="1"/>
  <c r="V10" i="242" s="1"/>
  <c r="V11" i="242" s="1"/>
  <c r="V12" i="242" s="1"/>
  <c r="V13" i="242" s="1"/>
  <c r="V14" i="242" s="1"/>
  <c r="V15" i="242" s="1"/>
  <c r="V16" i="242" s="1"/>
  <c r="V17" i="242" s="1"/>
  <c r="V18" i="242" s="1"/>
  <c r="V19" i="242" s="1"/>
  <c r="V20" i="242" s="1"/>
  <c r="V21" i="242" s="1"/>
  <c r="V22" i="242" s="1"/>
  <c r="V23" i="242" s="1"/>
  <c r="V24" i="242" s="1"/>
  <c r="V25" i="242" s="1"/>
  <c r="V26" i="242" s="1"/>
  <c r="V27" i="242" s="1"/>
  <c r="Y6" i="242"/>
  <c r="X6" i="242"/>
  <c r="W6" i="242"/>
  <c r="V28" i="242" l="1"/>
  <c r="V29" i="242" s="1"/>
  <c r="V30" i="242" s="1"/>
  <c r="V31" i="242" s="1"/>
  <c r="V32" i="242" s="1"/>
  <c r="V33" i="242" s="1"/>
  <c r="V34" i="242" s="1"/>
  <c r="V35" i="242" s="1"/>
  <c r="V36" i="242" s="1"/>
  <c r="V37" i="242" s="1"/>
  <c r="V38" i="242" s="1"/>
  <c r="V39" i="242" s="1"/>
  <c r="V40" i="242" s="1"/>
  <c r="V41" i="242" s="1"/>
  <c r="V42" i="242" s="1"/>
  <c r="V43" i="242" s="1"/>
  <c r="V44" i="242" s="1"/>
  <c r="V45" i="242" s="1"/>
  <c r="V46" i="242" s="1"/>
  <c r="V47" i="242" s="1"/>
  <c r="V48" i="242" s="1"/>
  <c r="V49" i="242" s="1"/>
  <c r="V50" i="242" s="1"/>
  <c r="V51" i="242" l="1"/>
  <c r="V52" i="242" s="1"/>
  <c r="V53" i="242" s="1"/>
  <c r="V54" i="242" s="1"/>
  <c r="V55" i="242" s="1"/>
  <c r="V56" i="242" s="1"/>
  <c r="V57" i="242" s="1"/>
  <c r="V58" i="242" s="1"/>
  <c r="V59" i="242" s="1"/>
  <c r="V60" i="242" s="1"/>
  <c r="V61" i="242" s="1"/>
  <c r="V62" i="242" s="1"/>
  <c r="V63" i="242" s="1"/>
  <c r="V64" i="242" s="1"/>
  <c r="V65" i="242" s="1"/>
  <c r="V66" i="242" s="1"/>
  <c r="V67" i="242" s="1"/>
  <c r="V68" i="242" s="1"/>
  <c r="V69" i="242" s="1"/>
  <c r="V70" i="242" s="1"/>
  <c r="V71" i="242" s="1"/>
  <c r="V72" i="242" s="1"/>
  <c r="V73" i="242" s="1"/>
  <c r="V74" i="242" s="1"/>
  <c r="V75" i="242" s="1"/>
  <c r="M33" i="2"/>
  <c r="V76" i="242" l="1"/>
  <c r="V77" i="242" s="1"/>
  <c r="V78" i="242" s="1"/>
  <c r="V79" i="242" s="1"/>
  <c r="V80" i="242" s="1"/>
  <c r="V81" i="242" s="1"/>
  <c r="V82" i="242" s="1"/>
  <c r="V83" i="242" s="1"/>
  <c r="V84" i="242" s="1"/>
  <c r="V85" i="242" s="1"/>
  <c r="V86" i="242" s="1"/>
  <c r="V87" i="242" s="1"/>
  <c r="V88" i="242" s="1"/>
  <c r="V89" i="242" s="1"/>
  <c r="V90" i="242" s="1"/>
  <c r="V91" i="242" s="1"/>
  <c r="V92" i="242" s="1"/>
  <c r="V93" i="242" s="1"/>
  <c r="V94" i="242" s="1"/>
  <c r="V95" i="242" s="1"/>
  <c r="C45" i="268" l="1"/>
  <c r="B45" i="268"/>
  <c r="C25" i="268"/>
  <c r="B25" i="268"/>
  <c r="C10" i="268"/>
  <c r="C11" i="268"/>
  <c r="C12" i="268"/>
  <c r="C13" i="268"/>
  <c r="C14" i="268"/>
  <c r="B11" i="268"/>
  <c r="B12" i="268"/>
  <c r="B13" i="268"/>
  <c r="B14" i="268"/>
  <c r="AE64" i="282" l="1"/>
  <c r="AE56" i="282"/>
  <c r="AE48" i="282"/>
  <c r="AE37" i="282"/>
  <c r="AE29" i="282"/>
  <c r="AE18" i="282"/>
  <c r="AE63" i="282"/>
  <c r="AE55" i="282"/>
  <c r="AE47" i="282"/>
  <c r="AE36" i="282"/>
  <c r="AE28" i="282"/>
  <c r="AE14" i="282"/>
  <c r="AE62" i="282"/>
  <c r="AE54" i="282"/>
  <c r="AE46" i="282"/>
  <c r="AE35" i="282"/>
  <c r="AE27" i="282"/>
  <c r="AE13" i="282"/>
  <c r="AE61" i="282"/>
  <c r="AE53" i="282"/>
  <c r="AE45" i="282"/>
  <c r="AE34" i="282"/>
  <c r="AE26" i="282"/>
  <c r="AE12" i="282"/>
  <c r="AE60" i="282"/>
  <c r="AE52" i="282"/>
  <c r="AE41" i="282"/>
  <c r="AE33" i="282"/>
  <c r="AE25" i="282"/>
  <c r="AE11" i="282"/>
  <c r="AE65" i="282"/>
  <c r="AE49" i="282"/>
  <c r="AE38" i="282"/>
  <c r="AE19" i="282"/>
  <c r="AE67" i="282"/>
  <c r="AE59" i="282"/>
  <c r="AE51" i="282"/>
  <c r="AE40" i="282"/>
  <c r="AE32" i="282"/>
  <c r="AE21" i="282"/>
  <c r="AE30" i="282"/>
  <c r="AE66" i="282"/>
  <c r="AE58" i="282"/>
  <c r="AE50" i="282"/>
  <c r="AE39" i="282"/>
  <c r="AE31" i="282"/>
  <c r="AE20" i="282"/>
  <c r="AE57" i="282"/>
  <c r="D49" i="242"/>
  <c r="D48" i="242"/>
  <c r="D24" i="242"/>
  <c r="D27" i="274"/>
  <c r="E27" i="274" s="1"/>
  <c r="D16" i="274"/>
  <c r="E16" i="274" s="1"/>
  <c r="D24" i="274"/>
  <c r="E24" i="274" s="1"/>
  <c r="D22" i="274"/>
  <c r="E22" i="274" s="1"/>
  <c r="D44" i="274"/>
  <c r="E44" i="274" s="1"/>
  <c r="D43" i="274"/>
  <c r="E43" i="274" s="1"/>
  <c r="D42" i="274"/>
  <c r="D57" i="242"/>
  <c r="D56" i="242"/>
  <c r="D18" i="242"/>
  <c r="D17" i="242"/>
  <c r="D39" i="242"/>
  <c r="D38" i="242"/>
  <c r="D71" i="242"/>
  <c r="D28" i="242"/>
  <c r="D70" i="242"/>
  <c r="D29" i="242"/>
  <c r="D37" i="242"/>
  <c r="D13" i="274"/>
  <c r="E13" i="274" s="1"/>
  <c r="D41" i="274"/>
  <c r="E41" i="274" s="1"/>
  <c r="F41" i="274" s="1"/>
  <c r="D40" i="274"/>
  <c r="E40" i="274" s="1"/>
  <c r="F40" i="274" s="1"/>
  <c r="D14" i="274"/>
  <c r="D28" i="274"/>
  <c r="E28" i="274" s="1"/>
  <c r="D25" i="274"/>
  <c r="E25" i="274" s="1"/>
  <c r="D21" i="274"/>
  <c r="E21" i="274" s="1"/>
  <c r="D30" i="274"/>
  <c r="E30" i="274" s="1"/>
  <c r="D18" i="274"/>
  <c r="E18" i="274" s="1"/>
  <c r="D26" i="274"/>
  <c r="E26" i="274" s="1"/>
  <c r="D20" i="274"/>
  <c r="E20" i="274" s="1"/>
  <c r="D17" i="274"/>
  <c r="E17" i="274" s="1"/>
  <c r="D45" i="274"/>
  <c r="E45" i="274" s="1"/>
  <c r="D11" i="274"/>
  <c r="E11" i="274" s="1"/>
  <c r="D46" i="274"/>
  <c r="E46" i="274" s="1"/>
  <c r="D29" i="274"/>
  <c r="E29" i="274" s="1"/>
  <c r="D19" i="274"/>
  <c r="E19" i="274" s="1"/>
  <c r="D12" i="274"/>
  <c r="E12" i="274" s="1"/>
  <c r="D47" i="274"/>
  <c r="E47" i="274" s="1"/>
  <c r="D49" i="274"/>
  <c r="E49" i="274" s="1"/>
  <c r="D15" i="274"/>
  <c r="E15" i="274" s="1"/>
  <c r="D48" i="274"/>
  <c r="E48" i="274" s="1"/>
  <c r="D23" i="274"/>
  <c r="E23" i="274" s="1"/>
  <c r="D50" i="274"/>
  <c r="E50" i="274" s="1"/>
  <c r="D41" i="242"/>
  <c r="D42" i="242"/>
  <c r="D44" i="242"/>
  <c r="D45" i="242"/>
  <c r="D43" i="242"/>
  <c r="AH57" i="282" l="1"/>
  <c r="AI57" i="282"/>
  <c r="AH49" i="282"/>
  <c r="AI49" i="282"/>
  <c r="AH55" i="282"/>
  <c r="AI55" i="282"/>
  <c r="AH65" i="282"/>
  <c r="AI65" i="282"/>
  <c r="AH46" i="282"/>
  <c r="AI46" i="282"/>
  <c r="AH63" i="282"/>
  <c r="AI63" i="282"/>
  <c r="AH54" i="282"/>
  <c r="AI54" i="282"/>
  <c r="AH51" i="282"/>
  <c r="AI51" i="282"/>
  <c r="AH62" i="282"/>
  <c r="AI62" i="282"/>
  <c r="AH50" i="282"/>
  <c r="AI50" i="282"/>
  <c r="AH59" i="282"/>
  <c r="AI59" i="282"/>
  <c r="AH53" i="282"/>
  <c r="AI53" i="282"/>
  <c r="AH58" i="282"/>
  <c r="AI58" i="282"/>
  <c r="AH67" i="282"/>
  <c r="AI67" i="282"/>
  <c r="AH61" i="282"/>
  <c r="AI61" i="282"/>
  <c r="AH48" i="282"/>
  <c r="AI48" i="282"/>
  <c r="AH66" i="282"/>
  <c r="AI66" i="282"/>
  <c r="AH52" i="282"/>
  <c r="AI52" i="282"/>
  <c r="AH56" i="282"/>
  <c r="AI56" i="282"/>
  <c r="AH60" i="282"/>
  <c r="AI60" i="282"/>
  <c r="AH47" i="282"/>
  <c r="AI47" i="282"/>
  <c r="AH64" i="282"/>
  <c r="AI64" i="282"/>
  <c r="AH45" i="282"/>
  <c r="AI45" i="282"/>
  <c r="AH35" i="282"/>
  <c r="AI35" i="282"/>
  <c r="AH26" i="282"/>
  <c r="AI26" i="282"/>
  <c r="AH31" i="282"/>
  <c r="AI31" i="282"/>
  <c r="AH40" i="282"/>
  <c r="AI40" i="282"/>
  <c r="AH34" i="282"/>
  <c r="AI34" i="282"/>
  <c r="AH39" i="282"/>
  <c r="AI39" i="282"/>
  <c r="AH29" i="282"/>
  <c r="AI29" i="282"/>
  <c r="AH33" i="282"/>
  <c r="AI33" i="282"/>
  <c r="AH37" i="282"/>
  <c r="AI37" i="282"/>
  <c r="AH32" i="282"/>
  <c r="AI32" i="282"/>
  <c r="AH41" i="282"/>
  <c r="AI41" i="282"/>
  <c r="AH28" i="282"/>
  <c r="AI28" i="282"/>
  <c r="AH36" i="282"/>
  <c r="AI36" i="282"/>
  <c r="AH30" i="282"/>
  <c r="AI30" i="282"/>
  <c r="AH38" i="282"/>
  <c r="AI38" i="282"/>
  <c r="AH27" i="282"/>
  <c r="AI27" i="282"/>
  <c r="AH25" i="282"/>
  <c r="AI25" i="282"/>
  <c r="AH21" i="282"/>
  <c r="AI21" i="282"/>
  <c r="AH20" i="282"/>
  <c r="AI20" i="282"/>
  <c r="AH19" i="282"/>
  <c r="AI19" i="282"/>
  <c r="AH18" i="282"/>
  <c r="AI18" i="282"/>
  <c r="AH12" i="282"/>
  <c r="AI12" i="282"/>
  <c r="AH14" i="282"/>
  <c r="AI14" i="282"/>
  <c r="AH13" i="282"/>
  <c r="AI13" i="282"/>
  <c r="AH11" i="282"/>
  <c r="AI11" i="282"/>
  <c r="J43" i="274"/>
  <c r="F43" i="274"/>
  <c r="J44" i="274"/>
  <c r="F44" i="274"/>
  <c r="J48" i="274"/>
  <c r="F48" i="274"/>
  <c r="E14" i="274"/>
  <c r="E31" i="274" s="1"/>
  <c r="E42" i="274"/>
  <c r="E51" i="274" s="1"/>
  <c r="J40" i="274"/>
  <c r="J49" i="274"/>
  <c r="F49" i="274"/>
  <c r="F45" i="274"/>
  <c r="J45" i="274"/>
  <c r="J47" i="274"/>
  <c r="F47" i="274"/>
  <c r="J41" i="274"/>
  <c r="J50" i="274"/>
  <c r="F50" i="274"/>
  <c r="J46" i="274"/>
  <c r="F46" i="274"/>
  <c r="AJ21" i="282" l="1"/>
  <c r="I21" i="282" s="1"/>
  <c r="K21" i="282" s="1"/>
  <c r="AJ52" i="282"/>
  <c r="I52" i="282" s="1"/>
  <c r="K52" i="282" s="1"/>
  <c r="AJ48" i="282"/>
  <c r="I48" i="282" s="1"/>
  <c r="K48" i="282" s="1"/>
  <c r="AJ67" i="282"/>
  <c r="I67" i="282" s="1"/>
  <c r="K67" i="282" s="1"/>
  <c r="AJ14" i="282"/>
  <c r="I14" i="282" s="1"/>
  <c r="K14" i="282" s="1"/>
  <c r="AJ50" i="282"/>
  <c r="I50" i="282" s="1"/>
  <c r="K50" i="282" s="1"/>
  <c r="AJ57" i="282"/>
  <c r="I57" i="282" s="1"/>
  <c r="K57" i="282" s="1"/>
  <c r="AJ20" i="282"/>
  <c r="I20" i="282" s="1"/>
  <c r="K20" i="282" s="1"/>
  <c r="AJ37" i="282"/>
  <c r="I37" i="282" s="1"/>
  <c r="K37" i="282" s="1"/>
  <c r="AJ59" i="282"/>
  <c r="I59" i="282" s="1"/>
  <c r="K59" i="282" s="1"/>
  <c r="AJ62" i="282"/>
  <c r="I62" i="282" s="1"/>
  <c r="K62" i="282" s="1"/>
  <c r="AJ60" i="282"/>
  <c r="I60" i="282" s="1"/>
  <c r="K60" i="282" s="1"/>
  <c r="AJ19" i="282"/>
  <c r="I19" i="282" s="1"/>
  <c r="K19" i="282" s="1"/>
  <c r="AJ53" i="282"/>
  <c r="I53" i="282" s="1"/>
  <c r="K53" i="282" s="1"/>
  <c r="AJ49" i="282"/>
  <c r="I49" i="282" s="1"/>
  <c r="K49" i="282" s="1"/>
  <c r="AI22" i="282"/>
  <c r="AJ40" i="282"/>
  <c r="I40" i="282" s="1"/>
  <c r="K40" i="282" s="1"/>
  <c r="AJ26" i="282"/>
  <c r="I26" i="282" s="1"/>
  <c r="K26" i="282" s="1"/>
  <c r="AJ38" i="282"/>
  <c r="I38" i="282" s="1"/>
  <c r="K38" i="282" s="1"/>
  <c r="AJ55" i="282"/>
  <c r="I55" i="282" s="1"/>
  <c r="K55" i="282" s="1"/>
  <c r="AJ33" i="282"/>
  <c r="I33" i="282" s="1"/>
  <c r="K33" i="282" s="1"/>
  <c r="AJ29" i="282"/>
  <c r="I29" i="282" s="1"/>
  <c r="K29" i="282" s="1"/>
  <c r="AJ51" i="282"/>
  <c r="I51" i="282" s="1"/>
  <c r="K51" i="282" s="1"/>
  <c r="AJ39" i="282"/>
  <c r="I39" i="282" s="1"/>
  <c r="K39" i="282" s="1"/>
  <c r="AJ34" i="282"/>
  <c r="I34" i="282" s="1"/>
  <c r="K34" i="282" s="1"/>
  <c r="AJ63" i="282"/>
  <c r="I63" i="282" s="1"/>
  <c r="K63" i="282" s="1"/>
  <c r="AJ32" i="282"/>
  <c r="I32" i="282" s="1"/>
  <c r="K32" i="282" s="1"/>
  <c r="AJ65" i="282"/>
  <c r="I65" i="282" s="1"/>
  <c r="K65" i="282" s="1"/>
  <c r="AJ64" i="282"/>
  <c r="I64" i="282" s="1"/>
  <c r="K64" i="282" s="1"/>
  <c r="AJ36" i="282"/>
  <c r="I36" i="282" s="1"/>
  <c r="K36" i="282" s="1"/>
  <c r="AJ66" i="282"/>
  <c r="I66" i="282" s="1"/>
  <c r="K66" i="282" s="1"/>
  <c r="AJ61" i="282"/>
  <c r="I61" i="282" s="1"/>
  <c r="K61" i="282" s="1"/>
  <c r="AJ54" i="282"/>
  <c r="I54" i="282" s="1"/>
  <c r="K54" i="282" s="1"/>
  <c r="AJ31" i="282"/>
  <c r="I31" i="282" s="1"/>
  <c r="K31" i="282" s="1"/>
  <c r="AJ47" i="282"/>
  <c r="I47" i="282" s="1"/>
  <c r="K47" i="282" s="1"/>
  <c r="AJ30" i="282"/>
  <c r="I30" i="282" s="1"/>
  <c r="K30" i="282" s="1"/>
  <c r="AJ13" i="282"/>
  <c r="I13" i="282" s="1"/>
  <c r="K13" i="282" s="1"/>
  <c r="AJ12" i="282"/>
  <c r="I12" i="282" s="1"/>
  <c r="K12" i="282" s="1"/>
  <c r="AJ41" i="282"/>
  <c r="I41" i="282" s="1"/>
  <c r="K41" i="282" s="1"/>
  <c r="AJ45" i="282"/>
  <c r="AH68" i="282"/>
  <c r="AJ11" i="282"/>
  <c r="AH15" i="282"/>
  <c r="AJ27" i="282"/>
  <c r="I27" i="282" s="1"/>
  <c r="K27" i="282" s="1"/>
  <c r="AI68" i="282"/>
  <c r="AI15" i="282"/>
  <c r="AJ46" i="282"/>
  <c r="I46" i="282" s="1"/>
  <c r="K46" i="282" s="1"/>
  <c r="AJ25" i="282"/>
  <c r="AH42" i="282"/>
  <c r="AJ56" i="282"/>
  <c r="I56" i="282" s="1"/>
  <c r="K56" i="282" s="1"/>
  <c r="AJ28" i="282"/>
  <c r="I28" i="282" s="1"/>
  <c r="K28" i="282" s="1"/>
  <c r="AJ58" i="282"/>
  <c r="I58" i="282" s="1"/>
  <c r="K58" i="282" s="1"/>
  <c r="AI42" i="282"/>
  <c r="AH22" i="282"/>
  <c r="AJ18" i="282"/>
  <c r="I18" i="282" s="1"/>
  <c r="AJ35" i="282"/>
  <c r="I35" i="282" s="1"/>
  <c r="K35" i="282" s="1"/>
  <c r="G106" i="277"/>
  <c r="J42" i="274"/>
  <c r="F42" i="274"/>
  <c r="F51" i="274" s="1"/>
  <c r="E20" i="254"/>
  <c r="F106" i="277" s="1"/>
  <c r="S9" i="275" l="1"/>
  <c r="AC9" i="275" s="1"/>
  <c r="R9" i="275"/>
  <c r="AJ22" i="282"/>
  <c r="I22" i="282"/>
  <c r="K18" i="282"/>
  <c r="K22" i="282" s="1"/>
  <c r="I17" i="198" s="1"/>
  <c r="I25" i="282"/>
  <c r="AJ42" i="282"/>
  <c r="I45" i="282"/>
  <c r="AJ68" i="282"/>
  <c r="AI79" i="282"/>
  <c r="I11" i="282"/>
  <c r="AJ15" i="282"/>
  <c r="AH79" i="282"/>
  <c r="H106" i="277"/>
  <c r="J51" i="274"/>
  <c r="E13" i="254"/>
  <c r="F104" i="277" s="1"/>
  <c r="G104" i="277"/>
  <c r="T9" i="275" l="1"/>
  <c r="F9" i="275" s="1"/>
  <c r="AB9" i="275"/>
  <c r="AD9" i="275" s="1"/>
  <c r="I68" i="282"/>
  <c r="K45" i="282"/>
  <c r="K68" i="282" s="1"/>
  <c r="I21" i="198" s="1"/>
  <c r="AJ79" i="282"/>
  <c r="I42" i="282"/>
  <c r="K25" i="282"/>
  <c r="K42" i="282" s="1"/>
  <c r="I19" i="198" s="1"/>
  <c r="K11" i="282"/>
  <c r="K15" i="282" s="1"/>
  <c r="I11" i="198" s="1"/>
  <c r="I15" i="282"/>
  <c r="H104" i="277"/>
  <c r="I79" i="282" l="1"/>
  <c r="K79" i="282"/>
  <c r="D61" i="242"/>
  <c r="D34" i="242" l="1"/>
  <c r="D36" i="242"/>
  <c r="D30" i="242"/>
  <c r="D21" i="242"/>
  <c r="D15" i="242"/>
  <c r="D32" i="242"/>
  <c r="D11" i="242"/>
  <c r="D47" i="242"/>
  <c r="D35" i="242"/>
  <c r="D31" i="242"/>
  <c r="D20" i="242"/>
  <c r="D14" i="242"/>
  <c r="D50" i="242"/>
  <c r="D46" i="242"/>
  <c r="D27" i="242"/>
  <c r="D23" i="242"/>
  <c r="D19" i="242"/>
  <c r="D13" i="242"/>
  <c r="D25" i="242"/>
  <c r="D67" i="242"/>
  <c r="D40" i="242"/>
  <c r="D33" i="242"/>
  <c r="D26" i="242"/>
  <c r="D22" i="242"/>
  <c r="D16" i="242"/>
  <c r="D12" i="242"/>
  <c r="D64" i="242"/>
  <c r="D60" i="242"/>
  <c r="D68" i="242"/>
  <c r="D59" i="242"/>
  <c r="D66" i="242"/>
  <c r="D62" i="242"/>
  <c r="D58" i="242"/>
  <c r="D63" i="242"/>
  <c r="D69" i="242"/>
  <c r="D65" i="242"/>
  <c r="D55" i="242"/>
  <c r="S31" i="198" l="1"/>
  <c r="J60" i="89" s="1"/>
  <c r="R31" i="198"/>
  <c r="I60" i="89" s="1"/>
  <c r="T9" i="198"/>
  <c r="S9" i="198"/>
  <c r="R9" i="198"/>
  <c r="T8" i="198"/>
  <c r="S8" i="198"/>
  <c r="R8" i="198"/>
  <c r="Q8" i="198"/>
  <c r="Q9" i="198" s="1"/>
  <c r="Q10" i="198" s="1"/>
  <c r="Q11" i="198" s="1"/>
  <c r="Q12" i="198" s="1"/>
  <c r="Q13" i="198" s="1"/>
  <c r="Q14" i="198" s="1"/>
  <c r="Q15" i="198" s="1"/>
  <c r="Q16" i="198" s="1"/>
  <c r="Q17" i="198" s="1"/>
  <c r="Q18" i="198" s="1"/>
  <c r="Q19" i="198" s="1"/>
  <c r="Q20" i="198" s="1"/>
  <c r="Q21" i="198" s="1"/>
  <c r="Q22" i="198" s="1"/>
  <c r="Q23" i="198" s="1"/>
  <c r="Q24" i="198" s="1"/>
  <c r="Q25" i="198" s="1"/>
  <c r="Q26" i="198" s="1"/>
  <c r="Q27" i="198" s="1"/>
  <c r="Q28" i="198" s="1"/>
  <c r="Q29" i="198" s="1"/>
  <c r="Q30" i="198" s="1"/>
  <c r="E25" i="198" l="1"/>
  <c r="E73" i="268" s="1"/>
  <c r="E28" i="198"/>
  <c r="R46" i="198"/>
  <c r="R35" i="198"/>
  <c r="S46" i="198"/>
  <c r="S35" i="198"/>
  <c r="E19" i="198"/>
  <c r="E17" i="198"/>
  <c r="E11" i="198"/>
  <c r="E15" i="198"/>
  <c r="E23" i="198"/>
  <c r="E13" i="198"/>
  <c r="E21" i="198"/>
  <c r="H13" i="198" l="1"/>
  <c r="H31" i="198" s="1"/>
  <c r="H46" i="198" s="1"/>
  <c r="J25" i="198"/>
  <c r="E29" i="198"/>
  <c r="E77" i="268" s="1"/>
  <c r="E26" i="198"/>
  <c r="E27" i="198"/>
  <c r="E24" i="198"/>
  <c r="G77" i="239" s="1"/>
  <c r="J11" i="275"/>
  <c r="O11" i="275" s="1"/>
  <c r="J11" i="198"/>
  <c r="G75" i="239"/>
  <c r="G71" i="239"/>
  <c r="G76" i="239"/>
  <c r="G72" i="239"/>
  <c r="G73" i="239"/>
  <c r="G74" i="239"/>
  <c r="T31" i="198"/>
  <c r="T35" i="198" s="1"/>
  <c r="J13" i="198" l="1"/>
  <c r="O16" i="275"/>
  <c r="G78" i="239"/>
  <c r="J29" i="198"/>
  <c r="I73" i="268"/>
  <c r="M73" i="268" s="1"/>
  <c r="E31" i="198"/>
  <c r="I31" i="198"/>
  <c r="C19" i="277" l="1"/>
  <c r="I33" i="3"/>
  <c r="I77" i="268"/>
  <c r="M77" i="268" s="1"/>
  <c r="G79" i="239"/>
  <c r="I46" i="198"/>
  <c r="A10" i="268"/>
  <c r="A11" i="268" s="1"/>
  <c r="A12" i="268" s="1"/>
  <c r="A13" i="268" s="1"/>
  <c r="A14" i="268" s="1"/>
  <c r="A15" i="268" s="1"/>
  <c r="A16" i="268" s="1"/>
  <c r="A3" i="268"/>
  <c r="M1" i="268"/>
  <c r="A1" i="268"/>
  <c r="D58" i="261"/>
  <c r="D33" i="261"/>
  <c r="D34" i="261"/>
  <c r="D35" i="261"/>
  <c r="D36" i="261"/>
  <c r="D37" i="261"/>
  <c r="D32" i="261"/>
  <c r="D25" i="261"/>
  <c r="D26" i="261"/>
  <c r="D27" i="261"/>
  <c r="D28" i="261"/>
  <c r="D24" i="261"/>
  <c r="D19" i="261"/>
  <c r="D18" i="261"/>
  <c r="D14" i="261"/>
  <c r="D13" i="261"/>
  <c r="J9" i="275" l="1"/>
  <c r="A17" i="268"/>
  <c r="A18" i="268" s="1"/>
  <c r="A19" i="268" s="1"/>
  <c r="A20" i="268" s="1"/>
  <c r="A21" i="268" s="1"/>
  <c r="A22" i="268" s="1"/>
  <c r="O9" i="275" l="1"/>
  <c r="O18" i="275" s="1"/>
  <c r="A23" i="268"/>
  <c r="A24" i="268" s="1"/>
  <c r="A25" i="268" s="1"/>
  <c r="A26" i="268" s="1"/>
  <c r="A27" i="268" s="1"/>
  <c r="A28" i="268" s="1"/>
  <c r="A29" i="268" s="1"/>
  <c r="A30" i="268" s="1"/>
  <c r="A31" i="268" s="1"/>
  <c r="A32" i="268" s="1"/>
  <c r="A33" i="268" s="1"/>
  <c r="A34" i="268" s="1"/>
  <c r="A35" i="268" s="1"/>
  <c r="A36" i="268" s="1"/>
  <c r="A37" i="268" s="1"/>
  <c r="C10" i="240"/>
  <c r="A38" i="268" l="1"/>
  <c r="A39" i="268" s="1"/>
  <c r="A40" i="268" s="1"/>
  <c r="A41" i="268" s="1"/>
  <c r="A42" i="268" l="1"/>
  <c r="A43" i="268" s="1"/>
  <c r="A44" i="268" s="1"/>
  <c r="A45" i="268" s="1"/>
  <c r="A46" i="268" s="1"/>
  <c r="A47" i="268" s="1"/>
  <c r="A48" i="268" s="1"/>
  <c r="A49" i="268" s="1"/>
  <c r="A50" i="268" s="1"/>
  <c r="A51" i="268" s="1"/>
  <c r="A52" i="268" s="1"/>
  <c r="A53" i="268" s="1"/>
  <c r="A54" i="268" s="1"/>
  <c r="A55" i="268" s="1"/>
  <c r="A56" i="268" s="1"/>
  <c r="A57" i="268" s="1"/>
  <c r="A58" i="268" s="1"/>
  <c r="A59" i="268" s="1"/>
  <c r="A60" i="268" s="1"/>
  <c r="A61" i="268" s="1"/>
  <c r="A62" i="268" s="1"/>
  <c r="A63" i="268" s="1"/>
  <c r="A64" i="268" s="1"/>
  <c r="C14" i="240"/>
  <c r="C15" i="240"/>
  <c r="C16" i="240"/>
  <c r="C17" i="240"/>
  <c r="C18" i="240"/>
  <c r="C19" i="240"/>
  <c r="C20" i="240"/>
  <c r="C21" i="240"/>
  <c r="C22" i="240"/>
  <c r="C23" i="240"/>
  <c r="C24" i="240"/>
  <c r="C25" i="240"/>
  <c r="C26" i="240"/>
  <c r="C27" i="240"/>
  <c r="C28" i="240"/>
  <c r="C29" i="240"/>
  <c r="C30" i="240"/>
  <c r="C31" i="240"/>
  <c r="C32" i="240"/>
  <c r="C33" i="240"/>
  <c r="C34" i="240"/>
  <c r="C35" i="240"/>
  <c r="C36" i="240"/>
  <c r="C37" i="240"/>
  <c r="C38" i="240"/>
  <c r="C39" i="240"/>
  <c r="C40" i="240"/>
  <c r="C41" i="240"/>
  <c r="C42" i="240"/>
  <c r="C43" i="240"/>
  <c r="C44" i="240"/>
  <c r="C45" i="240"/>
  <c r="C46" i="240"/>
  <c r="C47" i="240"/>
  <c r="C48" i="240"/>
  <c r="C49" i="240"/>
  <c r="C50" i="240"/>
  <c r="C51" i="240"/>
  <c r="C52" i="240"/>
  <c r="C53" i="240"/>
  <c r="C54" i="240"/>
  <c r="C55" i="240"/>
  <c r="C56" i="240"/>
  <c r="C57" i="240"/>
  <c r="C58" i="240"/>
  <c r="C59" i="240"/>
  <c r="C60" i="240"/>
  <c r="C61" i="240"/>
  <c r="C62" i="240"/>
  <c r="C63" i="240"/>
  <c r="C64" i="240"/>
  <c r="C65" i="240"/>
  <c r="C66" i="240"/>
  <c r="C67" i="240"/>
  <c r="C68" i="240"/>
  <c r="C69" i="240"/>
  <c r="C70" i="240"/>
  <c r="C11" i="240"/>
  <c r="C12" i="240"/>
  <c r="C13" i="240"/>
  <c r="A65" i="268" l="1"/>
  <c r="A66" i="268" s="1"/>
  <c r="A67" i="268" s="1"/>
  <c r="C9" i="240"/>
  <c r="C8" i="240"/>
  <c r="A8" i="240"/>
  <c r="A9" i="240" s="1"/>
  <c r="A10" i="240" s="1"/>
  <c r="A11" i="240" s="1"/>
  <c r="A12" i="240" s="1"/>
  <c r="A68" i="268" l="1"/>
  <c r="A69" i="268" s="1"/>
  <c r="A70" i="268" s="1"/>
  <c r="A71" i="268" s="1"/>
  <c r="A72" i="268" s="1"/>
  <c r="A73" i="268" s="1"/>
  <c r="A74" i="268" s="1"/>
  <c r="A75" i="268" s="1"/>
  <c r="A76" i="268" s="1"/>
  <c r="A77" i="268" s="1"/>
  <c r="A78" i="268" s="1"/>
  <c r="A79" i="268" s="1"/>
  <c r="A80" i="268" s="1"/>
  <c r="A81" i="268" s="1"/>
  <c r="A82" i="268" s="1"/>
  <c r="A83" i="268" s="1"/>
  <c r="A84" i="268" s="1"/>
  <c r="A85" i="268" s="1"/>
  <c r="A86" i="268" s="1"/>
  <c r="A87" i="268" s="1"/>
  <c r="A88" i="268" s="1"/>
  <c r="A89" i="268" s="1"/>
  <c r="A90" i="268" s="1"/>
  <c r="A91" i="268" s="1"/>
  <c r="A92" i="268" s="1"/>
  <c r="A93" i="268" s="1"/>
  <c r="A94" i="268" s="1"/>
  <c r="A95" i="268" s="1"/>
  <c r="A96" i="268" s="1"/>
  <c r="A97" i="268" s="1"/>
  <c r="A98" i="268" s="1"/>
  <c r="A13" i="240"/>
  <c r="A14" i="240" s="1"/>
  <c r="A15" i="240" s="1"/>
  <c r="A16" i="240" s="1"/>
  <c r="A17" i="240" s="1"/>
  <c r="A18" i="240" s="1"/>
  <c r="A19" i="240" s="1"/>
  <c r="A20" i="240" s="1"/>
  <c r="A21" i="240" s="1"/>
  <c r="A22" i="240" s="1"/>
  <c r="A23" i="240" s="1"/>
  <c r="A24" i="240" s="1"/>
  <c r="A25" i="240" s="1"/>
  <c r="A26" i="240" s="1"/>
  <c r="A27" i="240" s="1"/>
  <c r="A28" i="240" s="1"/>
  <c r="A29" i="240" s="1"/>
  <c r="A9" i="267"/>
  <c r="A10" i="267" s="1"/>
  <c r="A11" i="267" s="1"/>
  <c r="A12" i="267" s="1"/>
  <c r="A13" i="267" s="1"/>
  <c r="A14" i="267" s="1"/>
  <c r="N6" i="267"/>
  <c r="M6" i="267"/>
  <c r="L6" i="267"/>
  <c r="N5" i="267"/>
  <c r="M5" i="267"/>
  <c r="L5" i="267"/>
  <c r="H1" i="267"/>
  <c r="A1" i="267"/>
  <c r="H8" i="267" l="1"/>
  <c r="H12" i="267" s="1"/>
  <c r="G65" i="277" s="1"/>
  <c r="O21" i="198"/>
  <c r="O19" i="198"/>
  <c r="O17" i="198"/>
  <c r="P160" i="40" l="1"/>
  <c r="P175" i="40"/>
  <c r="N69" i="40"/>
  <c r="O69" i="40"/>
  <c r="N60" i="40"/>
  <c r="O60" i="40"/>
  <c r="L33" i="40"/>
  <c r="N33" i="40"/>
  <c r="O33" i="40"/>
  <c r="N23" i="40"/>
  <c r="O23" i="40"/>
  <c r="N71" i="40" l="1"/>
  <c r="O71" i="40"/>
  <c r="K7" i="266" l="1"/>
  <c r="J7" i="266"/>
  <c r="I7" i="266"/>
  <c r="H6" i="266"/>
  <c r="H7" i="266" s="1"/>
  <c r="H8" i="266" s="1"/>
  <c r="H9" i="266" s="1"/>
  <c r="A3" i="266"/>
  <c r="E2" i="266"/>
  <c r="A1" i="266"/>
  <c r="A10" i="266" l="1"/>
  <c r="A11" i="266" s="1"/>
  <c r="A12" i="266" s="1"/>
  <c r="A13" i="266" s="1"/>
  <c r="A14" i="266" s="1"/>
  <c r="A15" i="266" s="1"/>
  <c r="A16" i="266" s="1"/>
  <c r="A17" i="266" s="1"/>
  <c r="A18" i="266" s="1"/>
  <c r="A19" i="266" s="1"/>
  <c r="A20" i="266" s="1"/>
  <c r="A21" i="266" s="1"/>
  <c r="A22" i="266" s="1"/>
  <c r="A23" i="266" s="1"/>
  <c r="A24" i="266" l="1"/>
  <c r="A25" i="266" s="1"/>
  <c r="A26" i="266" s="1"/>
  <c r="A27" i="266" s="1"/>
  <c r="D40" i="2"/>
  <c r="D43" i="2"/>
  <c r="A28" i="266" l="1"/>
  <c r="A29" i="266" s="1"/>
  <c r="A30" i="266" s="1"/>
  <c r="A31" i="266" s="1"/>
  <c r="A32" i="266" s="1"/>
  <c r="A33" i="266" s="1"/>
  <c r="A34" i="266" s="1"/>
  <c r="A35" i="266" s="1"/>
  <c r="A36" i="266" s="1"/>
  <c r="A37" i="266" s="1"/>
  <c r="A38" i="266" s="1"/>
  <c r="A39" i="266" s="1"/>
  <c r="A40" i="266" s="1"/>
  <c r="A41" i="266" s="1"/>
  <c r="A42" i="266" s="1"/>
  <c r="A43" i="266" s="1"/>
  <c r="A44" i="266" s="1"/>
  <c r="A45" i="266" s="1"/>
  <c r="A46" i="266" s="1"/>
  <c r="A47" i="266" s="1"/>
  <c r="A48" i="266" s="1"/>
  <c r="A49" i="266" s="1"/>
  <c r="A50" i="266" s="1"/>
  <c r="A51" i="266" s="1"/>
  <c r="A52" i="266" s="1"/>
  <c r="A53" i="266" s="1"/>
  <c r="A54" i="266" s="1"/>
  <c r="D46" i="2"/>
  <c r="C132" i="239"/>
  <c r="B133" i="239"/>
  <c r="B132" i="239"/>
  <c r="C176" i="239"/>
  <c r="C177" i="239"/>
  <c r="C178" i="239"/>
  <c r="C179" i="239"/>
  <c r="C180" i="239"/>
  <c r="C181" i="239"/>
  <c r="B181" i="239"/>
  <c r="A55" i="266" l="1"/>
  <c r="A56" i="266" s="1"/>
  <c r="R9" i="261"/>
  <c r="S9" i="261"/>
  <c r="T9" i="261"/>
  <c r="O9" i="261"/>
  <c r="M9" i="261"/>
  <c r="N9" i="261"/>
  <c r="A57" i="266" l="1"/>
  <c r="A58" i="266" s="1"/>
  <c r="A59" i="266" s="1"/>
  <c r="A60" i="266" s="1"/>
  <c r="A61" i="266" s="1"/>
  <c r="A62" i="266" s="1"/>
  <c r="A63" i="266" s="1"/>
  <c r="A64" i="266" s="1"/>
  <c r="A65" i="266" s="1"/>
  <c r="A66" i="266" s="1"/>
  <c r="A67" i="266" s="1"/>
  <c r="A68" i="266" s="1"/>
  <c r="A69" i="266" s="1"/>
  <c r="A12" i="37"/>
  <c r="A13" i="37" s="1"/>
  <c r="A14" i="37" s="1"/>
  <c r="A15" i="37" s="1"/>
  <c r="A16" i="37" s="1"/>
  <c r="A17" i="37" s="1"/>
  <c r="A18" i="37" l="1"/>
  <c r="A19" i="37" s="1"/>
  <c r="A20" i="37" s="1"/>
  <c r="A21" i="37" s="1"/>
  <c r="M23" i="40"/>
  <c r="M33" i="40"/>
  <c r="H14" i="40"/>
  <c r="H15" i="40"/>
  <c r="H17" i="40"/>
  <c r="H19" i="40"/>
  <c r="H20" i="40"/>
  <c r="H21" i="40"/>
  <c r="H22" i="40"/>
  <c r="H13" i="40"/>
  <c r="H39" i="40"/>
  <c r="H40" i="40"/>
  <c r="H41" i="40"/>
  <c r="H43" i="40"/>
  <c r="H44" i="40"/>
  <c r="H45" i="40"/>
  <c r="H46" i="40"/>
  <c r="H38" i="40"/>
  <c r="H156" i="40"/>
  <c r="H158" i="40"/>
  <c r="H159" i="40"/>
  <c r="H160" i="40"/>
  <c r="H161" i="40"/>
  <c r="H164" i="40"/>
  <c r="H148" i="40"/>
  <c r="H149" i="40"/>
  <c r="H140" i="40"/>
  <c r="H132" i="40"/>
  <c r="H101" i="40"/>
  <c r="H109" i="40"/>
  <c r="T20" i="40" l="1"/>
  <c r="T22" i="40"/>
  <c r="T21" i="40"/>
  <c r="T17" i="40"/>
  <c r="T14" i="40"/>
  <c r="T13" i="40"/>
  <c r="T19" i="40"/>
  <c r="T15" i="40"/>
  <c r="L23" i="40"/>
  <c r="A12" i="237" l="1"/>
  <c r="A13" i="237" l="1"/>
  <c r="A14" i="237" s="1"/>
  <c r="A10" i="242"/>
  <c r="A11" i="242" s="1"/>
  <c r="A12" i="242" s="1"/>
  <c r="A13" i="242" s="1"/>
  <c r="A14" i="242" s="1"/>
  <c r="A15" i="242" s="1"/>
  <c r="A16" i="242" s="1"/>
  <c r="A15" i="237" l="1"/>
  <c r="A16" i="237" s="1"/>
  <c r="A17" i="242"/>
  <c r="A18" i="242" s="1"/>
  <c r="A19" i="242" s="1"/>
  <c r="A20" i="242" s="1"/>
  <c r="A21" i="242" s="1"/>
  <c r="A22" i="242" s="1"/>
  <c r="A23" i="242" s="1"/>
  <c r="A24" i="242" s="1"/>
  <c r="A25" i="242" s="1"/>
  <c r="A26" i="242" s="1"/>
  <c r="A27" i="242" s="1"/>
  <c r="C39" i="222"/>
  <c r="A17" i="237" l="1"/>
  <c r="A18" i="237" s="1"/>
  <c r="A19" i="237" s="1"/>
  <c r="A20" i="237" s="1"/>
  <c r="A21" i="237" s="1"/>
  <c r="A22" i="237" s="1"/>
  <c r="A23" i="237" s="1"/>
  <c r="A24" i="237" s="1"/>
  <c r="A25" i="237" s="1"/>
  <c r="A28" i="242"/>
  <c r="A29" i="242" s="1"/>
  <c r="A30" i="242" s="1"/>
  <c r="A31" i="242" s="1"/>
  <c r="A32" i="242" s="1"/>
  <c r="A33" i="242" s="1"/>
  <c r="A34" i="242" s="1"/>
  <c r="A35" i="242" s="1"/>
  <c r="A36" i="242" s="1"/>
  <c r="A37" i="242" s="1"/>
  <c r="A38" i="242" s="1"/>
  <c r="A39" i="242" s="1"/>
  <c r="A40" i="242" s="1"/>
  <c r="A41" i="242" s="1"/>
  <c r="A42" i="242" s="1"/>
  <c r="A43" i="242" s="1"/>
  <c r="A44" i="242" s="1"/>
  <c r="A45" i="242" s="1"/>
  <c r="A46" i="242" s="1"/>
  <c r="A47" i="242" s="1"/>
  <c r="A48" i="242" s="1"/>
  <c r="A49" i="242" s="1"/>
  <c r="A50" i="242" s="1"/>
  <c r="A51" i="242" s="1"/>
  <c r="K10" i="235"/>
  <c r="K12" i="235"/>
  <c r="L12" i="235"/>
  <c r="K14" i="235"/>
  <c r="K16" i="235"/>
  <c r="L16" i="235"/>
  <c r="K18" i="235"/>
  <c r="L18" i="235"/>
  <c r="K20" i="235"/>
  <c r="L20" i="235"/>
  <c r="K22" i="235"/>
  <c r="L22" i="235"/>
  <c r="K8" i="235"/>
  <c r="M20" i="235" l="1"/>
  <c r="A52" i="242"/>
  <c r="A53" i="242" s="1"/>
  <c r="A54" i="242" s="1"/>
  <c r="A55" i="242" s="1"/>
  <c r="A56" i="242" s="1"/>
  <c r="A57" i="242" s="1"/>
  <c r="A58" i="242" s="1"/>
  <c r="A59" i="242" s="1"/>
  <c r="A60" i="242" s="1"/>
  <c r="A61" i="242" s="1"/>
  <c r="A62" i="242" s="1"/>
  <c r="A63" i="242" s="1"/>
  <c r="A64" i="242" s="1"/>
  <c r="A65" i="242" s="1"/>
  <c r="A66" i="242" s="1"/>
  <c r="A67" i="242" s="1"/>
  <c r="A68" i="242" s="1"/>
  <c r="A69" i="242" s="1"/>
  <c r="A70" i="242" s="1"/>
  <c r="A71" i="242" s="1"/>
  <c r="A72" i="242" s="1"/>
  <c r="M12" i="235"/>
  <c r="M18" i="235"/>
  <c r="M16" i="235"/>
  <c r="M22" i="235"/>
  <c r="A73" i="242" l="1"/>
  <c r="A74" i="242" s="1"/>
  <c r="A75" i="242" s="1"/>
  <c r="A76" i="242" s="1"/>
  <c r="K18" i="4"/>
  <c r="K40" i="16" l="1"/>
  <c r="K19" i="4" l="1"/>
  <c r="M11" i="41"/>
  <c r="K20" i="4" l="1"/>
  <c r="C154" i="239"/>
  <c r="C155" i="239"/>
  <c r="C156" i="239"/>
  <c r="C157" i="239"/>
  <c r="C158" i="239"/>
  <c r="C153" i="239"/>
  <c r="B157" i="239"/>
  <c r="B158" i="239"/>
  <c r="B154" i="239"/>
  <c r="B155" i="239"/>
  <c r="B156" i="239"/>
  <c r="B153" i="239"/>
  <c r="C142" i="239" l="1"/>
  <c r="C143" i="239"/>
  <c r="C144" i="239"/>
  <c r="C145" i="239"/>
  <c r="C146" i="239"/>
  <c r="C147" i="239"/>
  <c r="C148" i="239"/>
  <c r="C149" i="239"/>
  <c r="C141" i="239"/>
  <c r="B149" i="239"/>
  <c r="B142" i="239"/>
  <c r="B143" i="239"/>
  <c r="B144" i="239"/>
  <c r="B145" i="239"/>
  <c r="B146" i="239"/>
  <c r="B147" i="239"/>
  <c r="B148" i="239"/>
  <c r="B141" i="239"/>
  <c r="K21" i="4" l="1"/>
  <c r="H10" i="266" l="1"/>
  <c r="H11" i="266" s="1"/>
  <c r="H12" i="266" l="1"/>
  <c r="E11" i="266"/>
  <c r="X167" i="40"/>
  <c r="X150" i="40"/>
  <c r="X142" i="40"/>
  <c r="X134" i="40"/>
  <c r="X123" i="40"/>
  <c r="X110" i="40"/>
  <c r="X93" i="40"/>
  <c r="X83" i="40"/>
  <c r="X47" i="40"/>
  <c r="K25" i="4" l="1"/>
  <c r="H13" i="266"/>
  <c r="E12" i="266"/>
  <c r="X125" i="40"/>
  <c r="X95" i="40"/>
  <c r="X173" i="40"/>
  <c r="Y23" i="40"/>
  <c r="Z23" i="40" s="1"/>
  <c r="Y33" i="40"/>
  <c r="Z33" i="40" s="1"/>
  <c r="Y60" i="40"/>
  <c r="Z60" i="40" s="1"/>
  <c r="Y69" i="40"/>
  <c r="Z69" i="40" s="1"/>
  <c r="Y83" i="40"/>
  <c r="Y93" i="40"/>
  <c r="Z93" i="40" s="1"/>
  <c r="Y110" i="40"/>
  <c r="Y123" i="40"/>
  <c r="Z123" i="40" s="1"/>
  <c r="Y134" i="40"/>
  <c r="Z134" i="40" s="1"/>
  <c r="Y142" i="40"/>
  <c r="Z142" i="40" s="1"/>
  <c r="Y150" i="40"/>
  <c r="Z150" i="40" s="1"/>
  <c r="Y167" i="40"/>
  <c r="Z167" i="40" s="1"/>
  <c r="A11" i="40"/>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X176" i="40" l="1"/>
  <c r="K26" i="4"/>
  <c r="H14" i="266"/>
  <c r="E13" i="266"/>
  <c r="Z110" i="40"/>
  <c r="Y125" i="40"/>
  <c r="Z125" i="40" s="1"/>
  <c r="Z83" i="40"/>
  <c r="Y95" i="40"/>
  <c r="Z95" i="40" s="1"/>
  <c r="A37" i="40"/>
  <c r="A38" i="40" s="1"/>
  <c r="A39" i="40" s="1"/>
  <c r="A40" i="40" s="1"/>
  <c r="A41" i="40" s="1"/>
  <c r="A42" i="40" s="1"/>
  <c r="A43" i="40" s="1"/>
  <c r="A44" i="40" s="1"/>
  <c r="A45" i="40" s="1"/>
  <c r="Z41" i="40"/>
  <c r="Z39" i="40"/>
  <c r="Z38" i="40"/>
  <c r="X9" i="40"/>
  <c r="Y9" i="40"/>
  <c r="K27" i="4" l="1"/>
  <c r="H15" i="266"/>
  <c r="E14" i="266"/>
  <c r="L8" i="235"/>
  <c r="M8" i="235" s="1"/>
  <c r="L10" i="235"/>
  <c r="M10" i="235" s="1"/>
  <c r="L14" i="235"/>
  <c r="M14" i="235" s="1"/>
  <c r="Y47" i="40"/>
  <c r="Z47" i="40" s="1"/>
  <c r="K28" i="4" l="1"/>
  <c r="H16" i="266"/>
  <c r="E15" i="266"/>
  <c r="Y173" i="40"/>
  <c r="B34" i="239"/>
  <c r="B35" i="239"/>
  <c r="B36" i="239"/>
  <c r="B22" i="239"/>
  <c r="B23" i="239"/>
  <c r="B24" i="239"/>
  <c r="B26" i="239"/>
  <c r="B27" i="239"/>
  <c r="B28" i="239"/>
  <c r="B29" i="239"/>
  <c r="B30" i="239"/>
  <c r="B33" i="239"/>
  <c r="Y176" i="40" l="1"/>
  <c r="Z173" i="40"/>
  <c r="K29" i="4"/>
  <c r="H17" i="266"/>
  <c r="E16" i="266"/>
  <c r="K30" i="4" l="1"/>
  <c r="H18" i="266"/>
  <c r="E17" i="266"/>
  <c r="Q9" i="12"/>
  <c r="H19" i="266" l="1"/>
  <c r="E18" i="266"/>
  <c r="K31" i="4" l="1"/>
  <c r="H20" i="266"/>
  <c r="E19" i="266"/>
  <c r="K32" i="4" l="1"/>
  <c r="H21" i="266"/>
  <c r="E20" i="266"/>
  <c r="K33" i="4" l="1"/>
  <c r="H22" i="266"/>
  <c r="E21" i="266"/>
  <c r="W68" i="4"/>
  <c r="K34" i="4" l="1"/>
  <c r="H23" i="266"/>
  <c r="H24" i="266" s="1"/>
  <c r="E22" i="266"/>
  <c r="T8" i="261"/>
  <c r="S8" i="261"/>
  <c r="R8" i="261"/>
  <c r="O8" i="261"/>
  <c r="N8" i="261"/>
  <c r="M8" i="261"/>
  <c r="H25" i="266" l="1"/>
  <c r="E24" i="266"/>
  <c r="E23" i="266"/>
  <c r="A9" i="17"/>
  <c r="A10" i="17" s="1"/>
  <c r="A11" i="17" s="1"/>
  <c r="K37" i="4" l="1"/>
  <c r="H26" i="266"/>
  <c r="E25" i="266"/>
  <c r="H27" i="266" l="1"/>
  <c r="H28" i="266" s="1"/>
  <c r="E26" i="266"/>
  <c r="K35" i="4" l="1"/>
  <c r="E27" i="266"/>
  <c r="A9" i="264"/>
  <c r="A10" i="264" s="1"/>
  <c r="K36" i="4" l="1"/>
  <c r="K38" i="4" l="1"/>
  <c r="K39" i="4" l="1"/>
  <c r="K40" i="4" l="1"/>
  <c r="H29" i="266"/>
  <c r="H30" i="266" s="1"/>
  <c r="H31" i="266" s="1"/>
  <c r="H32" i="266" s="1"/>
  <c r="H33" i="266" l="1"/>
  <c r="E32" i="266"/>
  <c r="K41" i="4"/>
  <c r="E28" i="266"/>
  <c r="E31" i="266"/>
  <c r="C28" i="242" s="1"/>
  <c r="M16" i="2"/>
  <c r="M35" i="2" s="1"/>
  <c r="F95" i="277" s="1"/>
  <c r="M25" i="2" l="1"/>
  <c r="C29" i="242"/>
  <c r="K46" i="4"/>
  <c r="K45" i="4"/>
  <c r="H34" i="266"/>
  <c r="E33" i="266"/>
  <c r="H96" i="277"/>
  <c r="K47" i="4" l="1"/>
  <c r="C30" i="242"/>
  <c r="H35" i="266"/>
  <c r="E34" i="266"/>
  <c r="K48" i="4" s="1"/>
  <c r="C31" i="242" l="1"/>
  <c r="H36" i="266"/>
  <c r="E35" i="266"/>
  <c r="C32" i="242" s="1"/>
  <c r="K49" i="4" l="1"/>
  <c r="H37" i="266"/>
  <c r="E36" i="266"/>
  <c r="C33" i="242" s="1"/>
  <c r="K50" i="4" l="1"/>
  <c r="H38" i="266"/>
  <c r="E37" i="266"/>
  <c r="C34" i="242" s="1"/>
  <c r="K51" i="4" l="1"/>
  <c r="H39" i="266"/>
  <c r="E38" i="266"/>
  <c r="K52" i="4" s="1"/>
  <c r="C35" i="242" l="1"/>
  <c r="H40" i="266"/>
  <c r="E39" i="266"/>
  <c r="K53" i="4" s="1"/>
  <c r="C36" i="242" l="1"/>
  <c r="H41" i="266"/>
  <c r="E40" i="266"/>
  <c r="I47" i="40"/>
  <c r="K47" i="40"/>
  <c r="M47" i="40"/>
  <c r="N47" i="40"/>
  <c r="K54" i="4" l="1"/>
  <c r="C37" i="242"/>
  <c r="H42" i="266"/>
  <c r="E41" i="266"/>
  <c r="C38" i="242" s="1"/>
  <c r="I38" i="242" l="1"/>
  <c r="E38" i="242"/>
  <c r="K55" i="4"/>
  <c r="H43" i="266"/>
  <c r="E42" i="266"/>
  <c r="C39" i="242" s="1"/>
  <c r="E39" i="242" l="1"/>
  <c r="I39" i="242"/>
  <c r="F38" i="242"/>
  <c r="J38" i="242"/>
  <c r="K56" i="4"/>
  <c r="H44" i="266"/>
  <c r="E43" i="266"/>
  <c r="C40" i="242" s="1"/>
  <c r="J39" i="242" l="1"/>
  <c r="F39" i="242"/>
  <c r="K57" i="4"/>
  <c r="H45" i="266"/>
  <c r="E44" i="266"/>
  <c r="C41" i="242" s="1"/>
  <c r="K58" i="4" l="1"/>
  <c r="H46" i="266"/>
  <c r="E45" i="266"/>
  <c r="C42" i="242" s="1"/>
  <c r="I42" i="242" s="1"/>
  <c r="AD7" i="242"/>
  <c r="AC7" i="242"/>
  <c r="AB7" i="242"/>
  <c r="AA7" i="242"/>
  <c r="AA8" i="242" s="1"/>
  <c r="AA9" i="242" s="1"/>
  <c r="AA10" i="242" s="1"/>
  <c r="AA11" i="242" s="1"/>
  <c r="AD6" i="242"/>
  <c r="AC6" i="242"/>
  <c r="AB6" i="242"/>
  <c r="E42" i="242" l="1"/>
  <c r="F42" i="242" s="1"/>
  <c r="K59" i="4"/>
  <c r="H47" i="266"/>
  <c r="E46" i="266"/>
  <c r="C43" i="242" s="1"/>
  <c r="E43" i="242" s="1"/>
  <c r="AA12" i="242"/>
  <c r="AA13" i="242" s="1"/>
  <c r="AA14" i="242" s="1"/>
  <c r="AA15" i="242" s="1"/>
  <c r="AA16" i="242" s="1"/>
  <c r="J42" i="242" l="1"/>
  <c r="I43" i="242"/>
  <c r="J43" i="242" s="1"/>
  <c r="F43" i="242"/>
  <c r="K60" i="4"/>
  <c r="H48" i="266"/>
  <c r="E47" i="266"/>
  <c r="C44" i="242" s="1"/>
  <c r="E44" i="242" s="1"/>
  <c r="AA17" i="242"/>
  <c r="AA18" i="242" s="1"/>
  <c r="AA19" i="242" s="1"/>
  <c r="AA20" i="242" s="1"/>
  <c r="AA21" i="242" s="1"/>
  <c r="AA22" i="242" s="1"/>
  <c r="AA23" i="242" s="1"/>
  <c r="AA24" i="242" s="1"/>
  <c r="AA25" i="242" s="1"/>
  <c r="AA26" i="242" s="1"/>
  <c r="AA27" i="242" s="1"/>
  <c r="AA28" i="242" s="1"/>
  <c r="AA29" i="242" s="1"/>
  <c r="AA30" i="242" s="1"/>
  <c r="AA31" i="242" s="1"/>
  <c r="AA32" i="242" s="1"/>
  <c r="AA33" i="242" s="1"/>
  <c r="AA34" i="242" s="1"/>
  <c r="AA35" i="242" s="1"/>
  <c r="AA36" i="242" s="1"/>
  <c r="AA37" i="242" s="1"/>
  <c r="AA38" i="242" s="1"/>
  <c r="AA39" i="242" s="1"/>
  <c r="AA40" i="242" s="1"/>
  <c r="AA41" i="242" s="1"/>
  <c r="AA42" i="242" s="1"/>
  <c r="AA43" i="242" s="1"/>
  <c r="AA44" i="242" s="1"/>
  <c r="AA45" i="242" s="1"/>
  <c r="AA46" i="242" s="1"/>
  <c r="AA47" i="242" s="1"/>
  <c r="AA48" i="242" s="1"/>
  <c r="AA49" i="242" s="1"/>
  <c r="AA50" i="242" s="1"/>
  <c r="AA51" i="242" s="1"/>
  <c r="AA52" i="242" s="1"/>
  <c r="AA53" i="242" s="1"/>
  <c r="AA54" i="242" s="1"/>
  <c r="AA55" i="242" s="1"/>
  <c r="AA56" i="242" s="1"/>
  <c r="AA57" i="242" s="1"/>
  <c r="AA58" i="242" s="1"/>
  <c r="AA59" i="242" s="1"/>
  <c r="AA60" i="242" s="1"/>
  <c r="AA61" i="242" s="1"/>
  <c r="AA62" i="242" s="1"/>
  <c r="AA63" i="242" s="1"/>
  <c r="AA64" i="242" s="1"/>
  <c r="AA65" i="242" s="1"/>
  <c r="AA66" i="242" s="1"/>
  <c r="AA67" i="242" s="1"/>
  <c r="AA68" i="242" s="1"/>
  <c r="AA69" i="242" s="1"/>
  <c r="AA70" i="242" s="1"/>
  <c r="AA71" i="242" s="1"/>
  <c r="AA72" i="242" s="1"/>
  <c r="AA73" i="242" s="1"/>
  <c r="AA74" i="242" s="1"/>
  <c r="AA75" i="242" s="1"/>
  <c r="AA76" i="242" l="1"/>
  <c r="AA77" i="242" s="1"/>
  <c r="AA78" i="242" s="1"/>
  <c r="AA79" i="242" s="1"/>
  <c r="AA80" i="242" s="1"/>
  <c r="AA81" i="242" s="1"/>
  <c r="AA82" i="242" s="1"/>
  <c r="AA83" i="242" s="1"/>
  <c r="I44" i="242"/>
  <c r="J44" i="242" s="1"/>
  <c r="F44" i="242"/>
  <c r="K61" i="4"/>
  <c r="H49" i="266"/>
  <c r="E48" i="266"/>
  <c r="C45" i="242" s="1"/>
  <c r="I45" i="242" s="1"/>
  <c r="B131" i="239"/>
  <c r="T6" i="264"/>
  <c r="S6" i="264"/>
  <c r="R6" i="264"/>
  <c r="T5" i="264"/>
  <c r="S5" i="264"/>
  <c r="R5" i="264"/>
  <c r="A3" i="264"/>
  <c r="J1" i="264"/>
  <c r="A1" i="264"/>
  <c r="AA84" i="242" l="1"/>
  <c r="AA85" i="242" s="1"/>
  <c r="AA86" i="242" s="1"/>
  <c r="AA87" i="242" s="1"/>
  <c r="AA88" i="242" s="1"/>
  <c r="AA89" i="242" s="1"/>
  <c r="AA90" i="242" s="1"/>
  <c r="AA91" i="242" s="1"/>
  <c r="AA92" i="242" s="1"/>
  <c r="AA93" i="242" s="1"/>
  <c r="AA94" i="242" s="1"/>
  <c r="AA95" i="242" s="1"/>
  <c r="E45" i="242"/>
  <c r="F45" i="242" s="1"/>
  <c r="K62" i="4"/>
  <c r="H50" i="266"/>
  <c r="H51" i="266" s="1"/>
  <c r="E49" i="266"/>
  <c r="C46" i="242" s="1"/>
  <c r="E46" i="242" s="1"/>
  <c r="H8" i="264"/>
  <c r="J8" i="264" s="1"/>
  <c r="A27" i="254"/>
  <c r="A28" i="254" s="1"/>
  <c r="A29" i="254" s="1"/>
  <c r="A30" i="254" s="1"/>
  <c r="A31" i="254" s="1"/>
  <c r="A32" i="254" s="1"/>
  <c r="O175" i="40" l="1"/>
  <c r="G64" i="277"/>
  <c r="H52" i="266"/>
  <c r="E51" i="266"/>
  <c r="J45" i="242"/>
  <c r="I46" i="242"/>
  <c r="J46" i="242" s="1"/>
  <c r="F46" i="242"/>
  <c r="K63" i="4"/>
  <c r="E50" i="266"/>
  <c r="O131" i="40"/>
  <c r="C47" i="242" l="1"/>
  <c r="E47" i="242" s="1"/>
  <c r="F47" i="242" s="1"/>
  <c r="K64" i="4"/>
  <c r="C48" i="242"/>
  <c r="I48" i="242" s="1"/>
  <c r="H53" i="266"/>
  <c r="H54" i="266" s="1"/>
  <c r="E52" i="266"/>
  <c r="C49" i="242" s="1"/>
  <c r="I47" i="242" l="1"/>
  <c r="J47" i="242" s="1"/>
  <c r="E48" i="242"/>
  <c r="J48" i="242" s="1"/>
  <c r="K65" i="4"/>
  <c r="E53" i="266"/>
  <c r="I49" i="242"/>
  <c r="E49" i="242"/>
  <c r="A12" i="2"/>
  <c r="A13" i="2" s="1"/>
  <c r="A14" i="2" s="1"/>
  <c r="A15" i="2" s="1"/>
  <c r="V9" i="2"/>
  <c r="V10" i="2" s="1"/>
  <c r="V11" i="2" s="1"/>
  <c r="V12" i="2" s="1"/>
  <c r="V13" i="2" s="1"/>
  <c r="V14" i="2" s="1"/>
  <c r="V15" i="2" s="1"/>
  <c r="V16" i="2" l="1"/>
  <c r="V17" i="2" s="1"/>
  <c r="V18" i="2" s="1"/>
  <c r="V19" i="2" s="1"/>
  <c r="V20" i="2" s="1"/>
  <c r="V21" i="2" s="1"/>
  <c r="V22" i="2" s="1"/>
  <c r="F48" i="242"/>
  <c r="C50" i="242"/>
  <c r="A16" i="2"/>
  <c r="A17" i="2" s="1"/>
  <c r="A18" i="2" s="1"/>
  <c r="A19" i="2" s="1"/>
  <c r="A20" i="2" s="1"/>
  <c r="A21" i="2" s="1"/>
  <c r="A22" i="2" s="1"/>
  <c r="F49" i="242"/>
  <c r="J49" i="242"/>
  <c r="V23" i="2" l="1"/>
  <c r="V24" i="2" s="1"/>
  <c r="V25" i="2" s="1"/>
  <c r="V26" i="2" s="1"/>
  <c r="V27" i="2" s="1"/>
  <c r="E50" i="242"/>
  <c r="F50" i="242" s="1"/>
  <c r="I50" i="242"/>
  <c r="A23" i="2"/>
  <c r="H55" i="266"/>
  <c r="H56" i="266" s="1"/>
  <c r="H57" i="266" s="1"/>
  <c r="K67" i="4"/>
  <c r="K66" i="4"/>
  <c r="J23" i="2" l="1"/>
  <c r="V28" i="2"/>
  <c r="V29" i="2" s="1"/>
  <c r="V30" i="2" s="1"/>
  <c r="V31" i="2" s="1"/>
  <c r="V32" i="2" s="1"/>
  <c r="V33" i="2" s="1"/>
  <c r="V34" i="2" s="1"/>
  <c r="V35" i="2" s="1"/>
  <c r="H58" i="266"/>
  <c r="E57" i="266"/>
  <c r="J50" i="242"/>
  <c r="A24" i="2"/>
  <c r="A25" i="2" s="1"/>
  <c r="K68" i="4"/>
  <c r="E54" i="266"/>
  <c r="E56" i="266"/>
  <c r="J16" i="2" l="1"/>
  <c r="C78" i="242"/>
  <c r="E78" i="242" s="1"/>
  <c r="F78" i="242" s="1"/>
  <c r="G24" i="198" s="1"/>
  <c r="J24" i="198" s="1"/>
  <c r="K71" i="4"/>
  <c r="H59" i="266"/>
  <c r="E58" i="266"/>
  <c r="K70" i="4"/>
  <c r="C77" i="242"/>
  <c r="A26" i="2"/>
  <c r="G29" i="162"/>
  <c r="H29" i="162" s="1"/>
  <c r="Q9" i="261"/>
  <c r="Q10" i="261" s="1"/>
  <c r="Q11" i="261" s="1"/>
  <c r="Q12" i="261" s="1"/>
  <c r="A27" i="2" l="1"/>
  <c r="A28" i="2" s="1"/>
  <c r="A29" i="2" s="1"/>
  <c r="A30" i="2" s="1"/>
  <c r="A31" i="2" s="1"/>
  <c r="A32" i="2" s="1"/>
  <c r="A33" i="2" s="1"/>
  <c r="A34" i="2" s="1"/>
  <c r="A35" i="2" s="1"/>
  <c r="J35" i="2"/>
  <c r="F93" i="277" s="1"/>
  <c r="H93" i="277" s="1"/>
  <c r="J25" i="2"/>
  <c r="K72" i="4"/>
  <c r="C79" i="242"/>
  <c r="E79" i="242" s="1"/>
  <c r="F79" i="242" s="1"/>
  <c r="G26" i="198" s="1"/>
  <c r="J26" i="198" s="1"/>
  <c r="H60" i="266"/>
  <c r="E59" i="266"/>
  <c r="E77" i="242"/>
  <c r="Q13" i="261"/>
  <c r="Q14" i="261" s="1"/>
  <c r="Q15" i="261" s="1"/>
  <c r="Q16" i="261" s="1"/>
  <c r="Q17" i="261" s="1"/>
  <c r="Q18" i="261" s="1"/>
  <c r="Q19" i="261" s="1"/>
  <c r="Q20" i="261" s="1"/>
  <c r="Q21" i="261" s="1"/>
  <c r="Q22" i="261" s="1"/>
  <c r="Q23" i="261" s="1"/>
  <c r="Q24" i="261" s="1"/>
  <c r="Q25" i="261" s="1"/>
  <c r="Q26" i="261" s="1"/>
  <c r="Q27" i="261" s="1"/>
  <c r="Q28" i="261" s="1"/>
  <c r="Q29" i="261" s="1"/>
  <c r="Q30" i="261" s="1"/>
  <c r="Q31" i="261" s="1"/>
  <c r="Q32" i="261" s="1"/>
  <c r="Q33" i="261" s="1"/>
  <c r="Q34" i="261" s="1"/>
  <c r="Q35" i="261" s="1"/>
  <c r="Q36" i="261" s="1"/>
  <c r="Q37" i="261" s="1"/>
  <c r="Q38" i="261" s="1"/>
  <c r="Q39" i="261" s="1"/>
  <c r="Q40" i="261" s="1"/>
  <c r="Q41" i="261" s="1"/>
  <c r="Q42" i="261" s="1"/>
  <c r="Q43" i="261" s="1"/>
  <c r="Q44" i="261" s="1"/>
  <c r="Q45" i="261" s="1"/>
  <c r="Q46" i="261" s="1"/>
  <c r="Q47" i="261" s="1"/>
  <c r="Q48" i="261" s="1"/>
  <c r="Q49" i="261" s="1"/>
  <c r="Q50" i="261" s="1"/>
  <c r="Q51" i="261" s="1"/>
  <c r="Q52" i="261" s="1"/>
  <c r="Q53" i="261" s="1"/>
  <c r="Q54" i="261" s="1"/>
  <c r="Q55" i="261" s="1"/>
  <c r="Q56" i="261" s="1"/>
  <c r="Q57" i="261" s="1"/>
  <c r="Q58" i="261" s="1"/>
  <c r="Q59" i="261" s="1"/>
  <c r="Q60" i="261" s="1"/>
  <c r="Q61" i="261" s="1"/>
  <c r="Q62" i="261" s="1"/>
  <c r="Q63" i="261" s="1"/>
  <c r="Q64" i="261" s="1"/>
  <c r="Q65" i="261" s="1"/>
  <c r="Q66" i="261" s="1"/>
  <c r="Q67" i="261" s="1"/>
  <c r="Q68" i="261" s="1"/>
  <c r="Q69" i="261" s="1"/>
  <c r="Q70" i="261" s="1"/>
  <c r="Q71" i="261" s="1"/>
  <c r="Q72" i="261" s="1"/>
  <c r="Q73" i="261" s="1"/>
  <c r="Q74" i="261" s="1"/>
  <c r="Q75" i="261" s="1"/>
  <c r="Q76" i="261" s="1"/>
  <c r="Q77" i="261" s="1"/>
  <c r="Q78" i="261" s="1"/>
  <c r="Q79" i="261" s="1"/>
  <c r="Q80" i="261" s="1"/>
  <c r="Q81" i="261" s="1"/>
  <c r="Q82" i="261" s="1"/>
  <c r="Q83" i="261" s="1"/>
  <c r="Q84" i="261" s="1"/>
  <c r="Q85" i="261" s="1"/>
  <c r="Q86" i="261" s="1"/>
  <c r="Q87" i="261" s="1"/>
  <c r="Q88" i="261" s="1"/>
  <c r="Q89" i="261" s="1"/>
  <c r="Q90" i="261" s="1"/>
  <c r="Q91" i="261" s="1"/>
  <c r="Q92" i="261" s="1"/>
  <c r="Q93" i="261" s="1"/>
  <c r="Q94" i="261" s="1"/>
  <c r="Q95" i="261" s="1"/>
  <c r="Q96" i="261" s="1"/>
  <c r="Q97" i="261" s="1"/>
  <c r="Q98" i="261" s="1"/>
  <c r="Q99" i="261" s="1"/>
  <c r="Q100" i="261" s="1"/>
  <c r="Q101" i="261" s="1"/>
  <c r="Q102" i="261" s="1"/>
  <c r="Q103" i="261" s="1"/>
  <c r="Q104" i="261" s="1"/>
  <c r="Q105" i="261" s="1"/>
  <c r="Q106" i="261" s="1"/>
  <c r="Q107" i="261" s="1"/>
  <c r="Q108" i="261" s="1"/>
  <c r="Q109" i="261" s="1"/>
  <c r="Q110" i="261" s="1"/>
  <c r="Q111" i="261" s="1"/>
  <c r="Q112" i="261" s="1"/>
  <c r="Q113" i="261" s="1"/>
  <c r="Q114" i="261" s="1"/>
  <c r="Q115" i="261" s="1"/>
  <c r="Q116" i="261" s="1"/>
  <c r="Q117" i="261" s="1"/>
  <c r="Q118" i="261" s="1"/>
  <c r="Q119" i="261" s="1"/>
  <c r="Q120" i="261" s="1"/>
  <c r="Q121" i="261" s="1"/>
  <c r="Q122" i="261" s="1"/>
  <c r="Q123" i="261" s="1"/>
  <c r="Q124" i="261" s="1"/>
  <c r="Q125" i="261" s="1"/>
  <c r="Q126" i="261" s="1"/>
  <c r="Q127" i="261" s="1"/>
  <c r="Q128" i="261" s="1"/>
  <c r="Q129" i="261" s="1"/>
  <c r="Q130" i="261" s="1"/>
  <c r="Q131" i="261" s="1"/>
  <c r="Q132" i="261" s="1"/>
  <c r="Q133" i="261" s="1"/>
  <c r="Q134" i="261" s="1"/>
  <c r="Q135" i="261" s="1"/>
  <c r="Q136" i="261" s="1"/>
  <c r="Q137" i="261" s="1"/>
  <c r="Q138" i="261" s="1"/>
  <c r="Q139" i="261" s="1"/>
  <c r="Q140" i="261" s="1"/>
  <c r="Q7" i="242"/>
  <c r="Q8" i="242" s="1"/>
  <c r="Q9" i="242" s="1"/>
  <c r="Q10" i="242" s="1"/>
  <c r="Q11" i="242" s="1"/>
  <c r="Q12" i="242" s="1"/>
  <c r="Q13" i="242" s="1"/>
  <c r="Q14" i="242" s="1"/>
  <c r="Q15" i="242" s="1"/>
  <c r="Q16" i="242" s="1"/>
  <c r="Q17" i="242" s="1"/>
  <c r="Q18" i="242" s="1"/>
  <c r="Q19" i="242" s="1"/>
  <c r="Q20" i="242" s="1"/>
  <c r="Q21" i="242" s="1"/>
  <c r="Q22" i="242" s="1"/>
  <c r="Q23" i="242" s="1"/>
  <c r="Q24" i="242" s="1"/>
  <c r="Q25" i="242" s="1"/>
  <c r="Q26" i="242" s="1"/>
  <c r="Q27" i="242" s="1"/>
  <c r="Q28" i="242" s="1"/>
  <c r="Q29" i="242" s="1"/>
  <c r="Q30" i="242" s="1"/>
  <c r="Q31" i="242" s="1"/>
  <c r="Q32" i="242" s="1"/>
  <c r="Q33" i="242" s="1"/>
  <c r="Q34" i="242" s="1"/>
  <c r="Q35" i="242" s="1"/>
  <c r="Q36" i="242" s="1"/>
  <c r="Q37" i="242" s="1"/>
  <c r="Q38" i="242" s="1"/>
  <c r="Q39" i="242" s="1"/>
  <c r="Q40" i="242" s="1"/>
  <c r="Q41" i="242" s="1"/>
  <c r="Q42" i="242" s="1"/>
  <c r="Q43" i="242" s="1"/>
  <c r="Q44" i="242" s="1"/>
  <c r="Q45" i="242" s="1"/>
  <c r="Q46" i="242" s="1"/>
  <c r="Q47" i="242" s="1"/>
  <c r="Q48" i="242" s="1"/>
  <c r="Q49" i="242" s="1"/>
  <c r="Q50" i="242" s="1"/>
  <c r="O2" i="242"/>
  <c r="K73" i="4" l="1"/>
  <c r="C80" i="242"/>
  <c r="E80" i="242" s="1"/>
  <c r="F80" i="242" s="1"/>
  <c r="G27" i="198" s="1"/>
  <c r="J27" i="198" s="1"/>
  <c r="H61" i="266"/>
  <c r="E60" i="266"/>
  <c r="F77" i="242"/>
  <c r="G23" i="198" s="1"/>
  <c r="Q51" i="242"/>
  <c r="Q52" i="242" s="1"/>
  <c r="Q53" i="242" s="1"/>
  <c r="Q54" i="242" s="1"/>
  <c r="Q55" i="242" s="1"/>
  <c r="Q56" i="242" s="1"/>
  <c r="Q57" i="242" s="1"/>
  <c r="Q58" i="242" s="1"/>
  <c r="Q59" i="242" s="1"/>
  <c r="Q60" i="242" s="1"/>
  <c r="Q61" i="242" s="1"/>
  <c r="Q62" i="242" s="1"/>
  <c r="Q63" i="242" s="1"/>
  <c r="Q64" i="242" s="1"/>
  <c r="Q65" i="242" s="1"/>
  <c r="Q66" i="242" s="1"/>
  <c r="Q67" i="242" s="1"/>
  <c r="Q68" i="242" s="1"/>
  <c r="Q69" i="242" s="1"/>
  <c r="Q70" i="242" s="1"/>
  <c r="Q71" i="242" s="1"/>
  <c r="H62" i="266" l="1"/>
  <c r="H63" i="266" s="1"/>
  <c r="E61" i="266"/>
  <c r="E63" i="266" s="1"/>
  <c r="E72" i="266" s="1"/>
  <c r="K74" i="4"/>
  <c r="K75" i="4" s="1"/>
  <c r="C81" i="242"/>
  <c r="A77" i="242"/>
  <c r="A78" i="242" s="1"/>
  <c r="A79" i="242" s="1"/>
  <c r="A80" i="242" s="1"/>
  <c r="A81" i="242" s="1"/>
  <c r="A82" i="242" s="1"/>
  <c r="A83" i="242" s="1"/>
  <c r="Q72" i="242"/>
  <c r="Q73" i="242" s="1"/>
  <c r="Q74" i="242" s="1"/>
  <c r="Q75" i="242" s="1"/>
  <c r="Q76" i="242" s="1"/>
  <c r="W15" i="4"/>
  <c r="X15" i="4"/>
  <c r="A85" i="242" l="1"/>
  <c r="A86" i="242" s="1"/>
  <c r="A87" i="242" s="1"/>
  <c r="A88" i="242" s="1"/>
  <c r="A89" i="242" s="1"/>
  <c r="A90" i="242" s="1"/>
  <c r="A91" i="242" s="1"/>
  <c r="A92" i="242" s="1"/>
  <c r="A93" i="242" s="1"/>
  <c r="A94" i="242" s="1"/>
  <c r="A95" i="242" s="1"/>
  <c r="A84" i="242"/>
  <c r="G14" i="277"/>
  <c r="E81" i="242"/>
  <c r="C82" i="242"/>
  <c r="Q77" i="242"/>
  <c r="B12" i="239"/>
  <c r="F81" i="242" l="1"/>
  <c r="G28" i="198" s="1"/>
  <c r="J28" i="198" s="1"/>
  <c r="E82" i="242"/>
  <c r="Q78" i="242"/>
  <c r="I77" i="242"/>
  <c r="AM9" i="231"/>
  <c r="AL9" i="231"/>
  <c r="AK9" i="231"/>
  <c r="AJ9" i="231"/>
  <c r="AJ10" i="231" s="1"/>
  <c r="AM8" i="231"/>
  <c r="AL8" i="231"/>
  <c r="AK8" i="231"/>
  <c r="K78" i="239" l="1"/>
  <c r="M78" i="239" s="1"/>
  <c r="N78" i="239" s="1"/>
  <c r="J23" i="198"/>
  <c r="F82" i="242"/>
  <c r="J77" i="242"/>
  <c r="N77" i="242" s="1"/>
  <c r="O77" i="242" s="1"/>
  <c r="Q79" i="242"/>
  <c r="I78" i="242"/>
  <c r="J78" i="242" s="1"/>
  <c r="N78" i="242" s="1"/>
  <c r="O78" i="242" s="1"/>
  <c r="AJ11" i="231"/>
  <c r="AJ12" i="231" s="1"/>
  <c r="AJ13" i="231" s="1"/>
  <c r="AJ14" i="231" s="1"/>
  <c r="AJ15" i="231" s="1"/>
  <c r="AJ16" i="231" s="1"/>
  <c r="AJ17" i="231" s="1"/>
  <c r="AJ18" i="231" s="1"/>
  <c r="AJ19" i="231" s="1"/>
  <c r="G19" i="231" s="1"/>
  <c r="K77" i="239" l="1"/>
  <c r="M77" i="239" s="1"/>
  <c r="Q80" i="242"/>
  <c r="I79" i="242"/>
  <c r="J79" i="242" s="1"/>
  <c r="N79" i="242" s="1"/>
  <c r="O79" i="242" s="1"/>
  <c r="G17" i="231"/>
  <c r="G11" i="231"/>
  <c r="G15" i="231"/>
  <c r="G13" i="231"/>
  <c r="AJ20" i="231"/>
  <c r="AJ21" i="231" s="1"/>
  <c r="G21" i="231" s="1"/>
  <c r="H6" i="232"/>
  <c r="H7" i="232" s="1"/>
  <c r="H8" i="232" s="1"/>
  <c r="Q81" i="242" l="1"/>
  <c r="Q82" i="242" s="1"/>
  <c r="Q83" i="242" s="1"/>
  <c r="I80" i="242"/>
  <c r="J80" i="242" s="1"/>
  <c r="N80" i="242" s="1"/>
  <c r="O80" i="242" s="1"/>
  <c r="AJ22" i="231"/>
  <c r="AJ23" i="231" s="1"/>
  <c r="G23" i="231" s="1"/>
  <c r="H9" i="232"/>
  <c r="H10" i="232" s="1"/>
  <c r="H11" i="232" s="1"/>
  <c r="H12" i="232" s="1"/>
  <c r="H13" i="232" s="1"/>
  <c r="H14" i="232" s="1"/>
  <c r="H15" i="232" s="1"/>
  <c r="H16" i="232" s="1"/>
  <c r="H17" i="232" s="1"/>
  <c r="H19" i="232" s="1"/>
  <c r="H20" i="232" s="1"/>
  <c r="H21" i="232" s="1"/>
  <c r="H22" i="232" s="1"/>
  <c r="H23" i="232" s="1"/>
  <c r="H24" i="232" s="1"/>
  <c r="H25" i="232" s="1"/>
  <c r="H26" i="232" s="1"/>
  <c r="H27" i="232" s="1"/>
  <c r="H28" i="232" s="1"/>
  <c r="H29" i="232" s="1"/>
  <c r="H30" i="232" s="1"/>
  <c r="Q84" i="242" l="1"/>
  <c r="Q85" i="242" s="1"/>
  <c r="Q86" i="242" s="1"/>
  <c r="Q87" i="242" s="1"/>
  <c r="Q88" i="242" s="1"/>
  <c r="Q89" i="242" s="1"/>
  <c r="Q90" i="242" s="1"/>
  <c r="Q91" i="242" s="1"/>
  <c r="Q92" i="242" s="1"/>
  <c r="Q93" i="242" s="1"/>
  <c r="Q94" i="242" s="1"/>
  <c r="Q95" i="242" s="1"/>
  <c r="AJ24" i="231"/>
  <c r="AJ25" i="231" s="1"/>
  <c r="G25" i="231" s="1"/>
  <c r="J1" i="261"/>
  <c r="A12" i="261"/>
  <c r="L9" i="261"/>
  <c r="L10" i="261" s="1"/>
  <c r="L11" i="261" s="1"/>
  <c r="L12" i="261" s="1"/>
  <c r="L13" i="261" s="1"/>
  <c r="L14" i="261" s="1"/>
  <c r="L15" i="261" s="1"/>
  <c r="F14" i="261" l="1"/>
  <c r="F13" i="261"/>
  <c r="AJ26" i="231"/>
  <c r="AJ27" i="231" s="1"/>
  <c r="G27" i="231" s="1"/>
  <c r="L16" i="261"/>
  <c r="L17" i="261" s="1"/>
  <c r="L18" i="261" s="1"/>
  <c r="L19" i="261" s="1"/>
  <c r="L20" i="261" s="1"/>
  <c r="L21" i="261" s="1"/>
  <c r="L22" i="261" s="1"/>
  <c r="L23" i="261" s="1"/>
  <c r="L24" i="261" s="1"/>
  <c r="L25" i="261" s="1"/>
  <c r="L26" i="261" s="1"/>
  <c r="L27" i="261" s="1"/>
  <c r="L28" i="261" s="1"/>
  <c r="L29" i="261" s="1"/>
  <c r="L30" i="261" s="1"/>
  <c r="L31" i="261" s="1"/>
  <c r="L32" i="261" s="1"/>
  <c r="L33" i="261" s="1"/>
  <c r="L34" i="261" s="1"/>
  <c r="L35" i="261" s="1"/>
  <c r="L36" i="261" s="1"/>
  <c r="L37" i="261" s="1"/>
  <c r="L38" i="261" s="1"/>
  <c r="L39" i="261" s="1"/>
  <c r="L40" i="261" s="1"/>
  <c r="L41" i="261" s="1"/>
  <c r="L42" i="261" s="1"/>
  <c r="L43" i="261" s="1"/>
  <c r="L44" i="261" s="1"/>
  <c r="L45" i="261" s="1"/>
  <c r="L46" i="261" s="1"/>
  <c r="L47" i="261" s="1"/>
  <c r="L48" i="261" s="1"/>
  <c r="L49" i="261" s="1"/>
  <c r="L50" i="261" s="1"/>
  <c r="L51" i="261" s="1"/>
  <c r="L52" i="261" s="1"/>
  <c r="L53" i="261" s="1"/>
  <c r="L54" i="261" s="1"/>
  <c r="L55" i="261" s="1"/>
  <c r="L56" i="261" s="1"/>
  <c r="L57" i="261" s="1"/>
  <c r="L58" i="261" s="1"/>
  <c r="L59" i="261" s="1"/>
  <c r="L60" i="261" s="1"/>
  <c r="L61" i="261" s="1"/>
  <c r="A13" i="261"/>
  <c r="A14" i="261" s="1"/>
  <c r="A15" i="261" s="1"/>
  <c r="L47" i="40"/>
  <c r="F18" i="261" l="1"/>
  <c r="J18" i="261" s="1"/>
  <c r="K31" i="40" s="1"/>
  <c r="F25" i="261"/>
  <c r="F27" i="261"/>
  <c r="F33" i="261"/>
  <c r="F26" i="261"/>
  <c r="F32" i="261"/>
  <c r="J32" i="261" s="1"/>
  <c r="K63" i="40" s="1"/>
  <c r="F36" i="261"/>
  <c r="F58" i="261"/>
  <c r="F24" i="261"/>
  <c r="F28" i="261"/>
  <c r="F19" i="261"/>
  <c r="H20" i="261"/>
  <c r="J14" i="261"/>
  <c r="K18" i="40" s="1"/>
  <c r="J13" i="261"/>
  <c r="K16" i="40" s="1"/>
  <c r="H15" i="261"/>
  <c r="AJ28" i="231"/>
  <c r="AJ29" i="231" s="1"/>
  <c r="G29" i="231" s="1"/>
  <c r="A16" i="261"/>
  <c r="A17" i="261" s="1"/>
  <c r="A18" i="261" s="1"/>
  <c r="A19" i="261" s="1"/>
  <c r="A20" i="261" s="1"/>
  <c r="A21" i="261" s="1"/>
  <c r="A22" i="261" s="1"/>
  <c r="A23" i="261" s="1"/>
  <c r="A24" i="261" s="1"/>
  <c r="A25" i="261" s="1"/>
  <c r="A26" i="261" s="1"/>
  <c r="A27" i="261" s="1"/>
  <c r="A28" i="261" s="1"/>
  <c r="A29" i="261" s="1"/>
  <c r="A30" i="261" s="1"/>
  <c r="A31" i="261" s="1"/>
  <c r="A32" i="261" s="1"/>
  <c r="A33" i="261" s="1"/>
  <c r="A34" i="261" s="1"/>
  <c r="A35" i="261" s="1"/>
  <c r="A36" i="261" s="1"/>
  <c r="A37" i="261" s="1"/>
  <c r="A38" i="261" s="1"/>
  <c r="A39" i="261" s="1"/>
  <c r="A40" i="261" s="1"/>
  <c r="A41" i="261" s="1"/>
  <c r="A42" i="261" s="1"/>
  <c r="A43" i="261" s="1"/>
  <c r="A44" i="261" s="1"/>
  <c r="A45" i="261" s="1"/>
  <c r="A46" i="261" s="1"/>
  <c r="A47" i="261" s="1"/>
  <c r="A48" i="261" s="1"/>
  <c r="A49" i="261" s="1"/>
  <c r="A50" i="261" s="1"/>
  <c r="A51" i="261" s="1"/>
  <c r="A52" i="261" s="1"/>
  <c r="A53" i="261" s="1"/>
  <c r="A54" i="261" s="1"/>
  <c r="A55" i="261" s="1"/>
  <c r="A56" i="261" s="1"/>
  <c r="A57" i="261" s="1"/>
  <c r="F15" i="261"/>
  <c r="F35" i="261"/>
  <c r="F34" i="261"/>
  <c r="F37" i="261"/>
  <c r="F42" i="261"/>
  <c r="F43" i="261"/>
  <c r="K23" i="40" l="1"/>
  <c r="H29" i="261"/>
  <c r="F29" i="261"/>
  <c r="J25" i="261"/>
  <c r="K53" i="40" s="1"/>
  <c r="J35" i="261"/>
  <c r="K66" i="40" s="1"/>
  <c r="J36" i="261"/>
  <c r="K67" i="40" s="1"/>
  <c r="J28" i="261"/>
  <c r="K57" i="40" s="1"/>
  <c r="J26" i="261"/>
  <c r="K54" i="40" s="1"/>
  <c r="J24" i="261"/>
  <c r="K52" i="40" s="1"/>
  <c r="J27" i="261"/>
  <c r="K56" i="40" s="1"/>
  <c r="H50" i="261"/>
  <c r="J19" i="261"/>
  <c r="K32" i="40" s="1"/>
  <c r="K33" i="40" s="1"/>
  <c r="J58" i="261"/>
  <c r="K91" i="40" s="1"/>
  <c r="J37" i="261"/>
  <c r="K68" i="40" s="1"/>
  <c r="J34" i="261"/>
  <c r="K65" i="40" s="1"/>
  <c r="H38" i="261"/>
  <c r="H60" i="261"/>
  <c r="A58" i="261"/>
  <c r="A59" i="261" s="1"/>
  <c r="A60" i="261" s="1"/>
  <c r="A61" i="261" s="1"/>
  <c r="A62" i="261" s="1"/>
  <c r="A63" i="261" s="1"/>
  <c r="A64" i="261" s="1"/>
  <c r="A65" i="261" s="1"/>
  <c r="A66" i="261" s="1"/>
  <c r="A67" i="261" s="1"/>
  <c r="A68" i="261" s="1"/>
  <c r="A69" i="261" s="1"/>
  <c r="A70" i="261" s="1"/>
  <c r="A71" i="261" s="1"/>
  <c r="A72" i="261" s="1"/>
  <c r="A73" i="261" s="1"/>
  <c r="A74" i="261" s="1"/>
  <c r="A75" i="261" s="1"/>
  <c r="A76" i="261" s="1"/>
  <c r="A77" i="261" s="1"/>
  <c r="A78" i="261" s="1"/>
  <c r="A79" i="261" s="1"/>
  <c r="A80" i="261" s="1"/>
  <c r="A81" i="261" s="1"/>
  <c r="A82" i="261" s="1"/>
  <c r="A83" i="261" s="1"/>
  <c r="A84" i="261" s="1"/>
  <c r="A85" i="261" s="1"/>
  <c r="A86" i="261" s="1"/>
  <c r="A87" i="261" s="1"/>
  <c r="A88" i="261" s="1"/>
  <c r="A89" i="261" s="1"/>
  <c r="A90" i="261" s="1"/>
  <c r="A91" i="261" s="1"/>
  <c r="A92" i="261" s="1"/>
  <c r="A93" i="261" s="1"/>
  <c r="A94" i="261" s="1"/>
  <c r="A95" i="261" s="1"/>
  <c r="A96" i="261" s="1"/>
  <c r="A97" i="261" s="1"/>
  <c r="A98" i="261" s="1"/>
  <c r="A99" i="261" s="1"/>
  <c r="A100" i="261" s="1"/>
  <c r="A101" i="261" s="1"/>
  <c r="A102" i="261" s="1"/>
  <c r="A103" i="261" s="1"/>
  <c r="A104" i="261" s="1"/>
  <c r="A105" i="261" s="1"/>
  <c r="A106" i="261" s="1"/>
  <c r="A107" i="261" s="1"/>
  <c r="A108" i="261" s="1"/>
  <c r="A109" i="261" s="1"/>
  <c r="A110" i="261" s="1"/>
  <c r="A111" i="261" s="1"/>
  <c r="A112" i="261" s="1"/>
  <c r="A113" i="261" s="1"/>
  <c r="A114" i="261" s="1"/>
  <c r="A115" i="261" s="1"/>
  <c r="A116" i="261" s="1"/>
  <c r="A117" i="261" s="1"/>
  <c r="A118" i="261" s="1"/>
  <c r="A119" i="261" s="1"/>
  <c r="A120" i="261" s="1"/>
  <c r="A121" i="261" s="1"/>
  <c r="A122" i="261" s="1"/>
  <c r="A123" i="261" s="1"/>
  <c r="A124" i="261" s="1"/>
  <c r="A125" i="261" s="1"/>
  <c r="A126" i="261" s="1"/>
  <c r="A127" i="261" s="1"/>
  <c r="A128" i="261" s="1"/>
  <c r="A129" i="261" s="1"/>
  <c r="A130" i="261" s="1"/>
  <c r="A131" i="261" s="1"/>
  <c r="A132" i="261" s="1"/>
  <c r="A133" i="261" s="1"/>
  <c r="A134" i="261" s="1"/>
  <c r="A135" i="261" s="1"/>
  <c r="A136" i="261" s="1"/>
  <c r="A137" i="261" s="1"/>
  <c r="A138" i="261" s="1"/>
  <c r="A139" i="261" s="1"/>
  <c r="A140" i="261" s="1"/>
  <c r="A141" i="261" s="1"/>
  <c r="F20" i="261"/>
  <c r="J33" i="261"/>
  <c r="K64" i="40" s="1"/>
  <c r="J15" i="261"/>
  <c r="I23" i="40"/>
  <c r="AJ30" i="231"/>
  <c r="AJ31" i="231" s="1"/>
  <c r="G31" i="231" s="1"/>
  <c r="F38" i="261"/>
  <c r="F44" i="261"/>
  <c r="K60" i="40" l="1"/>
  <c r="K69" i="40"/>
  <c r="J29" i="261"/>
  <c r="I60" i="40"/>
  <c r="I69" i="40"/>
  <c r="I33" i="40"/>
  <c r="H62" i="261"/>
  <c r="J20" i="261"/>
  <c r="J38" i="261"/>
  <c r="AJ32" i="231"/>
  <c r="AJ33" i="231" s="1"/>
  <c r="G33" i="231" s="1"/>
  <c r="J43" i="261"/>
  <c r="K76" i="40" s="1"/>
  <c r="F45" i="261"/>
  <c r="J44" i="261"/>
  <c r="K77" i="40" s="1"/>
  <c r="K71" i="40" l="1"/>
  <c r="I71" i="40"/>
  <c r="AJ34" i="231"/>
  <c r="AJ35" i="231" s="1"/>
  <c r="G35" i="231" s="1"/>
  <c r="J45" i="261"/>
  <c r="K78" i="40" s="1"/>
  <c r="J42" i="261"/>
  <c r="K75" i="40" s="1"/>
  <c r="F46" i="261"/>
  <c r="AJ36" i="231" l="1"/>
  <c r="AJ37" i="231" s="1"/>
  <c r="G37" i="231" s="1"/>
  <c r="J46" i="261"/>
  <c r="K79" i="40" s="1"/>
  <c r="F47" i="261"/>
  <c r="AJ38" i="231" l="1"/>
  <c r="AJ39" i="231" s="1"/>
  <c r="G39" i="231" s="1"/>
  <c r="F48" i="261"/>
  <c r="J47" i="261"/>
  <c r="K80" i="40" s="1"/>
  <c r="I81" i="242" l="1"/>
  <c r="AJ40" i="231"/>
  <c r="AJ41" i="231" s="1"/>
  <c r="G41" i="231" s="1"/>
  <c r="J48" i="261"/>
  <c r="K81" i="40" s="1"/>
  <c r="F49" i="261"/>
  <c r="J81" i="242" l="1"/>
  <c r="I82" i="242"/>
  <c r="AJ42" i="231"/>
  <c r="AJ43" i="231" s="1"/>
  <c r="G43" i="231" s="1"/>
  <c r="F53" i="261"/>
  <c r="J49" i="261"/>
  <c r="F50" i="261"/>
  <c r="J82" i="242" l="1"/>
  <c r="K82" i="40"/>
  <c r="AJ44" i="231"/>
  <c r="AJ45" i="231" s="1"/>
  <c r="G45" i="231" s="1"/>
  <c r="J50" i="261"/>
  <c r="F54" i="261"/>
  <c r="J53" i="261"/>
  <c r="K86" i="40" s="1"/>
  <c r="AJ46" i="231" l="1"/>
  <c r="AJ47" i="231" s="1"/>
  <c r="F55" i="261"/>
  <c r="J54" i="261"/>
  <c r="K87" i="40" s="1"/>
  <c r="AJ48" i="231" l="1"/>
  <c r="AJ49" i="231" s="1"/>
  <c r="G49" i="231" s="1"/>
  <c r="G47" i="231"/>
  <c r="F56" i="261"/>
  <c r="J55" i="261"/>
  <c r="K88" i="40" s="1"/>
  <c r="AJ50" i="231" l="1"/>
  <c r="AJ51" i="231" s="1"/>
  <c r="F57" i="261"/>
  <c r="J56" i="261"/>
  <c r="K89" i="40" s="1"/>
  <c r="G51" i="231" l="1"/>
  <c r="AJ52" i="231"/>
  <c r="AJ53" i="231" s="1"/>
  <c r="G53" i="231" s="1"/>
  <c r="J57" i="261"/>
  <c r="K90" i="40" s="1"/>
  <c r="F59" i="261"/>
  <c r="L62" i="261"/>
  <c r="L63" i="261" s="1"/>
  <c r="L64" i="261" s="1"/>
  <c r="L65" i="261" s="1"/>
  <c r="L66" i="261" s="1"/>
  <c r="AJ54" i="231" l="1"/>
  <c r="AJ55" i="231" s="1"/>
  <c r="G55" i="231" s="1"/>
  <c r="L67" i="261"/>
  <c r="F66" i="261"/>
  <c r="J59" i="261"/>
  <c r="F60" i="261"/>
  <c r="F62" i="261" s="1"/>
  <c r="AJ56" i="231" l="1"/>
  <c r="AJ57" i="231" s="1"/>
  <c r="G57" i="231" s="1"/>
  <c r="K92" i="40"/>
  <c r="J60" i="261"/>
  <c r="J62" i="261" s="1"/>
  <c r="J66" i="261"/>
  <c r="K99" i="40" s="1"/>
  <c r="L68" i="261"/>
  <c r="F67" i="261"/>
  <c r="AJ58" i="231" l="1"/>
  <c r="AJ59" i="231" s="1"/>
  <c r="G59" i="231" s="1"/>
  <c r="J67" i="261"/>
  <c r="K100" i="40" s="1"/>
  <c r="L69" i="261"/>
  <c r="F68" i="261"/>
  <c r="AJ60" i="231" l="1"/>
  <c r="AJ61" i="231" s="1"/>
  <c r="G61" i="231" s="1"/>
  <c r="J68" i="261"/>
  <c r="F69" i="261"/>
  <c r="L70" i="261"/>
  <c r="AJ62" i="231" l="1"/>
  <c r="AJ63" i="231" s="1"/>
  <c r="G63" i="231" s="1"/>
  <c r="K101" i="40"/>
  <c r="T101" i="40" s="1"/>
  <c r="J69" i="261"/>
  <c r="K102" i="40" s="1"/>
  <c r="L71" i="261"/>
  <c r="F70" i="261"/>
  <c r="AJ64" i="231" l="1"/>
  <c r="AJ65" i="231" s="1"/>
  <c r="G65" i="231" s="1"/>
  <c r="J70" i="261"/>
  <c r="K103" i="40" s="1"/>
  <c r="L72" i="261"/>
  <c r="F71" i="261"/>
  <c r="AJ66" i="231" l="1"/>
  <c r="AJ67" i="231" s="1"/>
  <c r="G67" i="231" s="1"/>
  <c r="J71" i="261"/>
  <c r="K104" i="40" s="1"/>
  <c r="L73" i="261"/>
  <c r="F72" i="261"/>
  <c r="AJ68" i="231" l="1"/>
  <c r="AJ69" i="231" s="1"/>
  <c r="G69" i="231" s="1"/>
  <c r="J72" i="261"/>
  <c r="K105" i="40" s="1"/>
  <c r="F73" i="261"/>
  <c r="L74" i="261"/>
  <c r="AJ70" i="231" l="1"/>
  <c r="AJ71" i="231" s="1"/>
  <c r="G71" i="231" s="1"/>
  <c r="L75" i="261"/>
  <c r="F74" i="261"/>
  <c r="J73" i="261"/>
  <c r="K106" i="40" s="1"/>
  <c r="AJ72" i="231" l="1"/>
  <c r="AJ73" i="231" s="1"/>
  <c r="G73" i="231" s="1"/>
  <c r="J74" i="261"/>
  <c r="K107" i="40" s="1"/>
  <c r="L76" i="261"/>
  <c r="H77" i="261" s="1"/>
  <c r="F75" i="261"/>
  <c r="AJ74" i="231" l="1"/>
  <c r="AJ75" i="231" s="1"/>
  <c r="G75" i="231" s="1"/>
  <c r="J75" i="261"/>
  <c r="K108" i="40" s="1"/>
  <c r="L77" i="261"/>
  <c r="L78" i="261" s="1"/>
  <c r="L79" i="261" s="1"/>
  <c r="L80" i="261" s="1"/>
  <c r="F76" i="261"/>
  <c r="AJ76" i="231" l="1"/>
  <c r="AJ77" i="231" s="1"/>
  <c r="G77" i="231" s="1"/>
  <c r="J76" i="261"/>
  <c r="K109" i="40" s="1"/>
  <c r="F77" i="261"/>
  <c r="L81" i="261"/>
  <c r="F80" i="261"/>
  <c r="AJ78" i="231" l="1"/>
  <c r="AJ79" i="231" s="1"/>
  <c r="G79" i="231" s="1"/>
  <c r="J77" i="261"/>
  <c r="J80" i="261"/>
  <c r="K113" i="40" s="1"/>
  <c r="L82" i="261"/>
  <c r="F81" i="261"/>
  <c r="AJ80" i="231" l="1"/>
  <c r="AJ81" i="231" s="1"/>
  <c r="G81" i="231"/>
  <c r="L83" i="261"/>
  <c r="F82" i="261"/>
  <c r="J81" i="261"/>
  <c r="K114" i="40" s="1"/>
  <c r="AJ82" i="231" l="1"/>
  <c r="AJ83" i="231" s="1"/>
  <c r="G83" i="231" s="1"/>
  <c r="J82" i="261"/>
  <c r="K115" i="40" s="1"/>
  <c r="L84" i="261"/>
  <c r="F83" i="261"/>
  <c r="AJ84" i="231" l="1"/>
  <c r="AJ85" i="231" s="1"/>
  <c r="G85" i="231" s="1"/>
  <c r="L85" i="261"/>
  <c r="F84" i="261"/>
  <c r="J83" i="261"/>
  <c r="K116" i="40" s="1"/>
  <c r="AJ86" i="231" l="1"/>
  <c r="J84" i="261"/>
  <c r="K117" i="40" s="1"/>
  <c r="L86" i="261"/>
  <c r="F85" i="261"/>
  <c r="G87" i="231" l="1"/>
  <c r="AJ87" i="231"/>
  <c r="AJ88" i="231" s="1"/>
  <c r="AJ89" i="231" s="1"/>
  <c r="J85" i="261"/>
  <c r="K118" i="40" s="1"/>
  <c r="L87" i="261"/>
  <c r="F86" i="261"/>
  <c r="J86" i="261" l="1"/>
  <c r="K119" i="40" s="1"/>
  <c r="L88" i="261"/>
  <c r="F87" i="261"/>
  <c r="J87" i="261" l="1"/>
  <c r="K120" i="40" s="1"/>
  <c r="L89" i="261"/>
  <c r="H90" i="261" s="1"/>
  <c r="H92" i="261" s="1"/>
  <c r="F88" i="261"/>
  <c r="J88" i="261" l="1"/>
  <c r="K121" i="40" s="1"/>
  <c r="L90" i="261"/>
  <c r="L91" i="261" s="1"/>
  <c r="L92" i="261" s="1"/>
  <c r="L93" i="261" s="1"/>
  <c r="L94" i="261" s="1"/>
  <c r="L95" i="261" s="1"/>
  <c r="L96" i="261" s="1"/>
  <c r="F89" i="261"/>
  <c r="F96" i="261" l="1"/>
  <c r="L97" i="261"/>
  <c r="J89" i="261"/>
  <c r="F90" i="261"/>
  <c r="F92" i="261" s="1"/>
  <c r="K122" i="40" l="1"/>
  <c r="J90" i="261"/>
  <c r="J92" i="261" s="1"/>
  <c r="J96" i="261"/>
  <c r="K129" i="40" s="1"/>
  <c r="L98" i="261"/>
  <c r="F97" i="261"/>
  <c r="J97" i="261" l="1"/>
  <c r="K130" i="40" s="1"/>
  <c r="F98" i="261"/>
  <c r="L99" i="261"/>
  <c r="L100" i="261" l="1"/>
  <c r="H101" i="261" s="1"/>
  <c r="F99" i="261"/>
  <c r="J98" i="261"/>
  <c r="K131" i="40" s="1"/>
  <c r="J99" i="261" l="1"/>
  <c r="K132" i="40" s="1"/>
  <c r="L101" i="261"/>
  <c r="L102" i="261" s="1"/>
  <c r="L103" i="261" s="1"/>
  <c r="L104" i="261" s="1"/>
  <c r="L105" i="261" s="1"/>
  <c r="F100" i="261"/>
  <c r="F105" i="261" l="1"/>
  <c r="L106" i="261"/>
  <c r="J100" i="261"/>
  <c r="K133" i="40" s="1"/>
  <c r="F101" i="261"/>
  <c r="J101" i="261" l="1"/>
  <c r="L107" i="261"/>
  <c r="F106" i="261"/>
  <c r="J105" i="261"/>
  <c r="K138" i="40" s="1"/>
  <c r="J106" i="261" l="1"/>
  <c r="K139" i="40" s="1"/>
  <c r="F107" i="261"/>
  <c r="L108" i="261"/>
  <c r="H109" i="261" s="1"/>
  <c r="L109" i="261" l="1"/>
  <c r="L110" i="261" s="1"/>
  <c r="L111" i="261" s="1"/>
  <c r="L112" i="261" s="1"/>
  <c r="L113" i="261" s="1"/>
  <c r="F108" i="261"/>
  <c r="J107" i="261"/>
  <c r="K140" i="40" s="1"/>
  <c r="J108" i="261" l="1"/>
  <c r="K141" i="40" s="1"/>
  <c r="F109" i="261"/>
  <c r="F113" i="261"/>
  <c r="L114" i="261"/>
  <c r="J109" i="261" l="1"/>
  <c r="J113" i="261"/>
  <c r="K146" i="40" s="1"/>
  <c r="L115" i="261"/>
  <c r="F114" i="261"/>
  <c r="J114" i="261" l="1"/>
  <c r="K147" i="40" s="1"/>
  <c r="L116" i="261"/>
  <c r="H117" i="261" s="1"/>
  <c r="F115" i="261"/>
  <c r="J115" i="261" l="1"/>
  <c r="K148" i="40" s="1"/>
  <c r="L117" i="261"/>
  <c r="L118" i="261" s="1"/>
  <c r="L119" i="261" s="1"/>
  <c r="L120" i="261" s="1"/>
  <c r="L121" i="261" s="1"/>
  <c r="F116" i="261"/>
  <c r="J116" i="261" l="1"/>
  <c r="K149" i="40" s="1"/>
  <c r="F117" i="261"/>
  <c r="F121" i="261"/>
  <c r="L122" i="261"/>
  <c r="J117" i="261" l="1"/>
  <c r="J121" i="261"/>
  <c r="K154" i="40" s="1"/>
  <c r="F122" i="261"/>
  <c r="L123" i="261"/>
  <c r="J122" i="261" l="1"/>
  <c r="K155" i="40" s="1"/>
  <c r="L124" i="261"/>
  <c r="F123" i="261"/>
  <c r="J123" i="261" l="1"/>
  <c r="K156" i="40" s="1"/>
  <c r="F124" i="261"/>
  <c r="L125" i="261"/>
  <c r="L126" i="261" l="1"/>
  <c r="F125" i="261"/>
  <c r="J124" i="261"/>
  <c r="K157" i="40" s="1"/>
  <c r="J125" i="261" l="1"/>
  <c r="K158" i="40" s="1"/>
  <c r="L127" i="261"/>
  <c r="F126" i="261"/>
  <c r="J126" i="261" l="1"/>
  <c r="K159" i="40" s="1"/>
  <c r="L128" i="261"/>
  <c r="F127" i="261"/>
  <c r="J127" i="261" s="1"/>
  <c r="K160" i="40" s="1"/>
  <c r="L129" i="261" l="1"/>
  <c r="F128" i="261"/>
  <c r="J128" i="261" s="1"/>
  <c r="K161" i="40" s="1"/>
  <c r="T161" i="40" l="1"/>
  <c r="L130" i="261"/>
  <c r="F129" i="261"/>
  <c r="J129" i="261" l="1"/>
  <c r="K162" i="40" s="1"/>
  <c r="L131" i="261"/>
  <c r="F130" i="261"/>
  <c r="J130" i="261" l="1"/>
  <c r="K164" i="40" s="1"/>
  <c r="L132" i="261"/>
  <c r="H133" i="261" s="1"/>
  <c r="F131" i="261"/>
  <c r="J131" i="261" l="1"/>
  <c r="K165" i="40" s="1"/>
  <c r="F132" i="261"/>
  <c r="L133" i="261"/>
  <c r="L134" i="261" s="1"/>
  <c r="L135" i="261" s="1"/>
  <c r="L136" i="261" s="1"/>
  <c r="H137" i="261" s="1"/>
  <c r="H139" i="261" s="1"/>
  <c r="L15" i="194" s="1"/>
  <c r="J132" i="261" l="1"/>
  <c r="K166" i="40" s="1"/>
  <c r="F133" i="261"/>
  <c r="L137" i="261"/>
  <c r="L138" i="261" s="1"/>
  <c r="L139" i="261" s="1"/>
  <c r="L140" i="261" s="1"/>
  <c r="F136" i="261"/>
  <c r="J133" i="261" l="1"/>
  <c r="F137" i="261"/>
  <c r="F139" i="261" s="1"/>
  <c r="L13" i="194" s="1"/>
  <c r="J136" i="261"/>
  <c r="K170" i="40" s="1"/>
  <c r="J137" i="261" l="1"/>
  <c r="A30" i="240"/>
  <c r="A31" i="240" s="1"/>
  <c r="A32" i="240" s="1"/>
  <c r="A33" i="240" s="1"/>
  <c r="A34" i="240" s="1"/>
  <c r="A35" i="240" s="1"/>
  <c r="A36" i="240" s="1"/>
  <c r="A37" i="240" s="1"/>
  <c r="J139" i="261" l="1"/>
  <c r="A38" i="240"/>
  <c r="A39" i="240" s="1"/>
  <c r="A40" i="240" s="1"/>
  <c r="A41" i="240" s="1"/>
  <c r="A42" i="240" s="1"/>
  <c r="A43" i="240" s="1"/>
  <c r="A44" i="240" s="1"/>
  <c r="A45" i="240" s="1"/>
  <c r="A46" i="240" s="1"/>
  <c r="A47" i="240" s="1"/>
  <c r="A48" i="240" s="1"/>
  <c r="A49" i="240" s="1"/>
  <c r="A50" i="240" s="1"/>
  <c r="A51" i="240" s="1"/>
  <c r="A52" i="240" s="1"/>
  <c r="A53" i="240" s="1"/>
  <c r="A54" i="240" s="1"/>
  <c r="A55" i="240" s="1"/>
  <c r="A56" i="240" s="1"/>
  <c r="A57" i="240" s="1"/>
  <c r="A58" i="240" s="1"/>
  <c r="A59" i="240" s="1"/>
  <c r="A60" i="240" s="1"/>
  <c r="A61" i="240" s="1"/>
  <c r="A62" i="240" s="1"/>
  <c r="A63" i="240" s="1"/>
  <c r="A64" i="240" s="1"/>
  <c r="A65" i="240" s="1"/>
  <c r="A66" i="240" s="1"/>
  <c r="A67" i="240" s="1"/>
  <c r="A68" i="240" s="1"/>
  <c r="A69" i="240" s="1"/>
  <c r="A70" i="240" s="1"/>
  <c r="A71" i="240" s="1"/>
  <c r="A72" i="240" s="1"/>
  <c r="A73" i="240" s="1"/>
  <c r="A74" i="240" s="1"/>
  <c r="A75" i="240" s="1"/>
  <c r="A76" i="240" s="1"/>
  <c r="A77" i="240" s="1"/>
  <c r="A78" i="240" s="1"/>
  <c r="A79" i="240" s="1"/>
  <c r="A80" i="240" s="1"/>
  <c r="A81" i="240" s="1"/>
  <c r="P47" i="40"/>
  <c r="K175" i="40" l="1"/>
  <c r="G60" i="277"/>
  <c r="G12" i="237"/>
  <c r="M6" i="240"/>
  <c r="L6" i="240"/>
  <c r="K6" i="240"/>
  <c r="J6" i="240"/>
  <c r="J7" i="240" s="1"/>
  <c r="M5" i="240"/>
  <c r="L5" i="240"/>
  <c r="K5" i="240"/>
  <c r="J8" i="240" l="1"/>
  <c r="J9" i="240" s="1"/>
  <c r="E9" i="240"/>
  <c r="J10" i="240" l="1"/>
  <c r="E8" i="240"/>
  <c r="J11" i="240" l="1"/>
  <c r="E10" i="240"/>
  <c r="J12" i="240" l="1"/>
  <c r="E11" i="240"/>
  <c r="E12" i="240" l="1"/>
  <c r="J13" i="240"/>
  <c r="J14" i="240" l="1"/>
  <c r="E13" i="240"/>
  <c r="J15" i="240" l="1"/>
  <c r="E14" i="240"/>
  <c r="H99" i="277" l="1"/>
  <c r="J16" i="240"/>
  <c r="E15" i="240"/>
  <c r="H9" i="236"/>
  <c r="H10" i="236" s="1"/>
  <c r="H11" i="236" s="1"/>
  <c r="J17" i="240" l="1"/>
  <c r="E16" i="240"/>
  <c r="H12" i="236"/>
  <c r="H13" i="236" s="1"/>
  <c r="H14" i="236" s="1"/>
  <c r="H15" i="236" s="1"/>
  <c r="H16" i="236" s="1"/>
  <c r="H17" i="236" s="1"/>
  <c r="H18" i="236" s="1"/>
  <c r="H19" i="236" s="1"/>
  <c r="H20" i="236" s="1"/>
  <c r="H21" i="236" s="1"/>
  <c r="J18" i="240" l="1"/>
  <c r="E17" i="240"/>
  <c r="J19" i="240" l="1"/>
  <c r="E18" i="240"/>
  <c r="A1" i="158"/>
  <c r="J20" i="240" l="1"/>
  <c r="E19" i="240"/>
  <c r="R9" i="158"/>
  <c r="Q9" i="158"/>
  <c r="P9" i="158"/>
  <c r="R8" i="158"/>
  <c r="Q8" i="158"/>
  <c r="P8" i="158"/>
  <c r="J21" i="240" l="1"/>
  <c r="E20" i="240"/>
  <c r="V9" i="37"/>
  <c r="U9" i="37"/>
  <c r="T9" i="37"/>
  <c r="V8" i="37"/>
  <c r="U8" i="37"/>
  <c r="T8" i="37"/>
  <c r="J22" i="240" l="1"/>
  <c r="E21" i="240"/>
  <c r="J23" i="240" l="1"/>
  <c r="E22" i="240"/>
  <c r="P9" i="256"/>
  <c r="O9" i="256"/>
  <c r="N9" i="256"/>
  <c r="A3" i="256"/>
  <c r="K1" i="256"/>
  <c r="A1" i="256"/>
  <c r="E24" i="256" l="1"/>
  <c r="K24" i="256" s="1"/>
  <c r="H53" i="40"/>
  <c r="H67" i="40"/>
  <c r="H81" i="40"/>
  <c r="H92" i="40"/>
  <c r="E15" i="256"/>
  <c r="K15" i="256" s="1"/>
  <c r="E20" i="256"/>
  <c r="K20" i="256" s="1"/>
  <c r="H80" i="40"/>
  <c r="H54" i="40"/>
  <c r="H68" i="40"/>
  <c r="H82" i="40"/>
  <c r="E11" i="256"/>
  <c r="K11" i="256" s="1"/>
  <c r="E16" i="256"/>
  <c r="K16" i="256" s="1"/>
  <c r="E21" i="256"/>
  <c r="K21" i="256" s="1"/>
  <c r="H78" i="40"/>
  <c r="E14" i="256"/>
  <c r="K14" i="256" s="1"/>
  <c r="H56" i="40"/>
  <c r="H75" i="40"/>
  <c r="H86" i="40"/>
  <c r="E22" i="256"/>
  <c r="K22" i="256" s="1"/>
  <c r="H18" i="40"/>
  <c r="H89" i="40"/>
  <c r="H66" i="40"/>
  <c r="E19" i="256"/>
  <c r="K19" i="256" s="1"/>
  <c r="H29" i="40"/>
  <c r="H57" i="40"/>
  <c r="H76" i="40"/>
  <c r="H87" i="40"/>
  <c r="E12" i="256"/>
  <c r="K12" i="256" s="1"/>
  <c r="H32" i="40"/>
  <c r="H31" i="40"/>
  <c r="H63" i="40"/>
  <c r="H77" i="40"/>
  <c r="H88" i="40"/>
  <c r="E13" i="256"/>
  <c r="K13" i="256" s="1"/>
  <c r="E17" i="256"/>
  <c r="K17" i="256" s="1"/>
  <c r="H64" i="40"/>
  <c r="H91" i="40"/>
  <c r="H51" i="40"/>
  <c r="H65" i="40"/>
  <c r="H79" i="40"/>
  <c r="H90" i="40"/>
  <c r="E18" i="256"/>
  <c r="K18" i="256" s="1"/>
  <c r="E23" i="256"/>
  <c r="K23" i="256" s="1"/>
  <c r="E25" i="256"/>
  <c r="K25" i="256" s="1"/>
  <c r="H52" i="40"/>
  <c r="J24" i="240"/>
  <c r="E23" i="240"/>
  <c r="H105" i="40" l="1"/>
  <c r="H130" i="40"/>
  <c r="H113" i="40"/>
  <c r="H120" i="40"/>
  <c r="H104" i="40"/>
  <c r="H117" i="40"/>
  <c r="H129" i="40"/>
  <c r="H115" i="40"/>
  <c r="H146" i="40"/>
  <c r="H118" i="40"/>
  <c r="H100" i="40"/>
  <c r="H138" i="40"/>
  <c r="H102" i="40"/>
  <c r="H116" i="40"/>
  <c r="H133" i="40"/>
  <c r="H103" i="40"/>
  <c r="H122" i="40"/>
  <c r="H99" i="40"/>
  <c r="H119" i="40"/>
  <c r="H114" i="40"/>
  <c r="H155" i="40"/>
  <c r="H107" i="40"/>
  <c r="H131" i="40"/>
  <c r="H106" i="40"/>
  <c r="H165" i="40"/>
  <c r="H141" i="40"/>
  <c r="H170" i="40"/>
  <c r="H147" i="40"/>
  <c r="H121" i="40"/>
  <c r="H139" i="40"/>
  <c r="H60" i="40"/>
  <c r="H33" i="40"/>
  <c r="H69" i="40"/>
  <c r="H42" i="40"/>
  <c r="T42" i="40" s="1"/>
  <c r="H16" i="40"/>
  <c r="H23" i="40" s="1"/>
  <c r="J25" i="240"/>
  <c r="E24" i="240"/>
  <c r="H162" i="40"/>
  <c r="H154" i="40"/>
  <c r="E27" i="256"/>
  <c r="H71" i="40" l="1"/>
  <c r="H47" i="40"/>
  <c r="J26" i="240"/>
  <c r="E25" i="240"/>
  <c r="H108" i="40"/>
  <c r="K27" i="256"/>
  <c r="H157" i="40"/>
  <c r="H166" i="40"/>
  <c r="J27" i="240" l="1"/>
  <c r="E26" i="240"/>
  <c r="H175" i="40"/>
  <c r="G57" i="277"/>
  <c r="J28" i="240" l="1"/>
  <c r="E27" i="240"/>
  <c r="A3" i="254"/>
  <c r="F1" i="254"/>
  <c r="A1" i="254"/>
  <c r="J29" i="240" l="1"/>
  <c r="E28" i="240"/>
  <c r="J30" i="240" l="1"/>
  <c r="E29" i="240"/>
  <c r="J31" i="240" l="1"/>
  <c r="E30" i="240"/>
  <c r="J32" i="240" l="1"/>
  <c r="E31" i="240"/>
  <c r="R9" i="12"/>
  <c r="R8" i="12"/>
  <c r="P9" i="12"/>
  <c r="Q8" i="12"/>
  <c r="P8" i="12"/>
  <c r="J33" i="240" l="1"/>
  <c r="E32" i="240"/>
  <c r="B254" i="239"/>
  <c r="B255" i="239"/>
  <c r="B256" i="239"/>
  <c r="J34" i="240" l="1"/>
  <c r="E33" i="240"/>
  <c r="J35" i="240" l="1"/>
  <c r="E34" i="240"/>
  <c r="B260" i="239"/>
  <c r="B248" i="239"/>
  <c r="B249" i="239"/>
  <c r="B250" i="239"/>
  <c r="B251" i="239"/>
  <c r="B252" i="239"/>
  <c r="B238" i="239"/>
  <c r="B239" i="239"/>
  <c r="B240" i="239"/>
  <c r="B241" i="239"/>
  <c r="B246" i="239"/>
  <c r="B247" i="239"/>
  <c r="B219" i="239"/>
  <c r="B220" i="239"/>
  <c r="B221" i="239"/>
  <c r="B222" i="239"/>
  <c r="B223" i="239"/>
  <c r="B228" i="239"/>
  <c r="B229" i="239"/>
  <c r="B230" i="239"/>
  <c r="B231" i="239"/>
  <c r="B203" i="239"/>
  <c r="B204" i="239"/>
  <c r="B205" i="239"/>
  <c r="B206" i="239"/>
  <c r="B207" i="239"/>
  <c r="B208" i="239"/>
  <c r="B209" i="239"/>
  <c r="B210" i="239"/>
  <c r="B211" i="239"/>
  <c r="B212" i="239"/>
  <c r="B189" i="239"/>
  <c r="B190" i="239"/>
  <c r="B191" i="239"/>
  <c r="B192" i="239"/>
  <c r="B193" i="239"/>
  <c r="B194" i="239"/>
  <c r="B195" i="239"/>
  <c r="B196" i="239"/>
  <c r="B197" i="239"/>
  <c r="B198" i="239"/>
  <c r="B199" i="239"/>
  <c r="B176" i="239"/>
  <c r="B177" i="239"/>
  <c r="B178" i="239"/>
  <c r="B179" i="239"/>
  <c r="B180" i="239"/>
  <c r="B182" i="239"/>
  <c r="B166" i="239"/>
  <c r="B167" i="239"/>
  <c r="B168" i="239"/>
  <c r="B169" i="239"/>
  <c r="B170" i="239"/>
  <c r="B171" i="239"/>
  <c r="B172" i="239"/>
  <c r="B165" i="239"/>
  <c r="B129" i="239"/>
  <c r="B130" i="239"/>
  <c r="B134" i="239"/>
  <c r="B135" i="239"/>
  <c r="B136" i="239"/>
  <c r="B128" i="239"/>
  <c r="B61" i="239"/>
  <c r="B59" i="239"/>
  <c r="B60" i="239"/>
  <c r="B57" i="239"/>
  <c r="B58" i="239"/>
  <c r="B49" i="239"/>
  <c r="B55" i="239"/>
  <c r="B56" i="239"/>
  <c r="B39" i="239"/>
  <c r="B41" i="239"/>
  <c r="B43" i="239"/>
  <c r="B21" i="239"/>
  <c r="B15" i="239"/>
  <c r="B17" i="239"/>
  <c r="B18" i="239"/>
  <c r="J36" i="240" l="1"/>
  <c r="E35" i="240"/>
  <c r="B10" i="239"/>
  <c r="B11" i="239"/>
  <c r="B9" i="239"/>
  <c r="J37" i="240" l="1"/>
  <c r="E36" i="240"/>
  <c r="J38" i="240" l="1"/>
  <c r="E37" i="240"/>
  <c r="J39" i="240" l="1"/>
  <c r="E38" i="240"/>
  <c r="G16" i="2"/>
  <c r="G25" i="2" l="1"/>
  <c r="J40" i="240"/>
  <c r="E39" i="240"/>
  <c r="W8" i="2"/>
  <c r="X8" i="2"/>
  <c r="Y8" i="2"/>
  <c r="W9" i="2"/>
  <c r="X9" i="2"/>
  <c r="Y9" i="2"/>
  <c r="E14" i="2" l="1"/>
  <c r="E20" i="2"/>
  <c r="E13" i="2"/>
  <c r="E21" i="2"/>
  <c r="E31" i="2"/>
  <c r="E19" i="2"/>
  <c r="E22" i="2"/>
  <c r="T22" i="2" s="1"/>
  <c r="J41" i="240"/>
  <c r="E40" i="240"/>
  <c r="E28" i="2"/>
  <c r="T28" i="2" s="1"/>
  <c r="E32" i="2"/>
  <c r="T32" i="2" s="1"/>
  <c r="E30" i="2"/>
  <c r="T30" i="2" s="1"/>
  <c r="E29" i="2"/>
  <c r="T29" i="2" s="1"/>
  <c r="H19" i="2" l="1"/>
  <c r="T19" i="2" s="1"/>
  <c r="F21" i="2"/>
  <c r="T21" i="2" s="1"/>
  <c r="F13" i="2"/>
  <c r="T13" i="2" s="1"/>
  <c r="G31" i="2"/>
  <c r="G33" i="2" s="1"/>
  <c r="G35" i="2" s="1"/>
  <c r="K20" i="2"/>
  <c r="K23" i="2" s="1"/>
  <c r="K14" i="2"/>
  <c r="T14" i="2" s="1"/>
  <c r="G293" i="239"/>
  <c r="E23" i="2"/>
  <c r="I13" i="3" s="1"/>
  <c r="J42" i="240"/>
  <c r="E41" i="240"/>
  <c r="G289" i="239"/>
  <c r="G290" i="239"/>
  <c r="E33" i="2"/>
  <c r="G291" i="239"/>
  <c r="G292" i="239"/>
  <c r="T20" i="2" l="1"/>
  <c r="I14" i="3"/>
  <c r="K289" i="239"/>
  <c r="M289" i="239" s="1"/>
  <c r="N289" i="239" s="1"/>
  <c r="K291" i="239"/>
  <c r="M291" i="239" s="1"/>
  <c r="N291" i="239" s="1"/>
  <c r="G294" i="239"/>
  <c r="G319" i="239" s="1"/>
  <c r="K290" i="239"/>
  <c r="M290" i="239" s="1"/>
  <c r="N290" i="239" s="1"/>
  <c r="J43" i="240"/>
  <c r="E42" i="240"/>
  <c r="A9" i="235"/>
  <c r="A10" i="235" s="1"/>
  <c r="A11" i="235" s="1"/>
  <c r="A12" i="235" s="1"/>
  <c r="A13" i="235" s="1"/>
  <c r="A14" i="235" s="1"/>
  <c r="A15" i="235" s="1"/>
  <c r="A16" i="235" s="1"/>
  <c r="A17" i="235" s="1"/>
  <c r="A18" i="235" s="1"/>
  <c r="A19" i="235" s="1"/>
  <c r="A20" i="235" s="1"/>
  <c r="A21" i="235" s="1"/>
  <c r="A22" i="235" s="1"/>
  <c r="A23" i="235" s="1"/>
  <c r="A9" i="239"/>
  <c r="A10" i="239" s="1"/>
  <c r="A11" i="239" s="1"/>
  <c r="A12" i="239" s="1"/>
  <c r="A13" i="239" s="1"/>
  <c r="J44" i="240" l="1"/>
  <c r="E43" i="240"/>
  <c r="A24" i="235"/>
  <c r="A25" i="235" s="1"/>
  <c r="A14" i="239"/>
  <c r="A15" i="239" l="1"/>
  <c r="E44" i="240"/>
  <c r="J45" i="240"/>
  <c r="A16" i="239" l="1"/>
  <c r="J46" i="240"/>
  <c r="E45" i="240"/>
  <c r="J47" i="240" l="1"/>
  <c r="E46" i="240"/>
  <c r="J48" i="240" l="1"/>
  <c r="E47" i="240"/>
  <c r="J49" i="240" l="1"/>
  <c r="E48" i="240"/>
  <c r="A17" i="239"/>
  <c r="A18" i="239" l="1"/>
  <c r="A19" i="239" s="1"/>
  <c r="A20" i="239" s="1"/>
  <c r="A21" i="239" s="1"/>
  <c r="A22" i="239" s="1"/>
  <c r="A23" i="239" s="1"/>
  <c r="A24" i="239" s="1"/>
  <c r="A25" i="239" s="1"/>
  <c r="A26" i="239" s="1"/>
  <c r="A27" i="239" s="1"/>
  <c r="J50" i="240"/>
  <c r="E49" i="240"/>
  <c r="W42" i="4"/>
  <c r="X42" i="4"/>
  <c r="A28" i="239" l="1"/>
  <c r="A29" i="239" s="1"/>
  <c r="A30" i="239" s="1"/>
  <c r="Y42" i="4"/>
  <c r="J51" i="240"/>
  <c r="E50" i="240"/>
  <c r="A29" i="222"/>
  <c r="A30" i="222" s="1"/>
  <c r="A31" i="222" s="1"/>
  <c r="A32" i="222" s="1"/>
  <c r="A33" i="222" s="1"/>
  <c r="A34" i="222" s="1"/>
  <c r="A35" i="222" s="1"/>
  <c r="A38" i="222" s="1"/>
  <c r="A31" i="239" l="1"/>
  <c r="J52" i="240"/>
  <c r="E51" i="240"/>
  <c r="A39" i="222"/>
  <c r="A40" i="222" s="1"/>
  <c r="A41" i="222" s="1"/>
  <c r="A42" i="222" s="1"/>
  <c r="A43" i="222" s="1"/>
  <c r="A44" i="222" s="1"/>
  <c r="A45" i="222" s="1"/>
  <c r="A46" i="222" s="1"/>
  <c r="A47" i="222" s="1"/>
  <c r="A48" i="222" s="1"/>
  <c r="A32" i="239" l="1"/>
  <c r="J53" i="240"/>
  <c r="E52" i="240"/>
  <c r="M9" i="37"/>
  <c r="A33" i="239" l="1"/>
  <c r="J54" i="240"/>
  <c r="E53" i="240"/>
  <c r="M10" i="37"/>
  <c r="M11" i="37" s="1"/>
  <c r="M12" i="37" s="1"/>
  <c r="M13" i="37" s="1"/>
  <c r="M14" i="37" s="1"/>
  <c r="M15" i="37" s="1"/>
  <c r="M16" i="37" s="1"/>
  <c r="M17" i="37" s="1"/>
  <c r="M18" i="37" l="1"/>
  <c r="A34" i="239"/>
  <c r="A35" i="239" s="1"/>
  <c r="A36" i="239" s="1"/>
  <c r="A37" i="239" s="1"/>
  <c r="A38" i="239" s="1"/>
  <c r="A39" i="239" s="1"/>
  <c r="A40" i="239" s="1"/>
  <c r="A41" i="239" s="1"/>
  <c r="A42" i="239" s="1"/>
  <c r="A43" i="239" s="1"/>
  <c r="A44" i="239" s="1"/>
  <c r="A45" i="239" s="1"/>
  <c r="A46" i="239" s="1"/>
  <c r="A47" i="239" s="1"/>
  <c r="A48" i="239" s="1"/>
  <c r="A49" i="239" s="1"/>
  <c r="A50" i="239" s="1"/>
  <c r="A51" i="239" s="1"/>
  <c r="A52" i="239" s="1"/>
  <c r="A53" i="239" s="1"/>
  <c r="A54" i="239" s="1"/>
  <c r="A55" i="239" s="1"/>
  <c r="A56" i="239" s="1"/>
  <c r="A57" i="239" s="1"/>
  <c r="A58" i="239" s="1"/>
  <c r="J55" i="240"/>
  <c r="E54" i="240"/>
  <c r="M19" i="37" l="1"/>
  <c r="M20" i="37" s="1"/>
  <c r="I18" i="37"/>
  <c r="M21" i="37"/>
  <c r="M22" i="37" s="1"/>
  <c r="A59" i="239"/>
  <c r="A60" i="239" s="1"/>
  <c r="J56" i="240"/>
  <c r="E55" i="240"/>
  <c r="M23" i="37" l="1"/>
  <c r="M24" i="37" s="1"/>
  <c r="M25" i="37" s="1"/>
  <c r="M26" i="37" s="1"/>
  <c r="M27" i="37" s="1"/>
  <c r="M28" i="37" s="1"/>
  <c r="M29" i="37" s="1"/>
  <c r="M30" i="37" s="1"/>
  <c r="M31" i="37" s="1"/>
  <c r="M32" i="37" s="1"/>
  <c r="M33" i="37" s="1"/>
  <c r="M34" i="37" s="1"/>
  <c r="M35" i="37" s="1"/>
  <c r="M36" i="37" s="1"/>
  <c r="M37" i="37" s="1"/>
  <c r="M38" i="37" s="1"/>
  <c r="M39" i="37" s="1"/>
  <c r="I22" i="37"/>
  <c r="A61" i="239"/>
  <c r="A62" i="239" s="1"/>
  <c r="A63" i="239" s="1"/>
  <c r="A64" i="239" s="1"/>
  <c r="A65" i="239" s="1"/>
  <c r="J57" i="240"/>
  <c r="E56" i="240"/>
  <c r="E46" i="198"/>
  <c r="M40" i="37" l="1"/>
  <c r="M41" i="37" s="1"/>
  <c r="M42" i="37" s="1"/>
  <c r="M43" i="37" s="1"/>
  <c r="M44" i="37" s="1"/>
  <c r="M45" i="37" s="1"/>
  <c r="M46" i="37" s="1"/>
  <c r="M47" i="37" s="1"/>
  <c r="M48" i="37" s="1"/>
  <c r="M49" i="37" s="1"/>
  <c r="I39" i="37"/>
  <c r="B19" i="277"/>
  <c r="A66" i="239"/>
  <c r="A67" i="239" s="1"/>
  <c r="A68" i="239" s="1"/>
  <c r="A69" i="239" s="1"/>
  <c r="A70" i="239" s="1"/>
  <c r="A71" i="239" s="1"/>
  <c r="A72" i="239" s="1"/>
  <c r="A73" i="239" s="1"/>
  <c r="A74" i="239" s="1"/>
  <c r="A75" i="239" s="1"/>
  <c r="A76" i="239" s="1"/>
  <c r="F12" i="204"/>
  <c r="J58" i="240"/>
  <c r="E57" i="240"/>
  <c r="B6" i="277"/>
  <c r="F42" i="89"/>
  <c r="F32" i="204"/>
  <c r="F41" i="204"/>
  <c r="F26" i="89"/>
  <c r="F51" i="89"/>
  <c r="F23" i="16"/>
  <c r="M50" i="37" l="1"/>
  <c r="E49" i="37"/>
  <c r="B53" i="277"/>
  <c r="D18" i="29"/>
  <c r="F53" i="89"/>
  <c r="A77" i="239"/>
  <c r="E12" i="37"/>
  <c r="F8" i="17"/>
  <c r="F44" i="204"/>
  <c r="J59" i="240"/>
  <c r="E58" i="240"/>
  <c r="F27" i="16"/>
  <c r="B114" i="277"/>
  <c r="M51" i="37" l="1"/>
  <c r="E50" i="37"/>
  <c r="A78" i="239"/>
  <c r="A79" i="239" s="1"/>
  <c r="A80" i="239" s="1"/>
  <c r="A81" i="239" s="1"/>
  <c r="A82" i="239" s="1"/>
  <c r="A83" i="239" s="1"/>
  <c r="A84" i="239" s="1"/>
  <c r="A85" i="239" s="1"/>
  <c r="A86" i="239" s="1"/>
  <c r="A87" i="239" s="1"/>
  <c r="F53" i="204"/>
  <c r="E13" i="37"/>
  <c r="J60" i="240"/>
  <c r="E59" i="240"/>
  <c r="M52" i="37" l="1"/>
  <c r="E51" i="37"/>
  <c r="A88" i="239"/>
  <c r="A89" i="239" s="1"/>
  <c r="A90" i="239" s="1"/>
  <c r="A91" i="239" s="1"/>
  <c r="A92" i="239" s="1"/>
  <c r="A93" i="239" s="1"/>
  <c r="A94" i="239" s="1"/>
  <c r="A95" i="239" s="1"/>
  <c r="A96" i="239" s="1"/>
  <c r="A97" i="239" s="1"/>
  <c r="A98" i="239" s="1"/>
  <c r="A99" i="239" s="1"/>
  <c r="A100" i="239" s="1"/>
  <c r="A101" i="239" s="1"/>
  <c r="A102" i="239" s="1"/>
  <c r="A103" i="239" s="1"/>
  <c r="A104" i="239" s="1"/>
  <c r="A105" i="239" s="1"/>
  <c r="A106" i="239" s="1"/>
  <c r="A107" i="239" s="1"/>
  <c r="A108" i="239" s="1"/>
  <c r="A109" i="239" s="1"/>
  <c r="A110" i="239" s="1"/>
  <c r="A111" i="239" s="1"/>
  <c r="A112" i="239" s="1"/>
  <c r="A113" i="239" s="1"/>
  <c r="A114" i="239" s="1"/>
  <c r="A115" i="239" s="1"/>
  <c r="A116" i="239" s="1"/>
  <c r="A117" i="239" s="1"/>
  <c r="A118" i="239" s="1"/>
  <c r="A119" i="239" s="1"/>
  <c r="A120" i="239" s="1"/>
  <c r="A121" i="239" s="1"/>
  <c r="A122" i="239" s="1"/>
  <c r="A123" i="239" s="1"/>
  <c r="A124" i="239" s="1"/>
  <c r="A125" i="239" s="1"/>
  <c r="A126" i="239" s="1"/>
  <c r="A127" i="239" s="1"/>
  <c r="A128" i="239" s="1"/>
  <c r="A129" i="239" s="1"/>
  <c r="A130" i="239" s="1"/>
  <c r="A131" i="239" s="1"/>
  <c r="A132" i="239" s="1"/>
  <c r="A133" i="239" s="1"/>
  <c r="A134" i="239" s="1"/>
  <c r="A135" i="239" s="1"/>
  <c r="A136" i="239" s="1"/>
  <c r="A137" i="239" s="1"/>
  <c r="A138" i="239" s="1"/>
  <c r="A139" i="239" s="1"/>
  <c r="A140" i="239" s="1"/>
  <c r="A141" i="239" s="1"/>
  <c r="A142" i="239" s="1"/>
  <c r="A143" i="239" s="1"/>
  <c r="A144" i="239" s="1"/>
  <c r="A145" i="239" s="1"/>
  <c r="A146" i="239" s="1"/>
  <c r="A147" i="239" s="1"/>
  <c r="A148" i="239" s="1"/>
  <c r="A149" i="239" s="1"/>
  <c r="A150" i="239" s="1"/>
  <c r="A151" i="239" s="1"/>
  <c r="A152" i="239" s="1"/>
  <c r="A153" i="239" s="1"/>
  <c r="A154" i="239" s="1"/>
  <c r="A155" i="239" s="1"/>
  <c r="A156" i="239" s="1"/>
  <c r="A157" i="239" s="1"/>
  <c r="A158" i="239" s="1"/>
  <c r="A159" i="239" s="1"/>
  <c r="A160" i="239" s="1"/>
  <c r="A161" i="239" s="1"/>
  <c r="A162" i="239" s="1"/>
  <c r="A163" i="239" s="1"/>
  <c r="A164" i="239" s="1"/>
  <c r="A165" i="239" s="1"/>
  <c r="A166" i="239" s="1"/>
  <c r="A167" i="239" s="1"/>
  <c r="A168" i="239" s="1"/>
  <c r="A169" i="239" s="1"/>
  <c r="A170" i="239" s="1"/>
  <c r="A171" i="239" s="1"/>
  <c r="A172" i="239" s="1"/>
  <c r="A173" i="239" s="1"/>
  <c r="A174" i="239" s="1"/>
  <c r="A175" i="239" s="1"/>
  <c r="A176" i="239" s="1"/>
  <c r="A177" i="239" s="1"/>
  <c r="A178" i="239" s="1"/>
  <c r="A179" i="239" s="1"/>
  <c r="A180" i="239" s="1"/>
  <c r="A181" i="239" s="1"/>
  <c r="A182" i="239" s="1"/>
  <c r="A183" i="239" s="1"/>
  <c r="A184" i="239" s="1"/>
  <c r="A185" i="239" s="1"/>
  <c r="A186" i="239" s="1"/>
  <c r="A187" i="239" s="1"/>
  <c r="A188" i="239" s="1"/>
  <c r="A189" i="239" s="1"/>
  <c r="A190" i="239" s="1"/>
  <c r="A191" i="239" s="1"/>
  <c r="A192" i="239" s="1"/>
  <c r="A193" i="239" s="1"/>
  <c r="A194" i="239" s="1"/>
  <c r="A195" i="239" s="1"/>
  <c r="A196" i="239" s="1"/>
  <c r="A197" i="239" s="1"/>
  <c r="A198" i="239" s="1"/>
  <c r="A199" i="239" s="1"/>
  <c r="A200" i="239" s="1"/>
  <c r="A201" i="239" s="1"/>
  <c r="A202" i="239" s="1"/>
  <c r="A203" i="239" s="1"/>
  <c r="A204" i="239" s="1"/>
  <c r="A205" i="239" s="1"/>
  <c r="A206" i="239" s="1"/>
  <c r="A207" i="239" s="1"/>
  <c r="A208" i="239" s="1"/>
  <c r="A209" i="239" s="1"/>
  <c r="A210" i="239" s="1"/>
  <c r="A211" i="239" s="1"/>
  <c r="A212" i="239" s="1"/>
  <c r="A213" i="239" s="1"/>
  <c r="A214" i="239" s="1"/>
  <c r="A215" i="239" s="1"/>
  <c r="A216" i="239" s="1"/>
  <c r="A217" i="239" s="1"/>
  <c r="A218" i="239" s="1"/>
  <c r="A219" i="239" s="1"/>
  <c r="A220" i="239" s="1"/>
  <c r="A221" i="239" s="1"/>
  <c r="A222" i="239" s="1"/>
  <c r="A223" i="239" s="1"/>
  <c r="A224" i="239" s="1"/>
  <c r="A225" i="239" s="1"/>
  <c r="A226" i="239" s="1"/>
  <c r="A227" i="239" s="1"/>
  <c r="A228" i="239" s="1"/>
  <c r="A229" i="239" s="1"/>
  <c r="A230" i="239" s="1"/>
  <c r="A231" i="239" s="1"/>
  <c r="A232" i="239" s="1"/>
  <c r="A233" i="239" s="1"/>
  <c r="A234" i="239" s="1"/>
  <c r="A235" i="239" s="1"/>
  <c r="A236" i="239" s="1"/>
  <c r="A237" i="239" s="1"/>
  <c r="A238" i="239" s="1"/>
  <c r="A239" i="239" s="1"/>
  <c r="A240" i="239" s="1"/>
  <c r="A241" i="239" s="1"/>
  <c r="A242" i="239" s="1"/>
  <c r="A243" i="239" s="1"/>
  <c r="A244" i="239" s="1"/>
  <c r="A245" i="239" s="1"/>
  <c r="A246" i="239" s="1"/>
  <c r="A247" i="239" s="1"/>
  <c r="A248" i="239" s="1"/>
  <c r="A249" i="239" s="1"/>
  <c r="A250" i="239" s="1"/>
  <c r="F9" i="17"/>
  <c r="D26" i="29"/>
  <c r="E14" i="37"/>
  <c r="J61" i="240"/>
  <c r="E60" i="240"/>
  <c r="A251" i="239" l="1"/>
  <c r="A252" i="239" s="1"/>
  <c r="A253" i="239" s="1"/>
  <c r="A254" i="239" s="1"/>
  <c r="A255" i="239" s="1"/>
  <c r="A256" i="239" s="1"/>
  <c r="A257" i="239" s="1"/>
  <c r="A258" i="239" s="1"/>
  <c r="A259" i="239" s="1"/>
  <c r="A260" i="239" s="1"/>
  <c r="A261" i="239" s="1"/>
  <c r="A262" i="239" s="1"/>
  <c r="A263" i="239" s="1"/>
  <c r="A264" i="239" s="1"/>
  <c r="A265" i="239" s="1"/>
  <c r="A266" i="239" s="1"/>
  <c r="A267" i="239" s="1"/>
  <c r="A268" i="239" s="1"/>
  <c r="A269" i="239" s="1"/>
  <c r="A270" i="239" s="1"/>
  <c r="A271" i="239" s="1"/>
  <c r="A272" i="239" s="1"/>
  <c r="A273" i="239" s="1"/>
  <c r="A274" i="239" s="1"/>
  <c r="A275" i="239" s="1"/>
  <c r="A276" i="239" s="1"/>
  <c r="A277" i="239" s="1"/>
  <c r="A278" i="239" s="1"/>
  <c r="A279" i="239" s="1"/>
  <c r="A280" i="239" s="1"/>
  <c r="A281" i="239" s="1"/>
  <c r="A282" i="239" s="1"/>
  <c r="A283" i="239" s="1"/>
  <c r="A284" i="239" s="1"/>
  <c r="A285" i="239" s="1"/>
  <c r="A286" i="239" s="1"/>
  <c r="A287" i="239" s="1"/>
  <c r="A288" i="239" s="1"/>
  <c r="A289" i="239" s="1"/>
  <c r="A290" i="239" s="1"/>
  <c r="A291" i="239" s="1"/>
  <c r="A292" i="239" s="1"/>
  <c r="A293" i="239" s="1"/>
  <c r="A294" i="239" s="1"/>
  <c r="M53" i="37"/>
  <c r="E52" i="37"/>
  <c r="E25" i="29"/>
  <c r="E24" i="29"/>
  <c r="G24" i="29" s="1"/>
  <c r="E23" i="29"/>
  <c r="E15" i="37"/>
  <c r="J62" i="240"/>
  <c r="E61" i="240"/>
  <c r="M54" i="37" l="1"/>
  <c r="M55" i="37" s="1"/>
  <c r="M56" i="37" s="1"/>
  <c r="M57" i="37" s="1"/>
  <c r="M58" i="37" s="1"/>
  <c r="M59" i="37" s="1"/>
  <c r="M60" i="37" s="1"/>
  <c r="M61" i="37" s="1"/>
  <c r="M62" i="37" s="1"/>
  <c r="M63" i="37" s="1"/>
  <c r="M64" i="37" s="1"/>
  <c r="M65" i="37" s="1"/>
  <c r="M66" i="37" s="1"/>
  <c r="E53" i="37"/>
  <c r="E54" i="37" s="1"/>
  <c r="I53" i="37"/>
  <c r="A295" i="239"/>
  <c r="E16" i="37"/>
  <c r="J63" i="240"/>
  <c r="E62" i="240"/>
  <c r="I12" i="37"/>
  <c r="M67" i="37" l="1"/>
  <c r="M68" i="37" s="1"/>
  <c r="M69" i="37" s="1"/>
  <c r="M70" i="37" s="1"/>
  <c r="M71" i="37" s="1"/>
  <c r="M72" i="37" s="1"/>
  <c r="A296" i="239"/>
  <c r="A297" i="239" s="1"/>
  <c r="E17" i="37"/>
  <c r="J64" i="240"/>
  <c r="E63" i="240"/>
  <c r="A298" i="239" l="1"/>
  <c r="A299" i="239" s="1"/>
  <c r="A300" i="239" s="1"/>
  <c r="A301" i="239" s="1"/>
  <c r="A302" i="239" s="1"/>
  <c r="A303" i="239" s="1"/>
  <c r="A304" i="239" s="1"/>
  <c r="A305" i="239" s="1"/>
  <c r="A306" i="239" s="1"/>
  <c r="A307" i="239" s="1"/>
  <c r="A308" i="239" s="1"/>
  <c r="A309" i="239" s="1"/>
  <c r="A310" i="239" s="1"/>
  <c r="A311" i="239" s="1"/>
  <c r="A312" i="239" s="1"/>
  <c r="A313" i="239" s="1"/>
  <c r="A314" i="239" s="1"/>
  <c r="A315" i="239" s="1"/>
  <c r="A316" i="239" s="1"/>
  <c r="A317" i="239" s="1"/>
  <c r="A318" i="239" s="1"/>
  <c r="A319" i="239" s="1"/>
  <c r="A320" i="239" s="1"/>
  <c r="A321" i="239" s="1"/>
  <c r="A322" i="239" s="1"/>
  <c r="A323" i="239" s="1"/>
  <c r="A324" i="239" s="1"/>
  <c r="A325" i="239" s="1"/>
  <c r="A326" i="239" s="1"/>
  <c r="A327" i="239" s="1"/>
  <c r="A328" i="239" s="1"/>
  <c r="A329" i="239" s="1"/>
  <c r="A330" i="239" s="1"/>
  <c r="A331" i="239" s="1"/>
  <c r="A332" i="239" s="1"/>
  <c r="A333" i="239" s="1"/>
  <c r="A334" i="239" s="1"/>
  <c r="A335" i="239" s="1"/>
  <c r="A336" i="239" s="1"/>
  <c r="A337" i="239" s="1"/>
  <c r="A338" i="239" s="1"/>
  <c r="A339" i="239" s="1"/>
  <c r="A340" i="239" s="1"/>
  <c r="A341" i="239" s="1"/>
  <c r="A342" i="239" s="1"/>
  <c r="A343" i="239" s="1"/>
  <c r="A344" i="239" s="1"/>
  <c r="A345" i="239" s="1"/>
  <c r="A346" i="239" s="1"/>
  <c r="A347" i="239" s="1"/>
  <c r="A348" i="239" s="1"/>
  <c r="A349" i="239" s="1"/>
  <c r="A350" i="239" s="1"/>
  <c r="A351" i="239" s="1"/>
  <c r="A352" i="239" s="1"/>
  <c r="A353" i="239" s="1"/>
  <c r="A354" i="239" s="1"/>
  <c r="A355" i="239" s="1"/>
  <c r="A356" i="239" s="1"/>
  <c r="J65" i="240"/>
  <c r="E64" i="240"/>
  <c r="I14" i="37"/>
  <c r="E18" i="37" l="1"/>
  <c r="J66" i="240"/>
  <c r="E65" i="240"/>
  <c r="I15" i="37"/>
  <c r="I20" i="37" l="1"/>
  <c r="E19" i="37"/>
  <c r="J67" i="240"/>
  <c r="E66" i="240"/>
  <c r="I16" i="37"/>
  <c r="E20" i="37" l="1"/>
  <c r="J68" i="240"/>
  <c r="E67" i="240"/>
  <c r="I17" i="37"/>
  <c r="J69" i="240" l="1"/>
  <c r="E68" i="240"/>
  <c r="O9" i="12"/>
  <c r="O10" i="12" s="1"/>
  <c r="O11" i="12" s="1"/>
  <c r="O12" i="12" s="1"/>
  <c r="O13" i="12" s="1"/>
  <c r="E21" i="37" l="1"/>
  <c r="J70" i="240"/>
  <c r="E69" i="240"/>
  <c r="O14" i="12"/>
  <c r="O15" i="12" s="1"/>
  <c r="A16" i="231"/>
  <c r="A17" i="231" s="1"/>
  <c r="A18" i="231" s="1"/>
  <c r="A19" i="231" s="1"/>
  <c r="A20" i="231" s="1"/>
  <c r="A21" i="231" s="1"/>
  <c r="A22" i="231" s="1"/>
  <c r="A23" i="231" s="1"/>
  <c r="A24" i="231" s="1"/>
  <c r="A25" i="231" s="1"/>
  <c r="A26" i="231" s="1"/>
  <c r="A27" i="231" s="1"/>
  <c r="A28" i="231" s="1"/>
  <c r="A29" i="231" s="1"/>
  <c r="A30" i="231" s="1"/>
  <c r="A31" i="231" s="1"/>
  <c r="A32" i="231" s="1"/>
  <c r="A33" i="231" s="1"/>
  <c r="A34" i="231" s="1"/>
  <c r="A35" i="231" s="1"/>
  <c r="A36" i="231" s="1"/>
  <c r="A37" i="231" s="1"/>
  <c r="A38" i="231" s="1"/>
  <c r="A39" i="231" s="1"/>
  <c r="A40" i="231" s="1"/>
  <c r="A41" i="231" s="1"/>
  <c r="A42" i="231" s="1"/>
  <c r="A43" i="231" s="1"/>
  <c r="A44" i="231" s="1"/>
  <c r="A45" i="231" s="1"/>
  <c r="A46" i="231" s="1"/>
  <c r="A47" i="231" s="1"/>
  <c r="AE9" i="231"/>
  <c r="AE10" i="231" s="1"/>
  <c r="E22" i="37" l="1"/>
  <c r="A48" i="231"/>
  <c r="A49" i="231" s="1"/>
  <c r="A50" i="231" s="1"/>
  <c r="A51" i="231" s="1"/>
  <c r="A52" i="231" s="1"/>
  <c r="A53" i="231" s="1"/>
  <c r="A54" i="231" s="1"/>
  <c r="A55" i="231" s="1"/>
  <c r="A56" i="231" s="1"/>
  <c r="A57" i="231" s="1"/>
  <c r="A58" i="231" s="1"/>
  <c r="A59" i="231" s="1"/>
  <c r="A60" i="231" s="1"/>
  <c r="A61" i="231" s="1"/>
  <c r="A62" i="231" s="1"/>
  <c r="A63" i="231" s="1"/>
  <c r="A64" i="231" s="1"/>
  <c r="A65" i="231" s="1"/>
  <c r="A66" i="231" s="1"/>
  <c r="A67" i="231" s="1"/>
  <c r="A68" i="231" s="1"/>
  <c r="A69" i="231" s="1"/>
  <c r="A70" i="231" s="1"/>
  <c r="A71" i="231" s="1"/>
  <c r="A72" i="231" s="1"/>
  <c r="A73" i="231" s="1"/>
  <c r="A74" i="231" s="1"/>
  <c r="A75" i="231" s="1"/>
  <c r="A76" i="231" s="1"/>
  <c r="A77" i="231" s="1"/>
  <c r="A78" i="231" s="1"/>
  <c r="A79" i="231" s="1"/>
  <c r="A80" i="231" s="1"/>
  <c r="J71" i="240"/>
  <c r="J72" i="240" s="1"/>
  <c r="J73" i="240" s="1"/>
  <c r="J74" i="240" s="1"/>
  <c r="J75" i="240" s="1"/>
  <c r="J76" i="240" s="1"/>
  <c r="J77" i="240" s="1"/>
  <c r="J78" i="240" s="1"/>
  <c r="J79" i="240" s="1"/>
  <c r="J80" i="240" s="1"/>
  <c r="E70" i="240"/>
  <c r="E72" i="240" s="1"/>
  <c r="I21" i="37"/>
  <c r="AE11" i="231"/>
  <c r="AE12" i="231" s="1"/>
  <c r="AE13" i="231" s="1"/>
  <c r="AE14" i="231" s="1"/>
  <c r="AE15" i="231" s="1"/>
  <c r="AE16" i="231" s="1"/>
  <c r="AE17" i="231" s="1"/>
  <c r="AE18" i="231" s="1"/>
  <c r="AE19" i="231" s="1"/>
  <c r="AE20" i="231" s="1"/>
  <c r="AE21" i="231" s="1"/>
  <c r="AE22" i="231" s="1"/>
  <c r="AE23" i="231" s="1"/>
  <c r="AE24" i="231" s="1"/>
  <c r="AE25" i="231" s="1"/>
  <c r="AE26" i="231" s="1"/>
  <c r="AE27" i="231" s="1"/>
  <c r="AE28" i="231" s="1"/>
  <c r="AE29" i="231" s="1"/>
  <c r="AE30" i="231" s="1"/>
  <c r="AE31" i="231" s="1"/>
  <c r="AE32" i="231" s="1"/>
  <c r="AE33" i="231" s="1"/>
  <c r="AE34" i="231" s="1"/>
  <c r="AE35" i="231" s="1"/>
  <c r="AE36" i="231" s="1"/>
  <c r="AE37" i="231" s="1"/>
  <c r="AE38" i="231" s="1"/>
  <c r="AE39" i="231" s="1"/>
  <c r="AE40" i="231" s="1"/>
  <c r="AE41" i="231" s="1"/>
  <c r="AE42" i="231" s="1"/>
  <c r="AE43" i="231" s="1"/>
  <c r="AE44" i="231" s="1"/>
  <c r="AE45" i="231" s="1"/>
  <c r="AE46" i="231" s="1"/>
  <c r="AE47" i="231" s="1"/>
  <c r="G268" i="239"/>
  <c r="O16" i="12"/>
  <c r="O17" i="12" s="1"/>
  <c r="J6" i="235"/>
  <c r="J7" i="235" s="1"/>
  <c r="J8" i="235" s="1"/>
  <c r="J9" i="235" s="1"/>
  <c r="J10" i="235" s="1"/>
  <c r="J11" i="235" s="1"/>
  <c r="J12" i="235" s="1"/>
  <c r="J13" i="235" s="1"/>
  <c r="J14" i="235" s="1"/>
  <c r="J15" i="235" s="1"/>
  <c r="J16" i="235" s="1"/>
  <c r="J17" i="235" s="1"/>
  <c r="J18" i="235" s="1"/>
  <c r="J19" i="235" s="1"/>
  <c r="J20" i="235" s="1"/>
  <c r="J21" i="235" s="1"/>
  <c r="A81" i="231" l="1"/>
  <c r="A82" i="231" s="1"/>
  <c r="A83" i="231" s="1"/>
  <c r="A84" i="231" s="1"/>
  <c r="A85" i="231" s="1"/>
  <c r="A86" i="231" s="1"/>
  <c r="A87" i="231" s="1"/>
  <c r="A88" i="231" s="1"/>
  <c r="I24" i="37"/>
  <c r="E23" i="37"/>
  <c r="I23" i="37"/>
  <c r="I25" i="37"/>
  <c r="E24" i="37"/>
  <c r="AE48" i="231"/>
  <c r="AE49" i="231" s="1"/>
  <c r="AE50" i="231" s="1"/>
  <c r="AE51" i="231" s="1"/>
  <c r="AE52" i="231" s="1"/>
  <c r="AE53" i="231" s="1"/>
  <c r="AE54" i="231" s="1"/>
  <c r="AE55" i="231" s="1"/>
  <c r="AE56" i="231" s="1"/>
  <c r="AE57" i="231" s="1"/>
  <c r="AE58" i="231" s="1"/>
  <c r="AE59" i="231" s="1"/>
  <c r="AE60" i="231" s="1"/>
  <c r="AE61" i="231" s="1"/>
  <c r="AE62" i="231" s="1"/>
  <c r="AE63" i="231" s="1"/>
  <c r="AE64" i="231" s="1"/>
  <c r="AE65" i="231" s="1"/>
  <c r="AE66" i="231" s="1"/>
  <c r="AE67" i="231" s="1"/>
  <c r="AE68" i="231" s="1"/>
  <c r="AE69" i="231" s="1"/>
  <c r="AE70" i="231" s="1"/>
  <c r="AE71" i="231" s="1"/>
  <c r="AE72" i="231" s="1"/>
  <c r="AE73" i="231" s="1"/>
  <c r="AE74" i="231" s="1"/>
  <c r="AE75" i="231" s="1"/>
  <c r="AE76" i="231" s="1"/>
  <c r="AE77" i="231" s="1"/>
  <c r="AE78" i="231" s="1"/>
  <c r="AE79" i="231" s="1"/>
  <c r="AE80" i="231" s="1"/>
  <c r="G269" i="239"/>
  <c r="O18" i="12"/>
  <c r="O19" i="12" s="1"/>
  <c r="O20" i="12" s="1"/>
  <c r="O21" i="12" s="1"/>
  <c r="O22" i="12" s="1"/>
  <c r="O23" i="12" s="1"/>
  <c r="O24" i="12" s="1"/>
  <c r="I24" i="12" s="1"/>
  <c r="F126" i="277" l="1"/>
  <c r="AE81" i="231"/>
  <c r="AE82" i="231" s="1"/>
  <c r="AE83" i="231" s="1"/>
  <c r="AE84" i="231" s="1"/>
  <c r="AE85" i="231" s="1"/>
  <c r="AE86" i="231" s="1"/>
  <c r="AE87" i="231" s="1"/>
  <c r="AE88" i="231" s="1"/>
  <c r="AE89" i="231" s="1"/>
  <c r="I26" i="37"/>
  <c r="E25" i="37"/>
  <c r="M24" i="12"/>
  <c r="O25" i="12"/>
  <c r="O26" i="12" s="1"/>
  <c r="O27" i="12" s="1"/>
  <c r="O28" i="12" s="1"/>
  <c r="O29" i="12" s="1"/>
  <c r="O30" i="12" s="1"/>
  <c r="O31" i="12" s="1"/>
  <c r="O32" i="12" s="1"/>
  <c r="O33" i="12" s="1"/>
  <c r="G270" i="239"/>
  <c r="A89" i="231"/>
  <c r="A90" i="231" s="1"/>
  <c r="A91" i="231" s="1"/>
  <c r="A92" i="231" s="1"/>
  <c r="A93" i="231" l="1"/>
  <c r="A94" i="231" s="1"/>
  <c r="A95" i="231" s="1"/>
  <c r="A96" i="231" s="1"/>
  <c r="I27" i="37"/>
  <c r="E26" i="37"/>
  <c r="G271" i="239"/>
  <c r="G272" i="239" l="1"/>
  <c r="I28" i="37"/>
  <c r="E27" i="37"/>
  <c r="J22" i="235"/>
  <c r="J23" i="235" s="1"/>
  <c r="J24" i="235" s="1"/>
  <c r="E28" i="37" l="1"/>
  <c r="M9" i="222"/>
  <c r="M10" i="222" s="1"/>
  <c r="M11" i="222" s="1"/>
  <c r="M12" i="222" l="1"/>
  <c r="M13" i="222" s="1"/>
  <c r="G11" i="222"/>
  <c r="I11" i="222"/>
  <c r="F11" i="222"/>
  <c r="H11" i="222"/>
  <c r="K30" i="12"/>
  <c r="C114" i="277" s="1"/>
  <c r="I30" i="37"/>
  <c r="E29" i="37"/>
  <c r="G273" i="239"/>
  <c r="M14" i="222" l="1"/>
  <c r="M15" i="222" s="1"/>
  <c r="I13" i="222"/>
  <c r="F13" i="222"/>
  <c r="H13" i="222"/>
  <c r="G13" i="222"/>
  <c r="I31" i="37"/>
  <c r="E30" i="37"/>
  <c r="B115" i="277"/>
  <c r="M16" i="222" l="1"/>
  <c r="M17" i="222" s="1"/>
  <c r="M18" i="222" s="1"/>
  <c r="M19" i="222" s="1"/>
  <c r="I15" i="222"/>
  <c r="F15" i="222"/>
  <c r="H15" i="222"/>
  <c r="G15" i="222"/>
  <c r="I32" i="37"/>
  <c r="E31" i="37"/>
  <c r="M20" i="222" l="1"/>
  <c r="M21" i="222" s="1"/>
  <c r="M22" i="222" s="1"/>
  <c r="M23" i="222" s="1"/>
  <c r="F19" i="222"/>
  <c r="G19" i="222"/>
  <c r="I19" i="222"/>
  <c r="H19" i="222"/>
  <c r="G17" i="222"/>
  <c r="F17" i="222"/>
  <c r="H17" i="222"/>
  <c r="I17" i="222"/>
  <c r="I33" i="37"/>
  <c r="E32" i="37"/>
  <c r="H23" i="222" l="1"/>
  <c r="M24" i="222"/>
  <c r="I23" i="222"/>
  <c r="F23" i="222"/>
  <c r="G23" i="222"/>
  <c r="G21" i="222"/>
  <c r="M25" i="222"/>
  <c r="F21" i="222"/>
  <c r="H21" i="222"/>
  <c r="I21" i="222"/>
  <c r="E33" i="37"/>
  <c r="E34" i="37" l="1"/>
  <c r="M26" i="222"/>
  <c r="M27" i="222" s="1"/>
  <c r="G25" i="222"/>
  <c r="I25" i="222"/>
  <c r="H25" i="222"/>
  <c r="F25" i="222"/>
  <c r="F27" i="222" l="1"/>
  <c r="H27" i="222"/>
  <c r="G27" i="222"/>
  <c r="I27" i="222"/>
  <c r="M28" i="222"/>
  <c r="M29" i="222" s="1"/>
  <c r="A46" i="40"/>
  <c r="I29" i="222" l="1"/>
  <c r="M30" i="222"/>
  <c r="M31" i="222" s="1"/>
  <c r="F29" i="222"/>
  <c r="G29" i="222"/>
  <c r="H29" i="222"/>
  <c r="A47" i="40"/>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E15" i="2"/>
  <c r="F15" i="2" l="1"/>
  <c r="T15" i="2" s="1"/>
  <c r="I31" i="222"/>
  <c r="M32" i="222"/>
  <c r="M33" i="222" s="1"/>
  <c r="H33" i="222" s="1"/>
  <c r="H31" i="222"/>
  <c r="G31" i="222"/>
  <c r="F31" i="222"/>
  <c r="F33" i="222"/>
  <c r="E37" i="37"/>
  <c r="A72" i="40"/>
  <c r="A73" i="40" s="1"/>
  <c r="A74" i="40" s="1"/>
  <c r="A75" i="40" s="1"/>
  <c r="A76" i="40" s="1"/>
  <c r="A77" i="40" s="1"/>
  <c r="A78" i="40" s="1"/>
  <c r="A79" i="40" s="1"/>
  <c r="M34" i="222" l="1"/>
  <c r="G33" i="222"/>
  <c r="I33" i="222"/>
  <c r="F23" i="2"/>
  <c r="E38" i="37"/>
  <c r="I38" i="37"/>
  <c r="A80" i="40"/>
  <c r="A81" i="40" s="1"/>
  <c r="A82" i="40" s="1"/>
  <c r="A83" i="40" s="1"/>
  <c r="A84" i="40" s="1"/>
  <c r="A85" i="40" s="1"/>
  <c r="A86" i="40" s="1"/>
  <c r="A87" i="40" s="1"/>
  <c r="M35" i="222"/>
  <c r="F35" i="222" l="1"/>
  <c r="M40" i="222"/>
  <c r="H35" i="222"/>
  <c r="G35" i="222"/>
  <c r="I35" i="222"/>
  <c r="E39" i="37"/>
  <c r="F16" i="2"/>
  <c r="A88" i="40"/>
  <c r="F35" i="2" l="1"/>
  <c r="G39" i="222"/>
  <c r="F39" i="222"/>
  <c r="I39" i="222"/>
  <c r="H39" i="222"/>
  <c r="F25" i="2"/>
  <c r="E40" i="37"/>
  <c r="I40" i="37"/>
  <c r="M41" i="222"/>
  <c r="A89" i="40"/>
  <c r="I41" i="222" l="1"/>
  <c r="G41" i="222"/>
  <c r="H41" i="222"/>
  <c r="F41" i="222"/>
  <c r="E41" i="37"/>
  <c r="I41" i="37"/>
  <c r="A90" i="40"/>
  <c r="M42" i="222"/>
  <c r="E42" i="37" l="1"/>
  <c r="E45" i="37"/>
  <c r="A91" i="40"/>
  <c r="A92" i="40" s="1"/>
  <c r="A93" i="40" s="1"/>
  <c r="A94" i="40" s="1"/>
  <c r="A95" i="40" s="1"/>
  <c r="A96" i="40" s="1"/>
  <c r="A97" i="40" s="1"/>
  <c r="A98" i="40" s="1"/>
  <c r="A99" i="40" s="1"/>
  <c r="A100" i="40" s="1"/>
  <c r="A101" i="40" s="1"/>
  <c r="K28" i="12"/>
  <c r="M43" i="222"/>
  <c r="F43" i="222" l="1"/>
  <c r="F45" i="222" s="1"/>
  <c r="I43" i="222"/>
  <c r="I45" i="222" s="1"/>
  <c r="H43" i="222"/>
  <c r="H45" i="222" s="1"/>
  <c r="G43" i="222"/>
  <c r="G45" i="222" s="1"/>
  <c r="I57" i="37"/>
  <c r="E46" i="37"/>
  <c r="A102" i="40"/>
  <c r="A103" i="40" s="1"/>
  <c r="A104" i="40" s="1"/>
  <c r="A105" i="40" s="1"/>
  <c r="A106" i="40" s="1"/>
  <c r="E57" i="37" l="1"/>
  <c r="A107" i="40"/>
  <c r="A108" i="40" s="1"/>
  <c r="A109" i="40" s="1"/>
  <c r="A110" i="40" s="1"/>
  <c r="A111" i="40" s="1"/>
  <c r="A112" i="40" s="1"/>
  <c r="A113" i="40" s="1"/>
  <c r="A114" i="40" s="1"/>
  <c r="A115" i="40" s="1"/>
  <c r="A116" i="40" s="1"/>
  <c r="A117" i="40" s="1"/>
  <c r="E58" i="37" l="1"/>
  <c r="I58" i="37"/>
  <c r="A118" i="40"/>
  <c r="E59" i="37" l="1"/>
  <c r="A119" i="40"/>
  <c r="E60" i="37" l="1"/>
  <c r="A120" i="40"/>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 r="A149" i="40" s="1"/>
  <c r="A150" i="40" s="1"/>
  <c r="A151" i="40" s="1"/>
  <c r="A152" i="40" s="1"/>
  <c r="A153" i="40" s="1"/>
  <c r="A154" i="40" s="1"/>
  <c r="A155" i="40" s="1"/>
  <c r="A156" i="40" s="1"/>
  <c r="A157" i="40" s="1"/>
  <c r="A158" i="40" s="1"/>
  <c r="A159" i="40" s="1"/>
  <c r="A160" i="40" s="1"/>
  <c r="A161" i="40" s="1"/>
  <c r="A162" i="40" s="1"/>
  <c r="A163" i="40" s="1"/>
  <c r="A164" i="40" s="1"/>
  <c r="A165" i="40" s="1"/>
  <c r="A166" i="40" s="1"/>
  <c r="A167" i="40" s="1"/>
  <c r="A168" i="40" s="1"/>
  <c r="A169" i="40" s="1"/>
  <c r="A170" i="40" s="1"/>
  <c r="A171" i="40" s="1"/>
  <c r="A172" i="40" s="1"/>
  <c r="A173" i="40" s="1"/>
  <c r="X22" i="4"/>
  <c r="X68" i="4"/>
  <c r="Y68" i="4" s="1"/>
  <c r="X77" i="4" l="1"/>
  <c r="J59" i="89" s="1"/>
  <c r="E61" i="37"/>
  <c r="K22" i="4"/>
  <c r="O93" i="282" l="1"/>
  <c r="X86" i="4"/>
  <c r="E62" i="37"/>
  <c r="X88" i="4"/>
  <c r="N31" i="198"/>
  <c r="N35" i="198" s="1"/>
  <c r="M31" i="198"/>
  <c r="M35" i="198" s="1"/>
  <c r="E63" i="37" l="1"/>
  <c r="K8" i="41"/>
  <c r="L8" i="41"/>
  <c r="M8" i="41"/>
  <c r="I8" i="237"/>
  <c r="I9" i="237" s="1"/>
  <c r="I10" i="237" s="1"/>
  <c r="I11" i="237" s="1"/>
  <c r="I12" i="237" s="1"/>
  <c r="I13" i="237" s="1"/>
  <c r="E64" i="37" l="1"/>
  <c r="I14" i="237"/>
  <c r="Y15" i="4"/>
  <c r="J7" i="41"/>
  <c r="J8" i="41" s="1"/>
  <c r="J9" i="41" s="1"/>
  <c r="J10" i="41" s="1"/>
  <c r="J11" i="41" s="1"/>
  <c r="J12" i="41" s="1"/>
  <c r="J13" i="41" s="1"/>
  <c r="J14" i="41" s="1"/>
  <c r="J15" i="41" s="1"/>
  <c r="J16" i="41" s="1"/>
  <c r="J17" i="41" s="1"/>
  <c r="J18" i="41" s="1"/>
  <c r="J19" i="41" s="1"/>
  <c r="J20" i="41" s="1"/>
  <c r="J21" i="41" s="1"/>
  <c r="J22" i="41" s="1"/>
  <c r="J23" i="41" s="1"/>
  <c r="J24" i="41" s="1"/>
  <c r="J25" i="41" s="1"/>
  <c r="J26" i="41" s="1"/>
  <c r="J27" i="41" s="1"/>
  <c r="J28" i="41" s="1"/>
  <c r="J29" i="41" s="1"/>
  <c r="J30" i="41" s="1"/>
  <c r="J31" i="41" s="1"/>
  <c r="J32" i="41" s="1"/>
  <c r="J33" i="41" s="1"/>
  <c r="J34" i="41" s="1"/>
  <c r="J35" i="41" s="1"/>
  <c r="J36" i="41" s="1"/>
  <c r="J37" i="41" s="1"/>
  <c r="J38" i="41" s="1"/>
  <c r="J39" i="41" s="1"/>
  <c r="J40" i="41" s="1"/>
  <c r="J41" i="41" s="1"/>
  <c r="J42" i="41" s="1"/>
  <c r="J43" i="41" s="1"/>
  <c r="J44" i="41" s="1"/>
  <c r="J45" i="41" s="1"/>
  <c r="J46" i="41" s="1"/>
  <c r="J47" i="41" s="1"/>
  <c r="J48" i="41" s="1"/>
  <c r="J49" i="41" s="1"/>
  <c r="J50" i="41" s="1"/>
  <c r="J51" i="41" s="1"/>
  <c r="J52" i="41" s="1"/>
  <c r="J53" i="41" s="1"/>
  <c r="J54" i="41" s="1"/>
  <c r="J55" i="41" s="1"/>
  <c r="J56" i="41" s="1"/>
  <c r="A10" i="4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E65" i="37" l="1"/>
  <c r="I15" i="237"/>
  <c r="I16" i="237" s="1"/>
  <c r="D29" i="194"/>
  <c r="E29" i="194"/>
  <c r="E25" i="194"/>
  <c r="E24" i="194"/>
  <c r="E23" i="194"/>
  <c r="E22" i="194"/>
  <c r="G13" i="194"/>
  <c r="D26" i="194"/>
  <c r="D25" i="194"/>
  <c r="D24" i="194"/>
  <c r="D23" i="194"/>
  <c r="D22" i="194"/>
  <c r="K8" i="158"/>
  <c r="K9" i="158" s="1"/>
  <c r="K10" i="158" s="1"/>
  <c r="K11" i="158" s="1"/>
  <c r="K12" i="158" s="1"/>
  <c r="K13" i="158" s="1"/>
  <c r="K14" i="158" s="1"/>
  <c r="K15" i="158" s="1"/>
  <c r="A11" i="158"/>
  <c r="A12" i="158" s="1"/>
  <c r="A13" i="158" s="1"/>
  <c r="A14" i="158" s="1"/>
  <c r="A15" i="158" s="1"/>
  <c r="A16" i="158" s="1"/>
  <c r="A17" i="158" s="1"/>
  <c r="A18" i="158" s="1"/>
  <c r="L8" i="198"/>
  <c r="L9" i="198" s="1"/>
  <c r="L10" i="198" s="1"/>
  <c r="L11" i="198" s="1"/>
  <c r="W22" i="4"/>
  <c r="W77" i="4" s="1"/>
  <c r="I59" i="89" l="1"/>
  <c r="W88" i="4"/>
  <c r="N93" i="282"/>
  <c r="W86" i="4"/>
  <c r="E66" i="37"/>
  <c r="Y22" i="4"/>
  <c r="K16" i="158"/>
  <c r="G16" i="158" s="1"/>
  <c r="A19" i="158"/>
  <c r="L12" i="198"/>
  <c r="I17" i="237" l="1"/>
  <c r="I18" i="237" s="1"/>
  <c r="I19" i="237" s="1"/>
  <c r="I70" i="37"/>
  <c r="E67" i="37"/>
  <c r="Y77" i="4"/>
  <c r="Y86" i="4" s="1"/>
  <c r="A20" i="158"/>
  <c r="A21" i="158" s="1"/>
  <c r="A22" i="158" s="1"/>
  <c r="A23" i="158" s="1"/>
  <c r="A24" i="158" s="1"/>
  <c r="A25" i="158" s="1"/>
  <c r="A26" i="158" s="1"/>
  <c r="A27" i="158" s="1"/>
  <c r="A28" i="158" s="1"/>
  <c r="A29" i="158" s="1"/>
  <c r="A30" i="158" s="1"/>
  <c r="A31" i="158" s="1"/>
  <c r="A32" i="158" s="1"/>
  <c r="L13" i="198"/>
  <c r="L14" i="198" s="1"/>
  <c r="L15" i="198" s="1"/>
  <c r="L16" i="198" s="1"/>
  <c r="L17" i="198" s="1"/>
  <c r="L18" i="198" s="1"/>
  <c r="L19" i="198" s="1"/>
  <c r="L20" i="198" s="1"/>
  <c r="L21" i="198" s="1"/>
  <c r="L22" i="198" s="1"/>
  <c r="L23" i="198" s="1"/>
  <c r="L24" i="198" s="1"/>
  <c r="L25" i="198" s="1"/>
  <c r="L26" i="198" s="1"/>
  <c r="L27" i="198" s="1"/>
  <c r="L28" i="198" s="1"/>
  <c r="L29" i="198" s="1"/>
  <c r="L30" i="198" s="1"/>
  <c r="K17" i="158"/>
  <c r="V7" i="4"/>
  <c r="V8" i="4" s="1"/>
  <c r="V9" i="4" s="1"/>
  <c r="V10" i="4" s="1"/>
  <c r="V11" i="4" s="1"/>
  <c r="V12" i="4" s="1"/>
  <c r="V13" i="4" s="1"/>
  <c r="V14" i="4" s="1"/>
  <c r="V15" i="4" s="1"/>
  <c r="V16" i="4" s="1"/>
  <c r="V17" i="4" s="1"/>
  <c r="W9" i="40"/>
  <c r="W10" i="40" s="1"/>
  <c r="I20" i="237" l="1"/>
  <c r="I21" i="237" s="1"/>
  <c r="I22" i="237" s="1"/>
  <c r="I23" i="237" s="1"/>
  <c r="I24" i="237" s="1"/>
  <c r="E70" i="37"/>
  <c r="W11" i="40"/>
  <c r="W12" i="40" s="1"/>
  <c r="W13" i="40" s="1"/>
  <c r="W14" i="40" s="1"/>
  <c r="W15" i="40" s="1"/>
  <c r="W16" i="40" s="1"/>
  <c r="W17" i="40" s="1"/>
  <c r="W18" i="40" s="1"/>
  <c r="W19" i="40" s="1"/>
  <c r="W20" i="40" s="1"/>
  <c r="W21" i="40" s="1"/>
  <c r="W22" i="40" s="1"/>
  <c r="W23" i="40" s="1"/>
  <c r="K18" i="158"/>
  <c r="A33" i="158"/>
  <c r="A34" i="158" s="1"/>
  <c r="A35" i="158" s="1"/>
  <c r="A36" i="158" s="1"/>
  <c r="A37" i="158" s="1"/>
  <c r="A38" i="158" s="1"/>
  <c r="A39" i="158" s="1"/>
  <c r="K9" i="162"/>
  <c r="K10" i="162" s="1"/>
  <c r="K11" i="162" s="1"/>
  <c r="K12" i="162" s="1"/>
  <c r="E71" i="37" l="1"/>
  <c r="I71" i="37"/>
  <c r="K13" i="162"/>
  <c r="K14" i="162" s="1"/>
  <c r="K15" i="162" s="1"/>
  <c r="K16" i="162" s="1"/>
  <c r="K17" i="162" s="1"/>
  <c r="K18" i="162" s="1"/>
  <c r="W24" i="40"/>
  <c r="W25" i="40" s="1"/>
  <c r="W26" i="40" s="1"/>
  <c r="W27" i="40" s="1"/>
  <c r="W28" i="40" s="1"/>
  <c r="W29" i="40" s="1"/>
  <c r="W30" i="40" s="1"/>
  <c r="W31" i="40" s="1"/>
  <c r="W32" i="40" s="1"/>
  <c r="W33" i="40" s="1"/>
  <c r="W34" i="40" s="1"/>
  <c r="W35" i="40" s="1"/>
  <c r="W36" i="40" s="1"/>
  <c r="W37" i="40" s="1"/>
  <c r="W38" i="40" s="1"/>
  <c r="W39" i="40" s="1"/>
  <c r="W40" i="40" s="1"/>
  <c r="W41" i="40" s="1"/>
  <c r="W42" i="40" s="1"/>
  <c r="W43" i="40" s="1"/>
  <c r="W44" i="40" s="1"/>
  <c r="W45" i="40" s="1"/>
  <c r="W46" i="40" s="1"/>
  <c r="A40" i="158"/>
  <c r="K19" i="158"/>
  <c r="K19" i="162" l="1"/>
  <c r="K20" i="162" s="1"/>
  <c r="K21" i="162" s="1"/>
  <c r="K22" i="162" s="1"/>
  <c r="K23" i="162" s="1"/>
  <c r="K24" i="162" s="1"/>
  <c r="K25" i="162" s="1"/>
  <c r="K26" i="162" s="1"/>
  <c r="K27" i="162" s="1"/>
  <c r="K28" i="162" s="1"/>
  <c r="K29" i="162" s="1"/>
  <c r="A41" i="158"/>
  <c r="A42" i="158" s="1"/>
  <c r="A43" i="158" s="1"/>
  <c r="A44" i="158" s="1"/>
  <c r="A45" i="158" s="1"/>
  <c r="E72" i="37"/>
  <c r="E74" i="37" s="1"/>
  <c r="I72" i="37"/>
  <c r="K20" i="158"/>
  <c r="K21" i="158" s="1"/>
  <c r="K22" i="158" s="1"/>
  <c r="V18" i="4"/>
  <c r="W47" i="40"/>
  <c r="W48" i="40" s="1"/>
  <c r="W49" i="40" s="1"/>
  <c r="W50" i="40" s="1"/>
  <c r="W51" i="40" s="1"/>
  <c r="W52" i="40" s="1"/>
  <c r="W53" i="40" s="1"/>
  <c r="W54" i="40" s="1"/>
  <c r="W55" i="40" s="1"/>
  <c r="W56" i="40" s="1"/>
  <c r="W57" i="40" s="1"/>
  <c r="W58" i="40" s="1"/>
  <c r="W59" i="40" s="1"/>
  <c r="W60" i="40" s="1"/>
  <c r="W61" i="40" s="1"/>
  <c r="W62" i="40" s="1"/>
  <c r="W63" i="40" s="1"/>
  <c r="W64" i="40" s="1"/>
  <c r="W65" i="40" s="1"/>
  <c r="W66" i="40" s="1"/>
  <c r="W67" i="40" s="1"/>
  <c r="W68" i="40" s="1"/>
  <c r="W69" i="40" s="1"/>
  <c r="W70" i="40" s="1"/>
  <c r="W71" i="40" s="1"/>
  <c r="D67" i="158"/>
  <c r="M8" i="6"/>
  <c r="M9" i="6" s="1"/>
  <c r="H8" i="6"/>
  <c r="H9" i="6" s="1"/>
  <c r="H10" i="6" s="1"/>
  <c r="H11" i="6" s="1"/>
  <c r="H12" i="6" s="1"/>
  <c r="H13" i="6" s="1"/>
  <c r="H14" i="6" s="1"/>
  <c r="H15" i="6" s="1"/>
  <c r="H16" i="6" s="1"/>
  <c r="H17" i="6" s="1"/>
  <c r="H18" i="6" s="1"/>
  <c r="H19" i="6" s="1"/>
  <c r="H20" i="6" s="1"/>
  <c r="H21" i="6" s="1"/>
  <c r="H22" i="6" s="1"/>
  <c r="P8" i="6"/>
  <c r="O8" i="6"/>
  <c r="N8" i="6"/>
  <c r="A11" i="6"/>
  <c r="A12" i="6" s="1"/>
  <c r="A13" i="6" s="1"/>
  <c r="A14" i="6" s="1"/>
  <c r="A15" i="6" s="1"/>
  <c r="A16" i="6" s="1"/>
  <c r="A17" i="6" s="1"/>
  <c r="A18" i="6" s="1"/>
  <c r="A19" i="6" s="1"/>
  <c r="A20" i="6" s="1"/>
  <c r="A21" i="6" s="1"/>
  <c r="A22" i="6" s="1"/>
  <c r="A23" i="6" s="1"/>
  <c r="A24" i="6" s="1"/>
  <c r="A25" i="6" s="1"/>
  <c r="A26" i="6" s="1"/>
  <c r="T7" i="242"/>
  <c r="S7" i="242"/>
  <c r="R7" i="242"/>
  <c r="T6" i="242"/>
  <c r="S6" i="242"/>
  <c r="R6" i="242"/>
  <c r="S9" i="37"/>
  <c r="R9" i="37"/>
  <c r="Q9" i="37"/>
  <c r="S8" i="37"/>
  <c r="R8" i="37"/>
  <c r="Q8" i="37"/>
  <c r="L9" i="237"/>
  <c r="K9" i="237"/>
  <c r="J9" i="237"/>
  <c r="L8" i="237"/>
  <c r="K8" i="237"/>
  <c r="J8" i="237"/>
  <c r="M7" i="41"/>
  <c r="L7" i="41"/>
  <c r="K7" i="41"/>
  <c r="N9" i="158"/>
  <c r="M9" i="158"/>
  <c r="L9" i="158"/>
  <c r="N8" i="158"/>
  <c r="M8" i="158"/>
  <c r="L8" i="158"/>
  <c r="M6" i="235"/>
  <c r="L6" i="235"/>
  <c r="K6" i="235"/>
  <c r="M5" i="235"/>
  <c r="L5" i="235"/>
  <c r="K5" i="235"/>
  <c r="K6" i="232"/>
  <c r="J6" i="232"/>
  <c r="I6" i="232"/>
  <c r="K5" i="232"/>
  <c r="J5" i="232"/>
  <c r="I5" i="232"/>
  <c r="P9" i="222"/>
  <c r="O9" i="222"/>
  <c r="N9" i="222"/>
  <c r="P8" i="222"/>
  <c r="O8" i="222"/>
  <c r="N8" i="222"/>
  <c r="AH9" i="231"/>
  <c r="AG9" i="231"/>
  <c r="AF9" i="231"/>
  <c r="AH8" i="231"/>
  <c r="AG8" i="231"/>
  <c r="AF8" i="231"/>
  <c r="K9" i="236"/>
  <c r="J9" i="236"/>
  <c r="I9" i="236"/>
  <c r="K8" i="236"/>
  <c r="J8" i="236"/>
  <c r="I8" i="236"/>
  <c r="Z9" i="40"/>
  <c r="N9" i="162"/>
  <c r="M9" i="162"/>
  <c r="L9" i="162"/>
  <c r="C19" i="162"/>
  <c r="K8" i="6"/>
  <c r="J8" i="6"/>
  <c r="I8" i="6"/>
  <c r="O9" i="198"/>
  <c r="N9" i="198"/>
  <c r="M9" i="198"/>
  <c r="O8" i="198"/>
  <c r="N8" i="198"/>
  <c r="M8" i="198"/>
  <c r="Y8" i="4"/>
  <c r="X8" i="4"/>
  <c r="W8" i="4"/>
  <c r="E19" i="222" l="1"/>
  <c r="E21" i="222"/>
  <c r="G17" i="237"/>
  <c r="G30" i="41" s="1"/>
  <c r="G53" i="37"/>
  <c r="K53" i="37" s="1"/>
  <c r="G50" i="37"/>
  <c r="K50" i="37" s="1"/>
  <c r="G49" i="37"/>
  <c r="G51" i="37"/>
  <c r="G52" i="37"/>
  <c r="C19" i="194"/>
  <c r="I19" i="194" s="1"/>
  <c r="I19" i="162"/>
  <c r="G70" i="37"/>
  <c r="G71" i="37"/>
  <c r="E23" i="222"/>
  <c r="E13" i="222"/>
  <c r="E15" i="222"/>
  <c r="E11" i="222"/>
  <c r="K11" i="222" s="1"/>
  <c r="E17" i="222"/>
  <c r="K17" i="222" s="1"/>
  <c r="D25" i="198"/>
  <c r="D29" i="198"/>
  <c r="D27" i="198"/>
  <c r="D26" i="198"/>
  <c r="D24" i="198"/>
  <c r="D28" i="198"/>
  <c r="D14" i="236"/>
  <c r="F14" i="236" s="1"/>
  <c r="D12" i="236"/>
  <c r="F12" i="236" s="1"/>
  <c r="G23" i="37"/>
  <c r="G60" i="37"/>
  <c r="G72" i="37"/>
  <c r="G61" i="37"/>
  <c r="G59" i="37"/>
  <c r="G66" i="37"/>
  <c r="G58" i="37"/>
  <c r="G65" i="37"/>
  <c r="G64" i="37"/>
  <c r="G63" i="37"/>
  <c r="G62" i="37"/>
  <c r="F15" i="232"/>
  <c r="O15" i="232" s="1"/>
  <c r="F16" i="232"/>
  <c r="O16" i="232" s="1"/>
  <c r="F17" i="232"/>
  <c r="O17" i="232" s="1"/>
  <c r="E20" i="158"/>
  <c r="D17" i="236"/>
  <c r="F17" i="236" s="1"/>
  <c r="L43" i="274"/>
  <c r="N43" i="274" s="1"/>
  <c r="O43" i="274" s="1"/>
  <c r="L44" i="274"/>
  <c r="N44" i="274" s="1"/>
  <c r="O44" i="274" s="1"/>
  <c r="L56" i="242"/>
  <c r="L17" i="242"/>
  <c r="L57" i="242"/>
  <c r="L18" i="242"/>
  <c r="L38" i="242"/>
  <c r="N38" i="242" s="1"/>
  <c r="O38" i="242" s="1"/>
  <c r="L39" i="242"/>
  <c r="N39" i="242" s="1"/>
  <c r="O39" i="242" s="1"/>
  <c r="L30" i="242"/>
  <c r="L28" i="242"/>
  <c r="L70" i="242"/>
  <c r="L37" i="242"/>
  <c r="L71" i="242"/>
  <c r="L29" i="242"/>
  <c r="L49" i="274"/>
  <c r="N49" i="274" s="1"/>
  <c r="O49" i="274" s="1"/>
  <c r="L47" i="274"/>
  <c r="N47" i="274" s="1"/>
  <c r="O47" i="274" s="1"/>
  <c r="L42" i="274"/>
  <c r="N42" i="274" s="1"/>
  <c r="O42" i="274" s="1"/>
  <c r="L40" i="274"/>
  <c r="N40" i="274" s="1"/>
  <c r="L30" i="274"/>
  <c r="N30" i="274" s="1"/>
  <c r="O30" i="274" s="1"/>
  <c r="L15" i="274"/>
  <c r="N15" i="274" s="1"/>
  <c r="O15" i="274" s="1"/>
  <c r="L14" i="274"/>
  <c r="N14" i="274" s="1"/>
  <c r="O14" i="274" s="1"/>
  <c r="L11" i="274"/>
  <c r="N11" i="274" s="1"/>
  <c r="L12" i="274"/>
  <c r="N12" i="274" s="1"/>
  <c r="O12" i="274" s="1"/>
  <c r="L46" i="274"/>
  <c r="N46" i="274" s="1"/>
  <c r="O46" i="274" s="1"/>
  <c r="L50" i="274"/>
  <c r="N50" i="274" s="1"/>
  <c r="O50" i="274" s="1"/>
  <c r="L48" i="274"/>
  <c r="N48" i="274" s="1"/>
  <c r="O48" i="274" s="1"/>
  <c r="L45" i="274"/>
  <c r="N45" i="274" s="1"/>
  <c r="O45" i="274" s="1"/>
  <c r="L41" i="274"/>
  <c r="N41" i="274" s="1"/>
  <c r="O41" i="274" s="1"/>
  <c r="L13" i="274"/>
  <c r="N13" i="274" s="1"/>
  <c r="O13" i="274" s="1"/>
  <c r="M10" i="6"/>
  <c r="M11" i="6" s="1"/>
  <c r="G41" i="37"/>
  <c r="E49" i="231"/>
  <c r="AA49" i="231" s="1"/>
  <c r="D21" i="198"/>
  <c r="C69" i="242"/>
  <c r="C25" i="242" s="1"/>
  <c r="C56" i="242"/>
  <c r="C12" i="242" s="1"/>
  <c r="C57" i="242"/>
  <c r="C13" i="242" s="1"/>
  <c r="G27" i="37"/>
  <c r="G24" i="37"/>
  <c r="C71" i="242"/>
  <c r="C27" i="242" s="1"/>
  <c r="C70" i="242"/>
  <c r="C26" i="242" s="1"/>
  <c r="G38" i="37"/>
  <c r="E25" i="222"/>
  <c r="K25" i="222" s="1"/>
  <c r="C64" i="242"/>
  <c r="C20" i="242" s="1"/>
  <c r="C65" i="242"/>
  <c r="C21" i="242" s="1"/>
  <c r="C55" i="242"/>
  <c r="C11" i="242" s="1"/>
  <c r="C61" i="242"/>
  <c r="C17" i="242" s="1"/>
  <c r="C66" i="242"/>
  <c r="C22" i="242" s="1"/>
  <c r="C59" i="242"/>
  <c r="C15" i="242" s="1"/>
  <c r="C62" i="242"/>
  <c r="C18" i="242" s="1"/>
  <c r="C63" i="242"/>
  <c r="C19" i="242" s="1"/>
  <c r="C67" i="242"/>
  <c r="C23" i="242" s="1"/>
  <c r="C68" i="242"/>
  <c r="C24" i="242" s="1"/>
  <c r="C60" i="242"/>
  <c r="C16" i="242" s="1"/>
  <c r="C58" i="242"/>
  <c r="C14" i="242" s="1"/>
  <c r="W72" i="40"/>
  <c r="W73" i="40" s="1"/>
  <c r="W74" i="40" s="1"/>
  <c r="W75" i="40" s="1"/>
  <c r="D11" i="198"/>
  <c r="L44" i="242"/>
  <c r="N44" i="242" s="1"/>
  <c r="O44" i="242" s="1"/>
  <c r="L41" i="242"/>
  <c r="L45" i="242"/>
  <c r="N45" i="242" s="1"/>
  <c r="O45" i="242" s="1"/>
  <c r="L43" i="242"/>
  <c r="N43" i="242" s="1"/>
  <c r="O43" i="242" s="1"/>
  <c r="L42" i="242"/>
  <c r="N42" i="242" s="1"/>
  <c r="O42" i="242" s="1"/>
  <c r="L46" i="242"/>
  <c r="N46" i="242" s="1"/>
  <c r="O46" i="242" s="1"/>
  <c r="L81" i="242"/>
  <c r="N81" i="242" s="1"/>
  <c r="O81" i="242" s="1"/>
  <c r="L58" i="242"/>
  <c r="L62" i="242"/>
  <c r="L66" i="242"/>
  <c r="L64" i="242"/>
  <c r="L61" i="242"/>
  <c r="L65" i="242"/>
  <c r="L59" i="242"/>
  <c r="L63" i="242"/>
  <c r="L67" i="242"/>
  <c r="L60" i="242"/>
  <c r="L68" i="242"/>
  <c r="L55" i="242"/>
  <c r="L69" i="242"/>
  <c r="L12" i="242"/>
  <c r="L16" i="242"/>
  <c r="L22" i="242"/>
  <c r="L26" i="242"/>
  <c r="L33" i="242"/>
  <c r="L40" i="242"/>
  <c r="L50" i="242"/>
  <c r="N50" i="242" s="1"/>
  <c r="O50" i="242" s="1"/>
  <c r="L25" i="242"/>
  <c r="L36" i="242"/>
  <c r="L13" i="242"/>
  <c r="L19" i="242"/>
  <c r="L23" i="242"/>
  <c r="L27" i="242"/>
  <c r="L34" i="242"/>
  <c r="L47" i="242"/>
  <c r="N47" i="242" s="1"/>
  <c r="O47" i="242" s="1"/>
  <c r="L21" i="242"/>
  <c r="L32" i="242"/>
  <c r="L14" i="242"/>
  <c r="L20" i="242"/>
  <c r="L24" i="242"/>
  <c r="L31" i="242"/>
  <c r="L35" i="242"/>
  <c r="L48" i="242"/>
  <c r="N48" i="242" s="1"/>
  <c r="O48" i="242" s="1"/>
  <c r="L15" i="242"/>
  <c r="L49" i="242"/>
  <c r="N49" i="242" s="1"/>
  <c r="O49" i="242" s="1"/>
  <c r="E13" i="231"/>
  <c r="AA13" i="231" s="1"/>
  <c r="E11" i="231"/>
  <c r="AA11" i="231" s="1"/>
  <c r="E15" i="231"/>
  <c r="AA15" i="231" s="1"/>
  <c r="A46" i="158"/>
  <c r="A47" i="158" s="1"/>
  <c r="A48" i="158" s="1"/>
  <c r="A49" i="158" s="1"/>
  <c r="A50" i="158" s="1"/>
  <c r="A51" i="158" s="1"/>
  <c r="A52" i="158" s="1"/>
  <c r="A53" i="158" s="1"/>
  <c r="A54" i="158" s="1"/>
  <c r="A55" i="158" s="1"/>
  <c r="A56" i="158" s="1"/>
  <c r="A57" i="158" s="1"/>
  <c r="A58" i="158" s="1"/>
  <c r="V19" i="4"/>
  <c r="G15" i="37"/>
  <c r="G18" i="37"/>
  <c r="G21" i="37"/>
  <c r="G12" i="37"/>
  <c r="G16" i="37"/>
  <c r="G19" i="37"/>
  <c r="G22" i="37"/>
  <c r="G13" i="37"/>
  <c r="G17" i="37"/>
  <c r="G20" i="37"/>
  <c r="G14" i="37"/>
  <c r="G45" i="37"/>
  <c r="L88" i="242"/>
  <c r="L87" i="242"/>
  <c r="L86" i="242"/>
  <c r="L11" i="242"/>
  <c r="K354" i="239"/>
  <c r="U37" i="37" s="1"/>
  <c r="D15" i="198"/>
  <c r="D13" i="198"/>
  <c r="E39" i="222"/>
  <c r="K39" i="222" s="1"/>
  <c r="F9" i="232"/>
  <c r="O9" i="232" s="1"/>
  <c r="F42" i="40"/>
  <c r="F68" i="40"/>
  <c r="F55" i="40"/>
  <c r="F17" i="40"/>
  <c r="F16" i="40"/>
  <c r="F30" i="40"/>
  <c r="F54" i="40"/>
  <c r="F27" i="40"/>
  <c r="F28" i="40"/>
  <c r="F26" i="40"/>
  <c r="F22" i="40"/>
  <c r="F19" i="40"/>
  <c r="F65" i="40"/>
  <c r="F59" i="40"/>
  <c r="F21" i="40"/>
  <c r="F52" i="40"/>
  <c r="F14" i="40"/>
  <c r="F20" i="40"/>
  <c r="F31" i="40"/>
  <c r="F32" i="40"/>
  <c r="F51" i="40"/>
  <c r="F66" i="40"/>
  <c r="F67" i="40"/>
  <c r="F29" i="40"/>
  <c r="F13" i="40"/>
  <c r="F56" i="40"/>
  <c r="F18" i="40"/>
  <c r="F53" i="40"/>
  <c r="F15" i="40"/>
  <c r="F63" i="40"/>
  <c r="F64" i="40"/>
  <c r="F58" i="40"/>
  <c r="F57" i="40"/>
  <c r="E83" i="231"/>
  <c r="AA83" i="231" s="1"/>
  <c r="E17" i="231"/>
  <c r="AA17" i="231" s="1"/>
  <c r="E51" i="231"/>
  <c r="AA51" i="231" s="1"/>
  <c r="E33" i="231"/>
  <c r="AA33" i="231" s="1"/>
  <c r="E69" i="231"/>
  <c r="AA69" i="231" s="1"/>
  <c r="E29" i="231"/>
  <c r="AA29" i="231" s="1"/>
  <c r="E43" i="231"/>
  <c r="AA43" i="231" s="1"/>
  <c r="E47" i="231"/>
  <c r="AA47" i="231" s="1"/>
  <c r="E73" i="231"/>
  <c r="AA73" i="231" s="1"/>
  <c r="E85" i="231"/>
  <c r="AA85" i="231" s="1"/>
  <c r="E25" i="231"/>
  <c r="AA25" i="231" s="1"/>
  <c r="E65" i="231"/>
  <c r="AA65" i="231" s="1"/>
  <c r="E79" i="231"/>
  <c r="AA79" i="231" s="1"/>
  <c r="E21" i="231"/>
  <c r="AA21" i="231" s="1"/>
  <c r="E59" i="231"/>
  <c r="AA59" i="231" s="1"/>
  <c r="E75" i="231"/>
  <c r="AA75" i="231" s="1"/>
  <c r="E61" i="231"/>
  <c r="AA61" i="231" s="1"/>
  <c r="E67" i="231"/>
  <c r="AA67" i="231" s="1"/>
  <c r="E77" i="231"/>
  <c r="AA77" i="231" s="1"/>
  <c r="E71" i="231"/>
  <c r="AA71" i="231" s="1"/>
  <c r="E63" i="231"/>
  <c r="AA63" i="231" s="1"/>
  <c r="E45" i="231"/>
  <c r="AA45" i="231" s="1"/>
  <c r="E57" i="231"/>
  <c r="AA57" i="231" s="1"/>
  <c r="E39" i="231"/>
  <c r="AA39" i="231" s="1"/>
  <c r="E41" i="231"/>
  <c r="AA41" i="231" s="1"/>
  <c r="E35" i="231"/>
  <c r="AA35" i="231" s="1"/>
  <c r="E87" i="231"/>
  <c r="AA87" i="231" s="1"/>
  <c r="E23" i="231"/>
  <c r="AA23" i="231" s="1"/>
  <c r="E37" i="231"/>
  <c r="AA37" i="231" s="1"/>
  <c r="E19" i="231"/>
  <c r="AA19" i="231" s="1"/>
  <c r="E27" i="231"/>
  <c r="AA27" i="231" s="1"/>
  <c r="E31" i="231"/>
  <c r="AA31" i="231" s="1"/>
  <c r="E81" i="231"/>
  <c r="AA81" i="231" s="1"/>
  <c r="E53" i="231"/>
  <c r="AA53" i="231" s="1"/>
  <c r="E55" i="231"/>
  <c r="AA55" i="231" s="1"/>
  <c r="G36" i="41"/>
  <c r="E29" i="222"/>
  <c r="K29" i="222" s="1"/>
  <c r="E41" i="222"/>
  <c r="K41" i="222" s="1"/>
  <c r="E27" i="222"/>
  <c r="K27" i="222" s="1"/>
  <c r="E31" i="222"/>
  <c r="K31" i="222" s="1"/>
  <c r="E43" i="222"/>
  <c r="K43" i="222" s="1"/>
  <c r="E33" i="222"/>
  <c r="K33" i="222" s="1"/>
  <c r="E35" i="222"/>
  <c r="K35" i="222" s="1"/>
  <c r="G39" i="37"/>
  <c r="G40" i="37"/>
  <c r="G37" i="37"/>
  <c r="K23" i="158"/>
  <c r="K24" i="158" s="1"/>
  <c r="D19" i="236"/>
  <c r="F19" i="236" s="1"/>
  <c r="F10" i="232"/>
  <c r="O10" i="232" s="1"/>
  <c r="H14" i="235"/>
  <c r="J41" i="40" s="1"/>
  <c r="E15" i="158"/>
  <c r="G41" i="41"/>
  <c r="G14" i="4"/>
  <c r="F8" i="232"/>
  <c r="O8" i="232" s="1"/>
  <c r="F41" i="40"/>
  <c r="F43" i="40"/>
  <c r="F38" i="40"/>
  <c r="C26" i="162"/>
  <c r="G47" i="41"/>
  <c r="G50" i="41" s="1"/>
  <c r="G11" i="41"/>
  <c r="H22" i="235"/>
  <c r="J46" i="40" s="1"/>
  <c r="E15" i="6"/>
  <c r="H18" i="235"/>
  <c r="J44" i="40" s="1"/>
  <c r="H16" i="235"/>
  <c r="J43" i="40" s="1"/>
  <c r="H12" i="235"/>
  <c r="J40" i="40" s="1"/>
  <c r="H8" i="235"/>
  <c r="J38" i="40" s="1"/>
  <c r="H20" i="235"/>
  <c r="J45" i="40" s="1"/>
  <c r="G29" i="41"/>
  <c r="G17" i="41"/>
  <c r="G35" i="41"/>
  <c r="G13" i="4"/>
  <c r="G12" i="4"/>
  <c r="G11" i="4"/>
  <c r="G26" i="37"/>
  <c r="G30" i="37"/>
  <c r="G28" i="37"/>
  <c r="G31" i="37"/>
  <c r="G57" i="37"/>
  <c r="G29" i="37"/>
  <c r="G32" i="37"/>
  <c r="G25" i="37"/>
  <c r="G33" i="37"/>
  <c r="E16" i="158"/>
  <c r="E17" i="158"/>
  <c r="E18" i="158"/>
  <c r="E19" i="158"/>
  <c r="F44" i="40"/>
  <c r="F45" i="40"/>
  <c r="F46" i="40"/>
  <c r="E12" i="2"/>
  <c r="G23" i="41"/>
  <c r="F39" i="40"/>
  <c r="F40" i="40"/>
  <c r="E25" i="228"/>
  <c r="D73" i="158"/>
  <c r="C25" i="162"/>
  <c r="C12" i="162"/>
  <c r="E19" i="6"/>
  <c r="D17" i="198"/>
  <c r="D23" i="198"/>
  <c r="A3" i="228"/>
  <c r="A3" i="239"/>
  <c r="A3" i="242"/>
  <c r="A3" i="37"/>
  <c r="A3" i="3"/>
  <c r="A3" i="237"/>
  <c r="A3" i="41"/>
  <c r="A3" i="158"/>
  <c r="A3" i="12"/>
  <c r="A3" i="2"/>
  <c r="A3" i="240"/>
  <c r="A3" i="235"/>
  <c r="A3" i="232"/>
  <c r="A3" i="222"/>
  <c r="A3" i="231"/>
  <c r="A3" i="236"/>
  <c r="A3" i="40"/>
  <c r="A3" i="29"/>
  <c r="A3" i="194"/>
  <c r="A3" i="6"/>
  <c r="A3" i="130"/>
  <c r="A3" i="198"/>
  <c r="A1" i="198"/>
  <c r="A3" i="4"/>
  <c r="A3" i="11"/>
  <c r="A3" i="17"/>
  <c r="A1" i="89"/>
  <c r="A1" i="204"/>
  <c r="A1" i="16"/>
  <c r="A1" i="17"/>
  <c r="A1" i="11"/>
  <c r="A1" i="4"/>
  <c r="A1" i="130"/>
  <c r="A1" i="6"/>
  <c r="A1" i="162"/>
  <c r="A1" i="194"/>
  <c r="A1" i="29"/>
  <c r="A1" i="40"/>
  <c r="A1" i="236"/>
  <c r="A1" i="231"/>
  <c r="A1" i="222"/>
  <c r="A1" i="232"/>
  <c r="A1" i="235"/>
  <c r="A1" i="240"/>
  <c r="A1" i="2"/>
  <c r="A1" i="12"/>
  <c r="A1" i="41"/>
  <c r="A1" i="3"/>
  <c r="A1" i="37"/>
  <c r="A1" i="242"/>
  <c r="A1" i="239"/>
  <c r="A1" i="228"/>
  <c r="E1" i="228"/>
  <c r="O1" i="239"/>
  <c r="K2" i="37"/>
  <c r="Q2" i="3"/>
  <c r="G1" i="237"/>
  <c r="I1" i="158"/>
  <c r="M1" i="12"/>
  <c r="G1" i="240"/>
  <c r="H1" i="235"/>
  <c r="F1" i="232"/>
  <c r="K2" i="222"/>
  <c r="AC1" i="231"/>
  <c r="F1" i="236"/>
  <c r="U2" i="40"/>
  <c r="P2" i="40"/>
  <c r="G2" i="29"/>
  <c r="I2" i="194"/>
  <c r="I2" i="162"/>
  <c r="F2" i="6"/>
  <c r="L2" i="130"/>
  <c r="O2" i="4"/>
  <c r="N2" i="11"/>
  <c r="F1" i="17"/>
  <c r="F1" i="16"/>
  <c r="F1" i="204"/>
  <c r="F1" i="89"/>
  <c r="K96" i="37" l="1"/>
  <c r="I52" i="37" s="1"/>
  <c r="K52" i="37" s="1"/>
  <c r="AA89" i="231"/>
  <c r="U42" i="37"/>
  <c r="V37" i="37"/>
  <c r="I37" i="37" s="1"/>
  <c r="I42" i="37" s="1"/>
  <c r="G35" i="37"/>
  <c r="I99" i="40"/>
  <c r="K15" i="222"/>
  <c r="K13" i="222"/>
  <c r="I86" i="40" s="1"/>
  <c r="I93" i="40" s="1"/>
  <c r="K23" i="222"/>
  <c r="I139" i="40" s="1"/>
  <c r="K21" i="222"/>
  <c r="I131" i="40" s="1"/>
  <c r="I134" i="40" s="1"/>
  <c r="K19" i="222"/>
  <c r="I121" i="40" s="1"/>
  <c r="I123" i="40" s="1"/>
  <c r="H12" i="2"/>
  <c r="T12" i="2" s="1"/>
  <c r="G20" i="158"/>
  <c r="I20" i="158" s="1"/>
  <c r="G18" i="158"/>
  <c r="G17" i="158"/>
  <c r="G15" i="158"/>
  <c r="G54" i="41"/>
  <c r="G18" i="237"/>
  <c r="G54" i="37"/>
  <c r="K17" i="37"/>
  <c r="K15" i="37"/>
  <c r="K23" i="37"/>
  <c r="K16" i="37"/>
  <c r="K41" i="37"/>
  <c r="K58" i="37"/>
  <c r="K14" i="37"/>
  <c r="K27" i="37"/>
  <c r="K12" i="37"/>
  <c r="O13" i="4"/>
  <c r="G93" i="239"/>
  <c r="O14" i="4"/>
  <c r="O11" i="4"/>
  <c r="O12" i="4"/>
  <c r="J86" i="242"/>
  <c r="G91" i="277"/>
  <c r="E24" i="158"/>
  <c r="G24" i="158"/>
  <c r="L12" i="194"/>
  <c r="L14" i="194" s="1"/>
  <c r="L16" i="194" s="1"/>
  <c r="C12" i="194"/>
  <c r="J87" i="242"/>
  <c r="G36" i="158" s="1"/>
  <c r="E45" i="222"/>
  <c r="I75" i="40"/>
  <c r="I83" i="40" s="1"/>
  <c r="I108" i="40"/>
  <c r="I147" i="40"/>
  <c r="I155" i="40"/>
  <c r="I149" i="40"/>
  <c r="I164" i="40"/>
  <c r="I165" i="40"/>
  <c r="I148" i="40"/>
  <c r="I141" i="40"/>
  <c r="O82" i="242"/>
  <c r="N82" i="242"/>
  <c r="I13" i="242"/>
  <c r="E13" i="242"/>
  <c r="I12" i="242"/>
  <c r="E12" i="242"/>
  <c r="AC21" i="231"/>
  <c r="AC27" i="231"/>
  <c r="AC57" i="231"/>
  <c r="AC75" i="231"/>
  <c r="AC47" i="231"/>
  <c r="AC83" i="231"/>
  <c r="AC71" i="231"/>
  <c r="AC19" i="231"/>
  <c r="AC45" i="231"/>
  <c r="AC59" i="231"/>
  <c r="AC43" i="231"/>
  <c r="AC63" i="231"/>
  <c r="AC23" i="231"/>
  <c r="AC55" i="231"/>
  <c r="AC87" i="231"/>
  <c r="AC65" i="231"/>
  <c r="AC33" i="231"/>
  <c r="AC15" i="231"/>
  <c r="AC37" i="231"/>
  <c r="AC79" i="231"/>
  <c r="AC53" i="231"/>
  <c r="AC35" i="231"/>
  <c r="AC67" i="231"/>
  <c r="AC25" i="231"/>
  <c r="AC51" i="231"/>
  <c r="AC49" i="231"/>
  <c r="AC69" i="231"/>
  <c r="AC81" i="231"/>
  <c r="M164" i="40" s="1"/>
  <c r="AC41" i="231"/>
  <c r="AC85" i="231"/>
  <c r="AC13" i="231"/>
  <c r="M77" i="40" s="1"/>
  <c r="AC29" i="231"/>
  <c r="AC31" i="231"/>
  <c r="AC39" i="231"/>
  <c r="M116" i="40" s="1"/>
  <c r="AC61" i="231"/>
  <c r="AC73" i="231"/>
  <c r="AC17" i="231"/>
  <c r="K71" i="37"/>
  <c r="G92" i="239"/>
  <c r="K70" i="37"/>
  <c r="G130" i="239"/>
  <c r="G131" i="239"/>
  <c r="U19" i="40"/>
  <c r="U17" i="40"/>
  <c r="U22" i="40"/>
  <c r="U26" i="40"/>
  <c r="U20" i="40"/>
  <c r="U13" i="40"/>
  <c r="U14" i="40"/>
  <c r="U28" i="40"/>
  <c r="U55" i="40"/>
  <c r="G136" i="239"/>
  <c r="U58" i="40"/>
  <c r="U27" i="40"/>
  <c r="G32" i="41"/>
  <c r="G135" i="239"/>
  <c r="U21" i="40"/>
  <c r="K72" i="37"/>
  <c r="G134" i="239"/>
  <c r="U59" i="40"/>
  <c r="U30" i="40"/>
  <c r="G133" i="239"/>
  <c r="U15" i="40"/>
  <c r="I25" i="242"/>
  <c r="I20" i="242"/>
  <c r="I14" i="242"/>
  <c r="E14" i="242"/>
  <c r="C72" i="242"/>
  <c r="G67" i="37"/>
  <c r="U43" i="40"/>
  <c r="U45" i="40"/>
  <c r="U46" i="40"/>
  <c r="AC11" i="231"/>
  <c r="M75" i="40" s="1"/>
  <c r="I89" i="231"/>
  <c r="M119" i="40"/>
  <c r="U44" i="40"/>
  <c r="U41" i="40"/>
  <c r="L160" i="40"/>
  <c r="G132" i="239"/>
  <c r="U42" i="40"/>
  <c r="U40" i="40"/>
  <c r="F19" i="232"/>
  <c r="O19" i="232" s="1"/>
  <c r="L60" i="40"/>
  <c r="M51" i="40"/>
  <c r="M60" i="40" s="1"/>
  <c r="L69" i="40"/>
  <c r="M63" i="40"/>
  <c r="U38" i="40"/>
  <c r="D21" i="236"/>
  <c r="F21" i="236" s="1"/>
  <c r="G61" i="277" s="1"/>
  <c r="G46" i="37"/>
  <c r="G42" i="37"/>
  <c r="A59" i="158"/>
  <c r="A60" i="158" s="1"/>
  <c r="A61" i="158" s="1"/>
  <c r="A62" i="158" s="1"/>
  <c r="A63" i="158" s="1"/>
  <c r="T45" i="40"/>
  <c r="T40" i="40"/>
  <c r="T43" i="40"/>
  <c r="T46" i="40"/>
  <c r="T41" i="40"/>
  <c r="T44" i="40"/>
  <c r="F10" i="6"/>
  <c r="O11" i="274"/>
  <c r="O31" i="274" s="1"/>
  <c r="N31" i="274"/>
  <c r="N51" i="274"/>
  <c r="O40" i="274"/>
  <c r="O51" i="274" s="1"/>
  <c r="M12" i="6"/>
  <c r="F11" i="6"/>
  <c r="I57" i="242"/>
  <c r="E57" i="242"/>
  <c r="E56" i="242"/>
  <c r="I56" i="242"/>
  <c r="I19" i="242"/>
  <c r="E58" i="242"/>
  <c r="F58" i="242" s="1"/>
  <c r="F11" i="232"/>
  <c r="O11" i="232" s="1"/>
  <c r="F13" i="232"/>
  <c r="O13" i="232" s="1"/>
  <c r="I70" i="242"/>
  <c r="E70" i="242"/>
  <c r="I71" i="242"/>
  <c r="E71" i="242"/>
  <c r="E33" i="242"/>
  <c r="E32" i="242"/>
  <c r="I40" i="242"/>
  <c r="K21" i="37"/>
  <c r="G89" i="231"/>
  <c r="G34" i="37"/>
  <c r="T38" i="40"/>
  <c r="I24" i="242"/>
  <c r="E24" i="242"/>
  <c r="I26" i="242"/>
  <c r="E26" i="242"/>
  <c r="I34" i="242"/>
  <c r="E34" i="242"/>
  <c r="I16" i="242"/>
  <c r="E16" i="242"/>
  <c r="I60" i="242"/>
  <c r="E31" i="242"/>
  <c r="I31" i="242"/>
  <c r="E27" i="242"/>
  <c r="I27" i="242"/>
  <c r="I36" i="242"/>
  <c r="E36" i="242"/>
  <c r="I35" i="242"/>
  <c r="E35" i="242"/>
  <c r="I41" i="242"/>
  <c r="E41" i="242"/>
  <c r="I23" i="242"/>
  <c r="E23" i="242"/>
  <c r="I22" i="242"/>
  <c r="E22" i="242"/>
  <c r="W76" i="40"/>
  <c r="F75" i="40"/>
  <c r="E89" i="231"/>
  <c r="I63" i="242"/>
  <c r="E63" i="242"/>
  <c r="I66" i="242"/>
  <c r="E66" i="242"/>
  <c r="I61" i="242"/>
  <c r="E61" i="242"/>
  <c r="I65" i="242"/>
  <c r="E65" i="242"/>
  <c r="I64" i="242"/>
  <c r="E64" i="242"/>
  <c r="I62" i="242"/>
  <c r="E62" i="242"/>
  <c r="I68" i="242"/>
  <c r="E68" i="242"/>
  <c r="I59" i="242"/>
  <c r="E59" i="242"/>
  <c r="I55" i="242"/>
  <c r="E55" i="242"/>
  <c r="E60" i="242"/>
  <c r="I69" i="242"/>
  <c r="E69" i="242"/>
  <c r="I67" i="242"/>
  <c r="E67" i="242"/>
  <c r="I58" i="242"/>
  <c r="G18" i="4"/>
  <c r="F69" i="40"/>
  <c r="F23" i="40"/>
  <c r="G53" i="41"/>
  <c r="B139" i="277" s="1"/>
  <c r="G148" i="239"/>
  <c r="G143" i="239"/>
  <c r="G142" i="239"/>
  <c r="G110" i="239"/>
  <c r="G108" i="239"/>
  <c r="G154" i="239"/>
  <c r="G109" i="239"/>
  <c r="G157" i="239"/>
  <c r="G112" i="239"/>
  <c r="G113" i="239"/>
  <c r="G144" i="239"/>
  <c r="G145" i="239"/>
  <c r="G153" i="239"/>
  <c r="G146" i="239"/>
  <c r="G156" i="239"/>
  <c r="G111" i="239"/>
  <c r="G149" i="239"/>
  <c r="G158" i="239"/>
  <c r="K72" i="239"/>
  <c r="M72" i="239" s="1"/>
  <c r="N72" i="239" s="1"/>
  <c r="G147" i="239"/>
  <c r="G106" i="239"/>
  <c r="G104" i="239"/>
  <c r="G141" i="239"/>
  <c r="G105" i="239"/>
  <c r="G155" i="239"/>
  <c r="G107" i="239"/>
  <c r="G19" i="158"/>
  <c r="G122" i="239"/>
  <c r="G120" i="239"/>
  <c r="G117" i="239"/>
  <c r="G121" i="239"/>
  <c r="G123" i="239"/>
  <c r="G118" i="239"/>
  <c r="G119" i="239"/>
  <c r="G128" i="239"/>
  <c r="F47" i="40"/>
  <c r="F60" i="40"/>
  <c r="F33" i="40"/>
  <c r="E16" i="2"/>
  <c r="K25" i="158"/>
  <c r="E11" i="242"/>
  <c r="G15" i="4"/>
  <c r="G12" i="239"/>
  <c r="E20" i="6"/>
  <c r="E16" i="6"/>
  <c r="E12" i="6"/>
  <c r="E21" i="6"/>
  <c r="E13" i="6"/>
  <c r="E22" i="6"/>
  <c r="E18" i="6"/>
  <c r="E14" i="6"/>
  <c r="D19" i="198"/>
  <c r="E11" i="6"/>
  <c r="G11" i="239"/>
  <c r="G10" i="239"/>
  <c r="G9" i="239"/>
  <c r="H10" i="235"/>
  <c r="J39" i="40" s="1"/>
  <c r="U39" i="40" s="1"/>
  <c r="E10" i="6"/>
  <c r="E17" i="6"/>
  <c r="O31" i="198"/>
  <c r="O35" i="198" s="1"/>
  <c r="K94" i="37" l="1"/>
  <c r="V42" i="37"/>
  <c r="U19" i="37"/>
  <c r="I110" i="40"/>
  <c r="I125" i="40" s="1"/>
  <c r="I95" i="40"/>
  <c r="I19" i="158"/>
  <c r="G74" i="37"/>
  <c r="O18" i="4"/>
  <c r="E14" i="268"/>
  <c r="I14" i="268" s="1"/>
  <c r="M14" i="268" s="1"/>
  <c r="K93" i="239"/>
  <c r="M93" i="239" s="1"/>
  <c r="E11" i="268"/>
  <c r="K106" i="239"/>
  <c r="M106" i="239" s="1"/>
  <c r="N106" i="239" s="1"/>
  <c r="K104" i="239"/>
  <c r="M104" i="239" s="1"/>
  <c r="N104" i="239" s="1"/>
  <c r="K121" i="239"/>
  <c r="M121" i="239" s="1"/>
  <c r="N121" i="239" s="1"/>
  <c r="K92" i="239"/>
  <c r="M92" i="239" s="1"/>
  <c r="G297" i="239"/>
  <c r="G299" i="239" s="1"/>
  <c r="K148" i="239"/>
  <c r="M148" i="239" s="1"/>
  <c r="N148" i="239" s="1"/>
  <c r="E12" i="268"/>
  <c r="I12" i="268" s="1"/>
  <c r="M12" i="268" s="1"/>
  <c r="E13" i="268"/>
  <c r="I13" i="268" s="1"/>
  <c r="M13" i="268" s="1"/>
  <c r="K42" i="37"/>
  <c r="G95" i="239"/>
  <c r="E35" i="2"/>
  <c r="K45" i="222"/>
  <c r="G58" i="277" s="1"/>
  <c r="I150" i="40"/>
  <c r="I140" i="40"/>
  <c r="I142" i="40" s="1"/>
  <c r="F21" i="232"/>
  <c r="O21" i="232" s="1"/>
  <c r="F12" i="242"/>
  <c r="J12" i="242"/>
  <c r="N12" i="242" s="1"/>
  <c r="O12" i="242" s="1"/>
  <c r="J13" i="242"/>
  <c r="N13" i="242" s="1"/>
  <c r="O13" i="242" s="1"/>
  <c r="F13" i="242"/>
  <c r="K105" i="239"/>
  <c r="M105" i="239" s="1"/>
  <c r="N105" i="239" s="1"/>
  <c r="K118" i="239"/>
  <c r="M118" i="239" s="1"/>
  <c r="N118" i="239" s="1"/>
  <c r="K149" i="239"/>
  <c r="M149" i="239" s="1"/>
  <c r="N149" i="239" s="1"/>
  <c r="K112" i="239"/>
  <c r="M112" i="239" s="1"/>
  <c r="N112" i="239" s="1"/>
  <c r="K110" i="239"/>
  <c r="M110" i="239" s="1"/>
  <c r="N110" i="239" s="1"/>
  <c r="K111" i="239"/>
  <c r="M111" i="239" s="1"/>
  <c r="N111" i="239" s="1"/>
  <c r="K145" i="239"/>
  <c r="M145" i="239" s="1"/>
  <c r="N145" i="239" s="1"/>
  <c r="K9" i="239"/>
  <c r="M9" i="239" s="1"/>
  <c r="N9" i="239" s="1"/>
  <c r="I162" i="40"/>
  <c r="I167" i="40" s="1"/>
  <c r="I171" i="40" s="1"/>
  <c r="K113" i="239"/>
  <c r="M113" i="239" s="1"/>
  <c r="N113" i="239" s="1"/>
  <c r="K119" i="239"/>
  <c r="M119" i="239" s="1"/>
  <c r="N119" i="239" s="1"/>
  <c r="K108" i="239"/>
  <c r="M108" i="239" s="1"/>
  <c r="N108" i="239" s="1"/>
  <c r="G124" i="239"/>
  <c r="K134" i="239"/>
  <c r="M134" i="239" s="1"/>
  <c r="N134" i="239" s="1"/>
  <c r="J12" i="11"/>
  <c r="E20" i="242"/>
  <c r="F20" i="242" s="1"/>
  <c r="J14" i="242"/>
  <c r="N14" i="242" s="1"/>
  <c r="O14" i="242" s="1"/>
  <c r="F14" i="242"/>
  <c r="E25" i="2"/>
  <c r="L71" i="40"/>
  <c r="I12" i="3"/>
  <c r="M69" i="40"/>
  <c r="J47" i="40"/>
  <c r="L175" i="40"/>
  <c r="K133" i="239"/>
  <c r="M133" i="239" s="1"/>
  <c r="N133" i="239" s="1"/>
  <c r="K136" i="239"/>
  <c r="M136" i="239" s="1"/>
  <c r="N136" i="239" s="1"/>
  <c r="E14" i="254"/>
  <c r="G105" i="277"/>
  <c r="M13" i="6"/>
  <c r="F12" i="6"/>
  <c r="F13" i="130"/>
  <c r="I17" i="242"/>
  <c r="E17" i="242"/>
  <c r="F57" i="242"/>
  <c r="J57" i="242"/>
  <c r="N57" i="242" s="1"/>
  <c r="O57" i="242" s="1"/>
  <c r="F56" i="242"/>
  <c r="J56" i="242"/>
  <c r="N56" i="242" s="1"/>
  <c r="O56" i="242" s="1"/>
  <c r="I18" i="242"/>
  <c r="E18" i="242"/>
  <c r="A64" i="158"/>
  <c r="A65" i="158" s="1"/>
  <c r="A66" i="158" s="1"/>
  <c r="A67" i="158" s="1"/>
  <c r="A68" i="158" s="1"/>
  <c r="A69" i="158" s="1"/>
  <c r="A70" i="158" s="1"/>
  <c r="A71" i="158" s="1"/>
  <c r="A72" i="158" s="1"/>
  <c r="A73" i="158" s="1"/>
  <c r="E19" i="242"/>
  <c r="F19" i="242" s="1"/>
  <c r="H24" i="235"/>
  <c r="F71" i="242"/>
  <c r="J71" i="242"/>
  <c r="N71" i="242" s="1"/>
  <c r="O71" i="242" s="1"/>
  <c r="F70" i="242"/>
  <c r="J70" i="242"/>
  <c r="N70" i="242" s="1"/>
  <c r="O70" i="242" s="1"/>
  <c r="I28" i="242"/>
  <c r="E28" i="242"/>
  <c r="E40" i="242"/>
  <c r="F40" i="242" s="1"/>
  <c r="I33" i="242"/>
  <c r="J33" i="242" s="1"/>
  <c r="N33" i="242" s="1"/>
  <c r="O33" i="242" s="1"/>
  <c r="I32" i="242"/>
  <c r="J32" i="242" s="1"/>
  <c r="N32" i="242" s="1"/>
  <c r="O32" i="242" s="1"/>
  <c r="I29" i="242"/>
  <c r="E29" i="242"/>
  <c r="I30" i="242"/>
  <c r="E30" i="242"/>
  <c r="I37" i="242"/>
  <c r="E37" i="242"/>
  <c r="F71" i="40"/>
  <c r="J41" i="242"/>
  <c r="N41" i="242" s="1"/>
  <c r="O41" i="242" s="1"/>
  <c r="F41" i="242"/>
  <c r="J27" i="242"/>
  <c r="N27" i="242" s="1"/>
  <c r="O27" i="242" s="1"/>
  <c r="F27" i="242"/>
  <c r="F26" i="242"/>
  <c r="J26" i="242"/>
  <c r="N26" i="242" s="1"/>
  <c r="O26" i="242" s="1"/>
  <c r="F35" i="242"/>
  <c r="J35" i="242"/>
  <c r="N35" i="242" s="1"/>
  <c r="O35" i="242" s="1"/>
  <c r="F33" i="242"/>
  <c r="F16" i="242"/>
  <c r="J16" i="242"/>
  <c r="N16" i="242" s="1"/>
  <c r="O16" i="242" s="1"/>
  <c r="J24" i="242"/>
  <c r="N24" i="242" s="1"/>
  <c r="O24" i="242" s="1"/>
  <c r="F24" i="242"/>
  <c r="J22" i="242"/>
  <c r="N22" i="242" s="1"/>
  <c r="O22" i="242" s="1"/>
  <c r="F22" i="242"/>
  <c r="J31" i="242"/>
  <c r="N31" i="242" s="1"/>
  <c r="O31" i="242" s="1"/>
  <c r="F31" i="242"/>
  <c r="J34" i="242"/>
  <c r="N34" i="242" s="1"/>
  <c r="O34" i="242" s="1"/>
  <c r="F34" i="242"/>
  <c r="F32" i="242"/>
  <c r="J23" i="242"/>
  <c r="N23" i="242" s="1"/>
  <c r="O23" i="242" s="1"/>
  <c r="F23" i="242"/>
  <c r="J36" i="242"/>
  <c r="N36" i="242" s="1"/>
  <c r="O36" i="242" s="1"/>
  <c r="F36" i="242"/>
  <c r="E21" i="242"/>
  <c r="I21" i="242"/>
  <c r="W77" i="40"/>
  <c r="F76" i="40"/>
  <c r="F11" i="242"/>
  <c r="O15" i="4"/>
  <c r="F61" i="242"/>
  <c r="J61" i="242"/>
  <c r="N61" i="242" s="1"/>
  <c r="O61" i="242" s="1"/>
  <c r="F66" i="242"/>
  <c r="J66" i="242"/>
  <c r="N66" i="242" s="1"/>
  <c r="O66" i="242" s="1"/>
  <c r="J60" i="242"/>
  <c r="N60" i="242" s="1"/>
  <c r="O60" i="242" s="1"/>
  <c r="F60" i="242"/>
  <c r="F59" i="242"/>
  <c r="J59" i="242"/>
  <c r="N59" i="242" s="1"/>
  <c r="O59" i="242" s="1"/>
  <c r="F62" i="242"/>
  <c r="J62" i="242"/>
  <c r="N62" i="242" s="1"/>
  <c r="O62" i="242" s="1"/>
  <c r="J65" i="242"/>
  <c r="N65" i="242" s="1"/>
  <c r="O65" i="242" s="1"/>
  <c r="F65" i="242"/>
  <c r="J63" i="242"/>
  <c r="N63" i="242" s="1"/>
  <c r="O63" i="242" s="1"/>
  <c r="F63" i="242"/>
  <c r="J58" i="242"/>
  <c r="N58" i="242" s="1"/>
  <c r="O58" i="242" s="1"/>
  <c r="F69" i="242"/>
  <c r="J69" i="242"/>
  <c r="N69" i="242" s="1"/>
  <c r="O69" i="242" s="1"/>
  <c r="J67" i="242"/>
  <c r="N67" i="242" s="1"/>
  <c r="O67" i="242" s="1"/>
  <c r="F67" i="242"/>
  <c r="F55" i="242"/>
  <c r="J55" i="242"/>
  <c r="N55" i="242" s="1"/>
  <c r="O55" i="242" s="1"/>
  <c r="J68" i="242"/>
  <c r="N68" i="242" s="1"/>
  <c r="O68" i="242" s="1"/>
  <c r="F68" i="242"/>
  <c r="J64" i="242"/>
  <c r="N64" i="242" s="1"/>
  <c r="O64" i="242" s="1"/>
  <c r="F64" i="242"/>
  <c r="G15" i="239"/>
  <c r="K11" i="239"/>
  <c r="M11" i="239" s="1"/>
  <c r="N11" i="239" s="1"/>
  <c r="K10" i="239"/>
  <c r="M10" i="239" s="1"/>
  <c r="N10" i="239" s="1"/>
  <c r="D31" i="198"/>
  <c r="E24" i="6"/>
  <c r="I20" i="3"/>
  <c r="C139" i="277" s="1"/>
  <c r="B140" i="277" s="1"/>
  <c r="G159" i="239"/>
  <c r="G150" i="239"/>
  <c r="G114" i="239"/>
  <c r="K132" i="239"/>
  <c r="M132" i="239" s="1"/>
  <c r="N132" i="239" s="1"/>
  <c r="T39" i="40"/>
  <c r="K117" i="239"/>
  <c r="M117" i="239" s="1"/>
  <c r="N117" i="239" s="1"/>
  <c r="K131" i="239"/>
  <c r="M131" i="239" s="1"/>
  <c r="N131" i="239" s="1"/>
  <c r="K26" i="158"/>
  <c r="G26" i="158" s="1"/>
  <c r="E25" i="158"/>
  <c r="I11" i="242"/>
  <c r="J11" i="242" s="1"/>
  <c r="E25" i="242"/>
  <c r="K42" i="4"/>
  <c r="K77" i="4" s="1"/>
  <c r="K12" i="239"/>
  <c r="M12" i="239" s="1"/>
  <c r="N12" i="239" s="1"/>
  <c r="K95" i="37" l="1"/>
  <c r="I51" i="37" s="1"/>
  <c r="K51" i="37" s="1"/>
  <c r="V19" i="37"/>
  <c r="U34" i="37"/>
  <c r="V34" i="37" s="1"/>
  <c r="G13" i="239"/>
  <c r="E18" i="268"/>
  <c r="I18" i="268" s="1"/>
  <c r="M18" i="268" s="1"/>
  <c r="I35" i="3"/>
  <c r="J175" i="40"/>
  <c r="G59" i="277"/>
  <c r="G96" i="239"/>
  <c r="G94" i="239"/>
  <c r="N13" i="239"/>
  <c r="I175" i="40"/>
  <c r="I173" i="40"/>
  <c r="F58" i="277" s="1"/>
  <c r="H58" i="277" s="1"/>
  <c r="J173" i="40"/>
  <c r="A74" i="158"/>
  <c r="A75" i="158" s="1"/>
  <c r="E15" i="268"/>
  <c r="G11" i="268"/>
  <c r="G15" i="268" s="1"/>
  <c r="J20" i="242"/>
  <c r="N20" i="242" s="1"/>
  <c r="O20" i="242" s="1"/>
  <c r="AC77" i="231"/>
  <c r="AC89" i="231" s="1"/>
  <c r="AC97" i="231" s="1"/>
  <c r="AA97" i="231"/>
  <c r="M71" i="40"/>
  <c r="E15" i="254"/>
  <c r="F105" i="277"/>
  <c r="H105" i="277" s="1"/>
  <c r="M14" i="6"/>
  <c r="F13" i="6"/>
  <c r="D19" i="277"/>
  <c r="B20" i="277"/>
  <c r="E46" i="2"/>
  <c r="F46" i="2" s="1"/>
  <c r="C87" i="277"/>
  <c r="F18" i="242"/>
  <c r="J18" i="242"/>
  <c r="N18" i="242" s="1"/>
  <c r="O18" i="242" s="1"/>
  <c r="F17" i="242"/>
  <c r="J17" i="242"/>
  <c r="N17" i="242" s="1"/>
  <c r="O17" i="242" s="1"/>
  <c r="J19" i="242"/>
  <c r="N19" i="242" s="1"/>
  <c r="O19" i="242" s="1"/>
  <c r="O47" i="40"/>
  <c r="T47" i="40"/>
  <c r="J40" i="242"/>
  <c r="N40" i="242" s="1"/>
  <c r="O40" i="242" s="1"/>
  <c r="F28" i="242"/>
  <c r="J28" i="242"/>
  <c r="N28" i="242" s="1"/>
  <c r="O28" i="242" s="1"/>
  <c r="F29" i="242"/>
  <c r="J29" i="242"/>
  <c r="N29" i="242" s="1"/>
  <c r="O29" i="242" s="1"/>
  <c r="J30" i="242"/>
  <c r="N30" i="242" s="1"/>
  <c r="O30" i="242" s="1"/>
  <c r="F30" i="242"/>
  <c r="F37" i="242"/>
  <c r="J37" i="242"/>
  <c r="N37" i="242" s="1"/>
  <c r="O37" i="242" s="1"/>
  <c r="F21" i="242"/>
  <c r="J21" i="242"/>
  <c r="N21" i="242" s="1"/>
  <c r="O21" i="242" s="1"/>
  <c r="W78" i="40"/>
  <c r="F77" i="40"/>
  <c r="G161" i="239"/>
  <c r="K15" i="239"/>
  <c r="M15" i="239" s="1"/>
  <c r="N15" i="239" s="1"/>
  <c r="J25" i="242"/>
  <c r="N25" i="242" s="1"/>
  <c r="O25" i="242" s="1"/>
  <c r="F25" i="242"/>
  <c r="E43" i="2"/>
  <c r="F43" i="2" s="1"/>
  <c r="E40" i="2"/>
  <c r="F40" i="2" s="1"/>
  <c r="K27" i="158"/>
  <c r="G27" i="158" s="1"/>
  <c r="E26" i="158"/>
  <c r="N12" i="11"/>
  <c r="I19" i="37" l="1"/>
  <c r="K19" i="37" s="1"/>
  <c r="K95" i="239" s="1"/>
  <c r="M95" i="239" s="1"/>
  <c r="J176" i="40"/>
  <c r="A76" i="158"/>
  <c r="A77" i="158" s="1"/>
  <c r="A78" i="158" s="1"/>
  <c r="A79" i="158" s="1"/>
  <c r="A80" i="158" s="1"/>
  <c r="A81" i="158" s="1"/>
  <c r="A82" i="158" s="1"/>
  <c r="A83" i="158" s="1"/>
  <c r="A84" i="158" s="1"/>
  <c r="A85" i="158" s="1"/>
  <c r="L12" i="11"/>
  <c r="K13" i="239"/>
  <c r="G62" i="277"/>
  <c r="G21" i="198"/>
  <c r="J21" i="198" s="1"/>
  <c r="J17" i="198"/>
  <c r="F59" i="277"/>
  <c r="H59" i="277" s="1"/>
  <c r="I176" i="40"/>
  <c r="I11" i="268"/>
  <c r="M11" i="268" s="1"/>
  <c r="M15" i="268" s="1"/>
  <c r="M15" i="6"/>
  <c r="F14" i="6"/>
  <c r="C20" i="277"/>
  <c r="I26" i="158"/>
  <c r="W79" i="40"/>
  <c r="F78" i="40"/>
  <c r="K28" i="158"/>
  <c r="G28" i="158" s="1"/>
  <c r="E27" i="158"/>
  <c r="G166" i="239"/>
  <c r="G167" i="239"/>
  <c r="I15" i="268" l="1"/>
  <c r="G168" i="239"/>
  <c r="G118" i="277"/>
  <c r="I13" i="12"/>
  <c r="M16" i="6"/>
  <c r="F15" i="6"/>
  <c r="I27" i="158"/>
  <c r="W80" i="40"/>
  <c r="F79" i="40"/>
  <c r="V20" i="4"/>
  <c r="G19" i="4"/>
  <c r="K29" i="158"/>
  <c r="G29" i="158" s="1"/>
  <c r="E28" i="158"/>
  <c r="O19" i="4" l="1"/>
  <c r="V21" i="4"/>
  <c r="V22" i="4" s="1"/>
  <c r="G169" i="239"/>
  <c r="F118" i="277"/>
  <c r="H118" i="277" s="1"/>
  <c r="M17" i="6"/>
  <c r="F16" i="6"/>
  <c r="I28" i="158"/>
  <c r="G16" i="239"/>
  <c r="W81" i="40"/>
  <c r="F80" i="40"/>
  <c r="G20" i="4"/>
  <c r="K30" i="158"/>
  <c r="G30" i="158" s="1"/>
  <c r="E29" i="158"/>
  <c r="E19" i="268" l="1"/>
  <c r="I19" i="268" s="1"/>
  <c r="M19" i="268" s="1"/>
  <c r="O20" i="4"/>
  <c r="G170" i="239"/>
  <c r="K269" i="239"/>
  <c r="M269" i="239" s="1"/>
  <c r="N269" i="239" s="1"/>
  <c r="M18" i="6"/>
  <c r="F17" i="6"/>
  <c r="M15" i="12"/>
  <c r="F119" i="277"/>
  <c r="H119" i="277" s="1"/>
  <c r="K16" i="239"/>
  <c r="M16" i="239" s="1"/>
  <c r="N16" i="239" s="1"/>
  <c r="I29" i="158"/>
  <c r="W82" i="40"/>
  <c r="F81" i="40"/>
  <c r="G17" i="239"/>
  <c r="K31" i="158"/>
  <c r="G31" i="158" s="1"/>
  <c r="E30" i="158"/>
  <c r="E20" i="268" l="1"/>
  <c r="I20" i="268" s="1"/>
  <c r="M20" i="268" s="1"/>
  <c r="G171" i="239"/>
  <c r="M19" i="6"/>
  <c r="F18" i="6"/>
  <c r="N95" i="239"/>
  <c r="I30" i="158"/>
  <c r="W83" i="40"/>
  <c r="W84" i="40" s="1"/>
  <c r="W85" i="40" s="1"/>
  <c r="W86" i="40" s="1"/>
  <c r="F82" i="40"/>
  <c r="K17" i="239"/>
  <c r="M17" i="239" s="1"/>
  <c r="N17" i="239" s="1"/>
  <c r="G21" i="4"/>
  <c r="K32" i="158"/>
  <c r="G32" i="158" s="1"/>
  <c r="E31" i="158"/>
  <c r="O21" i="4" l="1"/>
  <c r="M20" i="6"/>
  <c r="F19" i="6"/>
  <c r="N92" i="239"/>
  <c r="I31" i="158"/>
  <c r="G172" i="239"/>
  <c r="F83" i="40"/>
  <c r="W87" i="40"/>
  <c r="F86" i="40"/>
  <c r="G18" i="239"/>
  <c r="K33" i="158"/>
  <c r="G33" i="158" s="1"/>
  <c r="E32" i="158"/>
  <c r="E21" i="268" l="1"/>
  <c r="I21" i="268" s="1"/>
  <c r="M21" i="268" s="1"/>
  <c r="G22" i="268"/>
  <c r="M21" i="6"/>
  <c r="F20" i="6"/>
  <c r="I32" i="158"/>
  <c r="W88" i="40"/>
  <c r="F87" i="40"/>
  <c r="G176" i="239"/>
  <c r="K18" i="239"/>
  <c r="M18" i="239" s="1"/>
  <c r="N18" i="239" s="1"/>
  <c r="K34" i="158"/>
  <c r="G34" i="158" s="1"/>
  <c r="E33" i="158"/>
  <c r="G177" i="239" l="1"/>
  <c r="N93" i="239"/>
  <c r="M22" i="6"/>
  <c r="F22" i="6" s="1"/>
  <c r="F21" i="6"/>
  <c r="I33" i="158"/>
  <c r="W89" i="40"/>
  <c r="F88" i="40"/>
  <c r="V23" i="4"/>
  <c r="V24" i="4" s="1"/>
  <c r="V25" i="4" s="1"/>
  <c r="K88" i="4"/>
  <c r="K35" i="158"/>
  <c r="G35" i="158" s="1"/>
  <c r="E34" i="158"/>
  <c r="F15" i="130" l="1"/>
  <c r="C36" i="277"/>
  <c r="F24" i="6"/>
  <c r="G36" i="277" s="1"/>
  <c r="F14" i="277"/>
  <c r="F15" i="277" s="1"/>
  <c r="I34" i="158"/>
  <c r="G178" i="239"/>
  <c r="W90" i="40"/>
  <c r="F89" i="40"/>
  <c r="G22" i="4"/>
  <c r="G25" i="4"/>
  <c r="V26" i="4"/>
  <c r="K36" i="158"/>
  <c r="E35" i="158"/>
  <c r="G12" i="194"/>
  <c r="G14" i="194"/>
  <c r="G15" i="194"/>
  <c r="G16" i="194"/>
  <c r="G22" i="194"/>
  <c r="G23" i="194"/>
  <c r="G24" i="194"/>
  <c r="G25" i="194"/>
  <c r="G26" i="194"/>
  <c r="G13" i="162"/>
  <c r="H13" i="162" s="1"/>
  <c r="O25" i="4" l="1"/>
  <c r="K37" i="158"/>
  <c r="B36" i="277"/>
  <c r="B37" i="277" s="1"/>
  <c r="G179" i="239"/>
  <c r="N19" i="239"/>
  <c r="J20" i="11"/>
  <c r="I35" i="158"/>
  <c r="W91" i="40"/>
  <c r="F90" i="40"/>
  <c r="K38" i="158"/>
  <c r="G38" i="158" s="1"/>
  <c r="E37" i="158"/>
  <c r="O22" i="4"/>
  <c r="G21" i="239"/>
  <c r="V27" i="4"/>
  <c r="G26" i="4"/>
  <c r="E36" i="158"/>
  <c r="O26" i="4" l="1"/>
  <c r="E25" i="268"/>
  <c r="G25" i="268" s="1"/>
  <c r="K39" i="158"/>
  <c r="G39" i="158" s="1"/>
  <c r="G19" i="239"/>
  <c r="G180" i="239"/>
  <c r="F120" i="277"/>
  <c r="H120" i="277" s="1"/>
  <c r="M17" i="12"/>
  <c r="K270" i="239"/>
  <c r="M270" i="239" s="1"/>
  <c r="N270" i="239" s="1"/>
  <c r="N20" i="11"/>
  <c r="W92" i="40"/>
  <c r="F91" i="40"/>
  <c r="G22" i="239"/>
  <c r="K21" i="239"/>
  <c r="M21" i="239" s="1"/>
  <c r="N21" i="239" s="1"/>
  <c r="V28" i="4"/>
  <c r="G27" i="4"/>
  <c r="E22" i="268"/>
  <c r="E38" i="158"/>
  <c r="O27" i="4" l="1"/>
  <c r="E26" i="268"/>
  <c r="G26" i="268" s="1"/>
  <c r="G42" i="268" s="1"/>
  <c r="L20" i="11"/>
  <c r="K19" i="239"/>
  <c r="I38" i="158"/>
  <c r="I25" i="268"/>
  <c r="M25" i="268" s="1"/>
  <c r="G181" i="239"/>
  <c r="W93" i="40"/>
  <c r="W94" i="40" s="1"/>
  <c r="W95" i="40" s="1"/>
  <c r="W96" i="40" s="1"/>
  <c r="W97" i="40" s="1"/>
  <c r="W98" i="40" s="1"/>
  <c r="W99" i="40" s="1"/>
  <c r="F92" i="40"/>
  <c r="G23" i="239"/>
  <c r="K22" i="239"/>
  <c r="M22" i="239" s="1"/>
  <c r="N22" i="239" s="1"/>
  <c r="I22" i="268"/>
  <c r="V29" i="4"/>
  <c r="G28" i="4"/>
  <c r="E39" i="158"/>
  <c r="K40" i="158"/>
  <c r="G40" i="158" s="1"/>
  <c r="O28" i="4" l="1"/>
  <c r="E27" i="268"/>
  <c r="I27" i="268" s="1"/>
  <c r="M27" i="268" s="1"/>
  <c r="K41" i="158"/>
  <c r="G41" i="158" s="1"/>
  <c r="G182" i="239"/>
  <c r="M22" i="268"/>
  <c r="I39" i="158"/>
  <c r="F93" i="40"/>
  <c r="W100" i="40"/>
  <c r="F99" i="40"/>
  <c r="G24" i="239"/>
  <c r="K23" i="239"/>
  <c r="M23" i="239" s="1"/>
  <c r="N23" i="239" s="1"/>
  <c r="V30" i="4"/>
  <c r="V31" i="4" s="1"/>
  <c r="G29" i="4"/>
  <c r="E40" i="158"/>
  <c r="E28" i="268" l="1"/>
  <c r="I28" i="268" s="1"/>
  <c r="M28" i="268" s="1"/>
  <c r="O29" i="4"/>
  <c r="K42" i="158"/>
  <c r="G42" i="158" s="1"/>
  <c r="E41" i="158"/>
  <c r="G183" i="239"/>
  <c r="I19" i="12"/>
  <c r="G121" i="277"/>
  <c r="G25" i="239"/>
  <c r="I40" i="158"/>
  <c r="G189" i="239"/>
  <c r="W101" i="40"/>
  <c r="F100" i="40"/>
  <c r="K24" i="239"/>
  <c r="M24" i="239" s="1"/>
  <c r="N24" i="239" s="1"/>
  <c r="G30" i="4"/>
  <c r="K43" i="158"/>
  <c r="G43" i="158" s="1"/>
  <c r="E42" i="158"/>
  <c r="E29" i="268" l="1"/>
  <c r="I29" i="268" s="1"/>
  <c r="M29" i="268" s="1"/>
  <c r="O30" i="4"/>
  <c r="I41" i="158"/>
  <c r="G190" i="239"/>
  <c r="M19" i="12"/>
  <c r="F121" i="277"/>
  <c r="H121" i="277" s="1"/>
  <c r="K25" i="239"/>
  <c r="M25" i="239" s="1"/>
  <c r="N25" i="239" s="1"/>
  <c r="I42" i="158"/>
  <c r="F101" i="40"/>
  <c r="W102" i="40"/>
  <c r="G26" i="239"/>
  <c r="K44" i="158"/>
  <c r="G44" i="158" s="1"/>
  <c r="E43" i="158"/>
  <c r="E30" i="268" l="1"/>
  <c r="I30" i="268" s="1"/>
  <c r="M30" i="268" s="1"/>
  <c r="U101" i="40"/>
  <c r="I43" i="158"/>
  <c r="W103" i="40"/>
  <c r="F102" i="40"/>
  <c r="G191" i="239"/>
  <c r="K45" i="158"/>
  <c r="G45" i="158" s="1"/>
  <c r="E44" i="158"/>
  <c r="V32" i="4"/>
  <c r="G31" i="4"/>
  <c r="K26" i="239"/>
  <c r="M26" i="239" s="1"/>
  <c r="N26" i="239" s="1"/>
  <c r="O31" i="4" l="1"/>
  <c r="K46" i="158"/>
  <c r="G46" i="158" s="1"/>
  <c r="K191" i="239"/>
  <c r="M191" i="239" s="1"/>
  <c r="N191" i="239" s="1"/>
  <c r="E45" i="158"/>
  <c r="I44" i="158"/>
  <c r="G192" i="239"/>
  <c r="W104" i="40"/>
  <c r="F103" i="40"/>
  <c r="E46" i="158"/>
  <c r="G27" i="239"/>
  <c r="G32" i="4"/>
  <c r="V33" i="4"/>
  <c r="O32" i="4" l="1"/>
  <c r="E31" i="268"/>
  <c r="I31" i="268" s="1"/>
  <c r="M31" i="268" s="1"/>
  <c r="K47" i="158"/>
  <c r="I45" i="158"/>
  <c r="K48" i="158"/>
  <c r="G48" i="158" s="1"/>
  <c r="G193" i="239"/>
  <c r="I46" i="158"/>
  <c r="F104" i="40"/>
  <c r="W105" i="40"/>
  <c r="G28" i="239"/>
  <c r="V34" i="4"/>
  <c r="V35" i="4" s="1"/>
  <c r="G33" i="4"/>
  <c r="K27" i="239"/>
  <c r="M27" i="239" s="1"/>
  <c r="N27" i="239" s="1"/>
  <c r="E48" i="158"/>
  <c r="O33" i="4" l="1"/>
  <c r="E32" i="268"/>
  <c r="I32" i="268" s="1"/>
  <c r="M32" i="268" s="1"/>
  <c r="E47" i="158"/>
  <c r="K49" i="158"/>
  <c r="G49" i="158" s="1"/>
  <c r="I48" i="158"/>
  <c r="G194" i="239"/>
  <c r="W106" i="40"/>
  <c r="F105" i="40"/>
  <c r="G29" i="239"/>
  <c r="G34" i="4"/>
  <c r="K28" i="239"/>
  <c r="M28" i="239" s="1"/>
  <c r="N28" i="239" s="1"/>
  <c r="E49" i="158"/>
  <c r="O34" i="4" l="1"/>
  <c r="E33" i="268"/>
  <c r="I33" i="268" s="1"/>
  <c r="M33" i="268" s="1"/>
  <c r="K50" i="158"/>
  <c r="G50" i="158" s="1"/>
  <c r="I49" i="158"/>
  <c r="G195" i="239"/>
  <c r="W107" i="40"/>
  <c r="F106" i="40"/>
  <c r="G30" i="239"/>
  <c r="K29" i="239"/>
  <c r="M29" i="239" s="1"/>
  <c r="N29" i="239" s="1"/>
  <c r="E50" i="158"/>
  <c r="E34" i="268" l="1"/>
  <c r="I34" i="268" s="1"/>
  <c r="M34" i="268" s="1"/>
  <c r="K51" i="158"/>
  <c r="G51" i="158" s="1"/>
  <c r="I50" i="158"/>
  <c r="G196" i="239"/>
  <c r="W108" i="40"/>
  <c r="F107" i="40"/>
  <c r="K30" i="239"/>
  <c r="M30" i="239" s="1"/>
  <c r="N30" i="239" s="1"/>
  <c r="E51" i="158"/>
  <c r="K52" i="158" l="1"/>
  <c r="G52" i="158" s="1"/>
  <c r="G197" i="239"/>
  <c r="F108" i="40"/>
  <c r="W109" i="40"/>
  <c r="K53" i="158" l="1"/>
  <c r="G53" i="158" s="1"/>
  <c r="E52" i="158"/>
  <c r="G198" i="239"/>
  <c r="F109" i="40"/>
  <c r="W110" i="40"/>
  <c r="W111" i="40" s="1"/>
  <c r="W112" i="40" s="1"/>
  <c r="W113" i="40" s="1"/>
  <c r="V36" i="4"/>
  <c r="V37" i="4" s="1"/>
  <c r="G35" i="4"/>
  <c r="O35" i="4" l="1"/>
  <c r="V38" i="4"/>
  <c r="G37" i="4"/>
  <c r="O37" i="4" s="1"/>
  <c r="E37" i="268" s="1"/>
  <c r="I52" i="158"/>
  <c r="K54" i="158"/>
  <c r="G54" i="158" s="1"/>
  <c r="E53" i="158"/>
  <c r="G31" i="239"/>
  <c r="W114" i="40"/>
  <c r="F113" i="40"/>
  <c r="G199" i="239"/>
  <c r="F110" i="40"/>
  <c r="G36" i="4"/>
  <c r="E35" i="268" l="1"/>
  <c r="I35" i="268" s="1"/>
  <c r="M35" i="268" s="1"/>
  <c r="O36" i="4"/>
  <c r="G32" i="239"/>
  <c r="I53" i="158"/>
  <c r="E54" i="158"/>
  <c r="K55" i="158"/>
  <c r="G55" i="158" s="1"/>
  <c r="G200" i="239"/>
  <c r="K31" i="239"/>
  <c r="M31" i="239" s="1"/>
  <c r="N31" i="239" s="1"/>
  <c r="F114" i="40"/>
  <c r="W115" i="40"/>
  <c r="V39" i="4"/>
  <c r="G38" i="4"/>
  <c r="I17" i="158"/>
  <c r="I18" i="158"/>
  <c r="G203" i="239"/>
  <c r="G283" i="239"/>
  <c r="G282" i="239"/>
  <c r="G281" i="239"/>
  <c r="G280" i="239"/>
  <c r="G279" i="239"/>
  <c r="C26" i="194"/>
  <c r="C25" i="194"/>
  <c r="H23" i="194"/>
  <c r="H12" i="194"/>
  <c r="H13" i="194"/>
  <c r="H14" i="194"/>
  <c r="G23" i="162"/>
  <c r="H23" i="162" s="1"/>
  <c r="G24" i="162"/>
  <c r="H24" i="162" s="1"/>
  <c r="G25" i="162"/>
  <c r="H25" i="162" s="1"/>
  <c r="I25" i="162" s="1"/>
  <c r="G26" i="162"/>
  <c r="H26" i="162" s="1"/>
  <c r="I26" i="162" s="1"/>
  <c r="G14" i="162"/>
  <c r="H14" i="162" s="1"/>
  <c r="G15" i="162"/>
  <c r="H15" i="162" s="1"/>
  <c r="C13" i="162"/>
  <c r="C14" i="162" s="1"/>
  <c r="M76" i="40"/>
  <c r="M82" i="40"/>
  <c r="M86" i="40"/>
  <c r="M88" i="40"/>
  <c r="M99" i="40"/>
  <c r="M108" i="40"/>
  <c r="M113" i="40"/>
  <c r="M121" i="40"/>
  <c r="M122" i="40"/>
  <c r="M131" i="40"/>
  <c r="M133" i="40"/>
  <c r="M141" i="40"/>
  <c r="M146" i="40"/>
  <c r="M163" i="40"/>
  <c r="M155" i="40"/>
  <c r="M165" i="40"/>
  <c r="M166" i="40"/>
  <c r="T166" i="40" s="1"/>
  <c r="M160" i="40"/>
  <c r="M162" i="40"/>
  <c r="N77" i="239"/>
  <c r="I15" i="158"/>
  <c r="G318" i="239"/>
  <c r="K30" i="37"/>
  <c r="K31" i="37"/>
  <c r="N110" i="40"/>
  <c r="O110" i="40"/>
  <c r="K110" i="40"/>
  <c r="N123" i="40"/>
  <c r="O123" i="40"/>
  <c r="K123" i="40"/>
  <c r="H123" i="40"/>
  <c r="H110" i="40"/>
  <c r="A9" i="228"/>
  <c r="A10" i="228" s="1"/>
  <c r="A11" i="228" s="1"/>
  <c r="A12" i="228" s="1"/>
  <c r="A13" i="228" s="1"/>
  <c r="A14" i="228" s="1"/>
  <c r="A15" i="228" s="1"/>
  <c r="A16" i="228" s="1"/>
  <c r="K134" i="40"/>
  <c r="K83" i="40"/>
  <c r="O142" i="40"/>
  <c r="O150" i="40"/>
  <c r="N142" i="40"/>
  <c r="N150" i="40"/>
  <c r="O83" i="40"/>
  <c r="N83" i="40"/>
  <c r="O167" i="40"/>
  <c r="O171" i="40" s="1"/>
  <c r="H142" i="40"/>
  <c r="H134" i="40"/>
  <c r="H150" i="40"/>
  <c r="H83" i="40"/>
  <c r="A11" i="130"/>
  <c r="A12" i="130" s="1"/>
  <c r="A13" i="130" s="1"/>
  <c r="A11" i="12"/>
  <c r="A12" i="12" s="1"/>
  <c r="A13" i="12" s="1"/>
  <c r="A14" i="12" s="1"/>
  <c r="I19" i="3"/>
  <c r="D114" i="277" s="1"/>
  <c r="C115" i="277" s="1"/>
  <c r="A11" i="194"/>
  <c r="A11" i="162"/>
  <c r="A12" i="162" s="1"/>
  <c r="A13" i="162" s="1"/>
  <c r="A14" i="162" s="1"/>
  <c r="A15" i="162" s="1"/>
  <c r="A16" i="162" s="1"/>
  <c r="A17" i="162" s="1"/>
  <c r="A18" i="162" s="1"/>
  <c r="A12" i="198"/>
  <c r="A12" i="11"/>
  <c r="A10" i="4"/>
  <c r="A11" i="4" s="1"/>
  <c r="A12" i="4" s="1"/>
  <c r="A13" i="4" s="1"/>
  <c r="A14" i="4" s="1"/>
  <c r="A15" i="4" s="1"/>
  <c r="A16" i="4" s="1"/>
  <c r="A17" i="4" s="1"/>
  <c r="H93" i="40"/>
  <c r="K93" i="40"/>
  <c r="N93" i="40"/>
  <c r="O93" i="40"/>
  <c r="I24" i="158"/>
  <c r="E21" i="158"/>
  <c r="I16" i="158"/>
  <c r="K24" i="37"/>
  <c r="K26" i="37"/>
  <c r="K28" i="37"/>
  <c r="K29" i="37"/>
  <c r="K33" i="37"/>
  <c r="O21" i="3"/>
  <c r="O37" i="3"/>
  <c r="H15" i="194"/>
  <c r="H16" i="194"/>
  <c r="H22" i="194"/>
  <c r="H24" i="194"/>
  <c r="H25" i="194"/>
  <c r="H26" i="194"/>
  <c r="G12" i="162"/>
  <c r="H12" i="162" s="1"/>
  <c r="I12" i="162" s="1"/>
  <c r="G16" i="162"/>
  <c r="H16" i="162" s="1"/>
  <c r="C22" i="162"/>
  <c r="I22" i="162" s="1"/>
  <c r="C23" i="162"/>
  <c r="C24" i="162"/>
  <c r="F26" i="6"/>
  <c r="F10" i="16"/>
  <c r="F34" i="16"/>
  <c r="K71" i="239"/>
  <c r="M71" i="239" s="1"/>
  <c r="N71" i="239" s="1"/>
  <c r="O38" i="4" l="1"/>
  <c r="F29" i="16"/>
  <c r="F36" i="16" s="1"/>
  <c r="E36" i="268"/>
  <c r="I36" i="268" s="1"/>
  <c r="M36" i="268" s="1"/>
  <c r="K32" i="239"/>
  <c r="M32" i="239" s="1"/>
  <c r="N32" i="239" s="1"/>
  <c r="I54" i="158"/>
  <c r="A19" i="162"/>
  <c r="I37" i="268"/>
  <c r="M37" i="268" s="1"/>
  <c r="K56" i="158"/>
  <c r="G56" i="158" s="1"/>
  <c r="E55" i="158"/>
  <c r="G204" i="239"/>
  <c r="M170" i="40"/>
  <c r="M130" i="40"/>
  <c r="M102" i="40"/>
  <c r="M138" i="40"/>
  <c r="M154" i="40"/>
  <c r="T154" i="40" s="1"/>
  <c r="M81" i="40"/>
  <c r="M83" i="40" s="1"/>
  <c r="M91" i="40"/>
  <c r="M93" i="40" s="1"/>
  <c r="T163" i="40"/>
  <c r="M103" i="40"/>
  <c r="M115" i="40"/>
  <c r="M123" i="40" s="1"/>
  <c r="M139" i="40"/>
  <c r="M147" i="40"/>
  <c r="M129" i="40"/>
  <c r="M100" i="40"/>
  <c r="M106" i="40"/>
  <c r="M148" i="40"/>
  <c r="M159" i="40"/>
  <c r="T159" i="40" s="1"/>
  <c r="M158" i="40"/>
  <c r="T158" i="40" s="1"/>
  <c r="M157" i="40"/>
  <c r="T157" i="40" s="1"/>
  <c r="M140" i="40"/>
  <c r="M156" i="40"/>
  <c r="T156" i="40" s="1"/>
  <c r="M109" i="40"/>
  <c r="T164" i="40"/>
  <c r="M149" i="40"/>
  <c r="T149" i="40" s="1"/>
  <c r="A14" i="130"/>
  <c r="A17" i="228"/>
  <c r="A18" i="228" s="1"/>
  <c r="A19" i="228" s="1"/>
  <c r="A20" i="228" s="1"/>
  <c r="A21" i="228" s="1"/>
  <c r="A22" i="228" s="1"/>
  <c r="A23" i="228" s="1"/>
  <c r="A24" i="228" s="1"/>
  <c r="A25" i="228" s="1"/>
  <c r="A26" i="228" s="1"/>
  <c r="A27" i="228" s="1"/>
  <c r="A12" i="194"/>
  <c r="A13" i="194" s="1"/>
  <c r="A14" i="194" s="1"/>
  <c r="A15" i="194" s="1"/>
  <c r="A16" i="194" s="1"/>
  <c r="A17" i="194" s="1"/>
  <c r="A18" i="194" s="1"/>
  <c r="A19" i="194" s="1"/>
  <c r="A20" i="194" s="1"/>
  <c r="A21" i="194" s="1"/>
  <c r="B87" i="277"/>
  <c r="B88" i="277" s="1"/>
  <c r="W116" i="40"/>
  <c r="F115" i="40"/>
  <c r="L83" i="40"/>
  <c r="M175" i="40"/>
  <c r="G39" i="4"/>
  <c r="V40" i="4"/>
  <c r="G33" i="239"/>
  <c r="A13" i="11"/>
  <c r="A14" i="11" s="1"/>
  <c r="A15" i="11" s="1"/>
  <c r="A16" i="11" s="1"/>
  <c r="A17" i="11" s="1"/>
  <c r="A18" i="11" s="1"/>
  <c r="A19" i="11" s="1"/>
  <c r="A20" i="11" s="1"/>
  <c r="A21" i="11" s="1"/>
  <c r="A22" i="11" s="1"/>
  <c r="A23" i="11" s="1"/>
  <c r="A24" i="11" s="1"/>
  <c r="A25" i="11" s="1"/>
  <c r="A26" i="11" s="1"/>
  <c r="A27" i="11" s="1"/>
  <c r="A28" i="11" s="1"/>
  <c r="A15" i="12"/>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13" i="198"/>
  <c r="A14" i="198" s="1"/>
  <c r="A15" i="198" s="1"/>
  <c r="A16" i="198" s="1"/>
  <c r="A17" i="198" s="1"/>
  <c r="A18" i="198" s="1"/>
  <c r="A19" i="198" s="1"/>
  <c r="A20" i="198" s="1"/>
  <c r="A21" i="198" s="1"/>
  <c r="A22" i="198" s="1"/>
  <c r="A23" i="198" s="1"/>
  <c r="A24" i="198" s="1"/>
  <c r="A25" i="198" s="1"/>
  <c r="A26" i="198" s="1"/>
  <c r="A27" i="198" s="1"/>
  <c r="A28" i="198" s="1"/>
  <c r="A29" i="198" s="1"/>
  <c r="A30" i="198" s="1"/>
  <c r="A31" i="198" s="1"/>
  <c r="A32" i="198" s="1"/>
  <c r="A33" i="198" s="1"/>
  <c r="A34" i="198" s="1"/>
  <c r="A35" i="198" s="1"/>
  <c r="A36" i="198" s="1"/>
  <c r="A37" i="198" s="1"/>
  <c r="A38" i="198" s="1"/>
  <c r="A39" i="198" s="1"/>
  <c r="A40" i="198" s="1"/>
  <c r="A41" i="198" s="1"/>
  <c r="A42" i="198" s="1"/>
  <c r="A43" i="198" s="1"/>
  <c r="L142" i="40"/>
  <c r="L134" i="40"/>
  <c r="L93" i="40"/>
  <c r="L123" i="40"/>
  <c r="T160" i="40"/>
  <c r="L167" i="40"/>
  <c r="L171" i="40" s="1"/>
  <c r="L150" i="40"/>
  <c r="L110" i="40"/>
  <c r="H13" i="130"/>
  <c r="L13" i="130" s="1"/>
  <c r="E26" i="6"/>
  <c r="K129" i="239"/>
  <c r="M129" i="239" s="1"/>
  <c r="K130" i="239"/>
  <c r="M130" i="239" s="1"/>
  <c r="N130" i="239" s="1"/>
  <c r="N11" i="242"/>
  <c r="O11" i="242" s="1"/>
  <c r="H15" i="130"/>
  <c r="G88" i="239"/>
  <c r="G276" i="239"/>
  <c r="G284" i="239"/>
  <c r="I21" i="158"/>
  <c r="N95" i="40"/>
  <c r="O125" i="40"/>
  <c r="H95" i="40"/>
  <c r="O95" i="40"/>
  <c r="K142" i="40"/>
  <c r="K150" i="40"/>
  <c r="I23" i="162"/>
  <c r="I24" i="162"/>
  <c r="I13" i="162"/>
  <c r="K74" i="239"/>
  <c r="M74" i="239" s="1"/>
  <c r="N74" i="239" s="1"/>
  <c r="G87" i="239"/>
  <c r="I25" i="194"/>
  <c r="G85" i="239"/>
  <c r="I26" i="194"/>
  <c r="G165" i="239"/>
  <c r="F95" i="40"/>
  <c r="H125" i="40"/>
  <c r="N125" i="40"/>
  <c r="G129" i="239"/>
  <c r="K95" i="40"/>
  <c r="K125" i="40"/>
  <c r="G21" i="158"/>
  <c r="C27" i="162"/>
  <c r="K76" i="239"/>
  <c r="M76" i="239" s="1"/>
  <c r="N76" i="239" s="1"/>
  <c r="A20" i="162" l="1"/>
  <c r="A21" i="162" s="1"/>
  <c r="A22" i="162" s="1"/>
  <c r="A23" i="162" s="1"/>
  <c r="A24" i="162" s="1"/>
  <c r="A25" i="162" s="1"/>
  <c r="A26" i="162" s="1"/>
  <c r="A27" i="162" s="1"/>
  <c r="A28" i="162" s="1"/>
  <c r="A29" i="162" s="1"/>
  <c r="A30" i="162" s="1"/>
  <c r="A31" i="162" s="1"/>
  <c r="A15" i="130"/>
  <c r="A16" i="130" s="1"/>
  <c r="A17" i="130" s="1"/>
  <c r="A18" i="130" s="1"/>
  <c r="A19" i="130" s="1"/>
  <c r="A20" i="130" s="1"/>
  <c r="O39" i="4"/>
  <c r="E38" i="268"/>
  <c r="I38" i="268" s="1"/>
  <c r="M38" i="268" s="1"/>
  <c r="F40" i="16"/>
  <c r="F43" i="16" s="1"/>
  <c r="N129" i="239"/>
  <c r="A22" i="194"/>
  <c r="A23" i="194" s="1"/>
  <c r="A24" i="194" s="1"/>
  <c r="A25" i="194" s="1"/>
  <c r="A26" i="194" s="1"/>
  <c r="A27" i="194" s="1"/>
  <c r="A28" i="194" s="1"/>
  <c r="A29" i="194" s="1"/>
  <c r="A30" i="194" s="1"/>
  <c r="A31" i="194" s="1"/>
  <c r="I55" i="158"/>
  <c r="E56" i="158"/>
  <c r="K57" i="158"/>
  <c r="G57" i="158" s="1"/>
  <c r="G205" i="239"/>
  <c r="M134" i="40"/>
  <c r="M142" i="40"/>
  <c r="M95" i="40"/>
  <c r="G321" i="239"/>
  <c r="G325" i="239"/>
  <c r="G324" i="239"/>
  <c r="G137" i="239"/>
  <c r="G173" i="239"/>
  <c r="U109" i="40"/>
  <c r="M110" i="40"/>
  <c r="M125" i="40" s="1"/>
  <c r="T109" i="40"/>
  <c r="M150" i="40"/>
  <c r="T140" i="40"/>
  <c r="T148" i="40"/>
  <c r="O87" i="242"/>
  <c r="K22" i="37" s="1"/>
  <c r="I51" i="158"/>
  <c r="F116" i="40"/>
  <c r="W117" i="40"/>
  <c r="G25" i="29"/>
  <c r="K33" i="239"/>
  <c r="M33" i="239" s="1"/>
  <c r="N33" i="239" s="1"/>
  <c r="G40" i="4"/>
  <c r="V41" i="4"/>
  <c r="G34" i="239"/>
  <c r="A29" i="11"/>
  <c r="A30" i="11" s="1"/>
  <c r="A31" i="11" s="1"/>
  <c r="A32" i="11" s="1"/>
  <c r="A33" i="11" s="1"/>
  <c r="L95" i="40"/>
  <c r="K167" i="40"/>
  <c r="K171" i="40" s="1"/>
  <c r="L125" i="40"/>
  <c r="U47" i="40"/>
  <c r="N167" i="40"/>
  <c r="N171" i="40" s="1"/>
  <c r="K135" i="239"/>
  <c r="M135" i="239" s="1"/>
  <c r="N135" i="239" s="1"/>
  <c r="K128" i="239"/>
  <c r="M128" i="239" s="1"/>
  <c r="N128" i="239" s="1"/>
  <c r="I15" i="3"/>
  <c r="D87" i="277" s="1"/>
  <c r="C88" i="277" s="1"/>
  <c r="M167" i="40"/>
  <c r="M171" i="40" s="1"/>
  <c r="H17" i="130"/>
  <c r="L15" i="130"/>
  <c r="K87" i="239"/>
  <c r="M87" i="239" s="1"/>
  <c r="N87" i="239" s="1"/>
  <c r="I27" i="162"/>
  <c r="H167" i="40"/>
  <c r="H171" i="40" s="1"/>
  <c r="O40" i="4" l="1"/>
  <c r="E39" i="268"/>
  <c r="I39" i="268" s="1"/>
  <c r="M39" i="268" s="1"/>
  <c r="N137" i="239"/>
  <c r="G37" i="158"/>
  <c r="I37" i="158" s="1"/>
  <c r="E26" i="29"/>
  <c r="K137" i="239"/>
  <c r="I56" i="158"/>
  <c r="K58" i="158"/>
  <c r="G58" i="158" s="1"/>
  <c r="E57" i="158"/>
  <c r="K199" i="239"/>
  <c r="M199" i="239" s="1"/>
  <c r="N199" i="239" s="1"/>
  <c r="K88" i="239"/>
  <c r="M88" i="239" s="1"/>
  <c r="N88" i="239" s="1"/>
  <c r="G206" i="239"/>
  <c r="L173" i="40"/>
  <c r="K173" i="40"/>
  <c r="F60" i="277" s="1"/>
  <c r="H60" i="277" s="1"/>
  <c r="H173" i="40"/>
  <c r="F57" i="277" s="1"/>
  <c r="H57" i="277" s="1"/>
  <c r="M173" i="40"/>
  <c r="F76" i="277"/>
  <c r="G185" i="239"/>
  <c r="G23" i="29"/>
  <c r="F36" i="277"/>
  <c r="F37" i="277" s="1"/>
  <c r="O86" i="242"/>
  <c r="I36" i="158"/>
  <c r="W118" i="40"/>
  <c r="F117" i="40"/>
  <c r="K34" i="239"/>
  <c r="M34" i="239" s="1"/>
  <c r="N34" i="239" s="1"/>
  <c r="G41" i="4"/>
  <c r="V42" i="4"/>
  <c r="V43" i="4" s="1"/>
  <c r="V44" i="4" s="1"/>
  <c r="V45" i="4" s="1"/>
  <c r="V46" i="4" s="1"/>
  <c r="G35" i="239"/>
  <c r="A18" i="4"/>
  <c r="I12" i="194"/>
  <c r="O41" i="4" l="1"/>
  <c r="E40" i="268"/>
  <c r="I40" i="268" s="1"/>
  <c r="M40" i="268" s="1"/>
  <c r="K20" i="37"/>
  <c r="K18" i="37"/>
  <c r="I57" i="158"/>
  <c r="K59" i="158"/>
  <c r="K60" i="158" s="1"/>
  <c r="K61" i="158" s="1"/>
  <c r="K62" i="158" s="1"/>
  <c r="K63" i="158" s="1"/>
  <c r="K64" i="158" s="1"/>
  <c r="K65" i="158" s="1"/>
  <c r="K66" i="158" s="1"/>
  <c r="K67" i="158" s="1"/>
  <c r="K68" i="158" s="1"/>
  <c r="K69" i="158" s="1"/>
  <c r="K70" i="158" s="1"/>
  <c r="K71" i="158" s="1"/>
  <c r="K72" i="158" s="1"/>
  <c r="K73" i="158" s="1"/>
  <c r="K74" i="158" s="1"/>
  <c r="E58" i="158"/>
  <c r="K176" i="40"/>
  <c r="G207" i="239"/>
  <c r="H176" i="40"/>
  <c r="V47" i="4"/>
  <c r="V48" i="4" s="1"/>
  <c r="G46" i="4"/>
  <c r="G76" i="277"/>
  <c r="H76" i="277" s="1"/>
  <c r="M176" i="40"/>
  <c r="F62" i="277"/>
  <c r="H62" i="277" s="1"/>
  <c r="L176" i="40"/>
  <c r="F61" i="277"/>
  <c r="H61" i="277" s="1"/>
  <c r="W119" i="40"/>
  <c r="F118" i="40"/>
  <c r="G36" i="239"/>
  <c r="G42" i="4"/>
  <c r="K35" i="239"/>
  <c r="M35" i="239" s="1"/>
  <c r="N35" i="239" s="1"/>
  <c r="G45" i="4"/>
  <c r="A19" i="4"/>
  <c r="G26" i="29"/>
  <c r="I82" i="158"/>
  <c r="K271" i="239"/>
  <c r="M271" i="239" s="1"/>
  <c r="N271" i="239" s="1"/>
  <c r="I14" i="162"/>
  <c r="G14" i="237"/>
  <c r="G13" i="41" s="1"/>
  <c r="O45" i="4" l="1"/>
  <c r="O46" i="4"/>
  <c r="E41" i="268"/>
  <c r="I41" i="268" s="1"/>
  <c r="M41" i="268" s="1"/>
  <c r="J22" i="11"/>
  <c r="V49" i="4"/>
  <c r="G49" i="4" s="1"/>
  <c r="G48" i="4"/>
  <c r="I58" i="158"/>
  <c r="E59" i="158"/>
  <c r="K75" i="158"/>
  <c r="K76" i="158" s="1"/>
  <c r="E74" i="158"/>
  <c r="G39" i="239"/>
  <c r="G40" i="239"/>
  <c r="G208" i="239"/>
  <c r="F48" i="277"/>
  <c r="G10" i="228"/>
  <c r="N337" i="239"/>
  <c r="G14" i="41"/>
  <c r="K16" i="2"/>
  <c r="K35" i="2" s="1"/>
  <c r="F119" i="40"/>
  <c r="W120" i="40"/>
  <c r="A20" i="4"/>
  <c r="K36" i="239"/>
  <c r="M36" i="239" s="1"/>
  <c r="N36" i="239" s="1"/>
  <c r="N37" i="239" s="1"/>
  <c r="O42" i="4"/>
  <c r="G20" i="41"/>
  <c r="E46" i="268" l="1"/>
  <c r="G46" i="268" s="1"/>
  <c r="I46" i="268" s="1"/>
  <c r="M46" i="268" s="1"/>
  <c r="O49" i="4"/>
  <c r="O48" i="4"/>
  <c r="E45" i="268"/>
  <c r="G45" i="268" s="1"/>
  <c r="G37" i="239"/>
  <c r="G42" i="239"/>
  <c r="A21" i="4"/>
  <c r="A22" i="4" s="1"/>
  <c r="A23" i="4" s="1"/>
  <c r="A24" i="4" s="1"/>
  <c r="A25" i="4" s="1"/>
  <c r="A26" i="4" s="1"/>
  <c r="A27" i="4" s="1"/>
  <c r="A28" i="4" s="1"/>
  <c r="E75" i="158"/>
  <c r="K40" i="239"/>
  <c r="M40" i="239" s="1"/>
  <c r="N40" i="239" s="1"/>
  <c r="K25" i="2"/>
  <c r="G209" i="239"/>
  <c r="C13" i="194"/>
  <c r="C14" i="194" s="1"/>
  <c r="I14" i="194" s="1"/>
  <c r="N22" i="11"/>
  <c r="W121" i="40"/>
  <c r="F120" i="40"/>
  <c r="K39" i="239"/>
  <c r="M39" i="239" s="1"/>
  <c r="N39" i="239" s="1"/>
  <c r="E42" i="268"/>
  <c r="K280" i="239"/>
  <c r="M280" i="239" s="1"/>
  <c r="N280" i="239" s="1"/>
  <c r="M13" i="12"/>
  <c r="K268" i="239"/>
  <c r="M268" i="239" s="1"/>
  <c r="N268" i="239" s="1"/>
  <c r="G26" i="41"/>
  <c r="K281" i="239"/>
  <c r="M281" i="239" s="1"/>
  <c r="N281" i="239" s="1"/>
  <c r="E48" i="268" l="1"/>
  <c r="E49" i="268"/>
  <c r="K42" i="239"/>
  <c r="M42" i="239" s="1"/>
  <c r="N42" i="239" s="1"/>
  <c r="H92" i="277"/>
  <c r="I13" i="194"/>
  <c r="K77" i="158"/>
  <c r="K78" i="158" s="1"/>
  <c r="K79" i="158" s="1"/>
  <c r="K80" i="158" s="1"/>
  <c r="K81" i="158" s="1"/>
  <c r="K82" i="158" s="1"/>
  <c r="K83" i="158" s="1"/>
  <c r="K84" i="158" s="1"/>
  <c r="K85" i="158" s="1"/>
  <c r="K282" i="239"/>
  <c r="M282" i="239" s="1"/>
  <c r="N282" i="239" s="1"/>
  <c r="C23" i="194"/>
  <c r="I23" i="194" s="1"/>
  <c r="G210" i="239"/>
  <c r="L22" i="11"/>
  <c r="K37" i="239"/>
  <c r="F121" i="40"/>
  <c r="W122" i="40"/>
  <c r="V50" i="4"/>
  <c r="G47" i="4"/>
  <c r="G68" i="268"/>
  <c r="G88" i="268" s="1"/>
  <c r="A29" i="4"/>
  <c r="A30" i="4" s="1"/>
  <c r="C24" i="194"/>
  <c r="O47" i="4" l="1"/>
  <c r="A31" i="4"/>
  <c r="A32" i="4" s="1"/>
  <c r="A33" i="4" s="1"/>
  <c r="A34" i="4" s="1"/>
  <c r="A35" i="4" s="1"/>
  <c r="E77" i="158"/>
  <c r="G211" i="239"/>
  <c r="V51" i="4"/>
  <c r="G51" i="4" s="1"/>
  <c r="G50" i="4"/>
  <c r="W123" i="40"/>
  <c r="W124" i="40" s="1"/>
  <c r="W125" i="40" s="1"/>
  <c r="W126" i="40" s="1"/>
  <c r="W127" i="40" s="1"/>
  <c r="W128" i="40" s="1"/>
  <c r="W129" i="40" s="1"/>
  <c r="F122" i="40"/>
  <c r="I45" i="268"/>
  <c r="M45" i="268" s="1"/>
  <c r="G41" i="239"/>
  <c r="I24" i="194"/>
  <c r="G29" i="194"/>
  <c r="H29" i="194" s="1"/>
  <c r="G44" i="41"/>
  <c r="O51" i="4" l="1"/>
  <c r="O50" i="4"/>
  <c r="E47" i="268"/>
  <c r="I47" i="268" s="1"/>
  <c r="M47" i="268" s="1"/>
  <c r="G45" i="239"/>
  <c r="A36" i="4"/>
  <c r="G44" i="239"/>
  <c r="F123" i="40"/>
  <c r="F125" i="40" s="1"/>
  <c r="G212" i="239"/>
  <c r="W130" i="40"/>
  <c r="F129" i="40"/>
  <c r="G43" i="239"/>
  <c r="V52" i="4"/>
  <c r="G52" i="4" s="1"/>
  <c r="K41" i="239"/>
  <c r="M41" i="239" s="1"/>
  <c r="N41" i="239" s="1"/>
  <c r="K283" i="239"/>
  <c r="M283" i="239" s="1"/>
  <c r="N283" i="239" s="1"/>
  <c r="E50" i="268" l="1"/>
  <c r="I50" i="268" s="1"/>
  <c r="M50" i="268" s="1"/>
  <c r="O52" i="4"/>
  <c r="E51" i="268"/>
  <c r="A37" i="4"/>
  <c r="A38" i="4" s="1"/>
  <c r="A39" i="4" s="1"/>
  <c r="A40" i="4" s="1"/>
  <c r="A41" i="4" s="1"/>
  <c r="A42" i="4" s="1"/>
  <c r="A43" i="4" s="1"/>
  <c r="A44" i="4" s="1"/>
  <c r="A45" i="4" s="1"/>
  <c r="A46" i="4" s="1"/>
  <c r="A47" i="4" s="1"/>
  <c r="G46" i="239"/>
  <c r="G219" i="239"/>
  <c r="I49" i="268"/>
  <c r="M49" i="268" s="1"/>
  <c r="I48" i="268"/>
  <c r="M48" i="268" s="1"/>
  <c r="G213" i="239"/>
  <c r="K45" i="239"/>
  <c r="M45" i="239" s="1"/>
  <c r="N45" i="239" s="1"/>
  <c r="K44" i="239"/>
  <c r="M44" i="239" s="1"/>
  <c r="N44" i="239" s="1"/>
  <c r="F130" i="40"/>
  <c r="W131" i="40"/>
  <c r="V53" i="4"/>
  <c r="V54" i="4" s="1"/>
  <c r="K43" i="239"/>
  <c r="M43" i="239" s="1"/>
  <c r="N43" i="239" s="1"/>
  <c r="E52" i="268" l="1"/>
  <c r="A48" i="4"/>
  <c r="A49" i="4" s="1"/>
  <c r="A50" i="4" s="1"/>
  <c r="A51" i="4" s="1"/>
  <c r="A52" i="4" s="1"/>
  <c r="A53" i="4" s="1"/>
  <c r="G220" i="239"/>
  <c r="G215" i="239"/>
  <c r="K46" i="239"/>
  <c r="M46" i="239" s="1"/>
  <c r="N46" i="239" s="1"/>
  <c r="F131" i="40"/>
  <c r="W132" i="40"/>
  <c r="G53" i="4"/>
  <c r="O53" i="4" l="1"/>
  <c r="A54" i="4"/>
  <c r="A55" i="4" s="1"/>
  <c r="A56" i="4" s="1"/>
  <c r="A57" i="4" s="1"/>
  <c r="A58" i="4" s="1"/>
  <c r="A59" i="4" s="1"/>
  <c r="A60" i="4" s="1"/>
  <c r="A61" i="4" s="1"/>
  <c r="A62" i="4" s="1"/>
  <c r="A63" i="4" s="1"/>
  <c r="A64" i="4" s="1"/>
  <c r="G221" i="239"/>
  <c r="G47" i="239"/>
  <c r="F132" i="40"/>
  <c r="W133" i="40"/>
  <c r="E53" i="268" l="1"/>
  <c r="A65" i="4"/>
  <c r="A66" i="4" s="1"/>
  <c r="A67" i="4" s="1"/>
  <c r="A68" i="4" s="1"/>
  <c r="A69" i="4" s="1"/>
  <c r="A70" i="4" s="1"/>
  <c r="K47" i="239"/>
  <c r="M47" i="239" s="1"/>
  <c r="N47" i="239" s="1"/>
  <c r="G222" i="239"/>
  <c r="F27" i="232"/>
  <c r="O27" i="232" s="1"/>
  <c r="W134" i="40"/>
  <c r="W135" i="40" s="1"/>
  <c r="W136" i="40" s="1"/>
  <c r="W137" i="40" s="1"/>
  <c r="W138" i="40" s="1"/>
  <c r="F133" i="40"/>
  <c r="G54" i="4"/>
  <c r="V55" i="4"/>
  <c r="O54" i="4" l="1"/>
  <c r="A71" i="4"/>
  <c r="A72" i="4" s="1"/>
  <c r="A73" i="4" s="1"/>
  <c r="A74" i="4" s="1"/>
  <c r="A75" i="4" s="1"/>
  <c r="A76" i="4" s="1"/>
  <c r="A77" i="4" s="1"/>
  <c r="A78" i="4" s="1"/>
  <c r="A79" i="4" s="1"/>
  <c r="A80" i="4" s="1"/>
  <c r="A81" i="4" s="1"/>
  <c r="A82" i="4" s="1"/>
  <c r="A83" i="4" s="1"/>
  <c r="A84" i="4" s="1"/>
  <c r="G48" i="239"/>
  <c r="F134" i="40"/>
  <c r="G223" i="239"/>
  <c r="W139" i="40"/>
  <c r="F138" i="40"/>
  <c r="G55" i="4"/>
  <c r="V56" i="4"/>
  <c r="I51" i="268"/>
  <c r="I52" i="268"/>
  <c r="M52" i="268" s="1"/>
  <c r="O55" i="4" l="1"/>
  <c r="E54" i="268"/>
  <c r="G224" i="239"/>
  <c r="K48" i="239"/>
  <c r="M48" i="239" s="1"/>
  <c r="N48" i="239" s="1"/>
  <c r="G228" i="239"/>
  <c r="W140" i="40"/>
  <c r="F139" i="40"/>
  <c r="V57" i="4"/>
  <c r="G56" i="4"/>
  <c r="G49" i="239"/>
  <c r="I53" i="268"/>
  <c r="M53" i="268" s="1"/>
  <c r="M51" i="268"/>
  <c r="O56" i="4" l="1"/>
  <c r="E55" i="268"/>
  <c r="G229" i="239"/>
  <c r="G50" i="239"/>
  <c r="W141" i="40"/>
  <c r="F140" i="40"/>
  <c r="K49" i="239"/>
  <c r="M49" i="239" s="1"/>
  <c r="N49" i="239" s="1"/>
  <c r="V58" i="4"/>
  <c r="G57" i="4"/>
  <c r="O57" i="4" l="1"/>
  <c r="E56" i="268"/>
  <c r="U140" i="40"/>
  <c r="G51" i="239"/>
  <c r="K50" i="239"/>
  <c r="M50" i="239" s="1"/>
  <c r="N50" i="239" s="1"/>
  <c r="G230" i="239"/>
  <c r="W142" i="40"/>
  <c r="W143" i="40" s="1"/>
  <c r="W144" i="40" s="1"/>
  <c r="W145" i="40" s="1"/>
  <c r="W146" i="40" s="1"/>
  <c r="F141" i="40"/>
  <c r="V59" i="4"/>
  <c r="G58" i="4"/>
  <c r="I55" i="268"/>
  <c r="M55" i="268" s="1"/>
  <c r="I54" i="268"/>
  <c r="C15" i="162"/>
  <c r="I15" i="162" s="1"/>
  <c r="E57" i="268" l="1"/>
  <c r="O58" i="4"/>
  <c r="K230" i="239"/>
  <c r="M230" i="239" s="1"/>
  <c r="N230" i="239" s="1"/>
  <c r="G84" i="239"/>
  <c r="G52" i="239"/>
  <c r="K51" i="239"/>
  <c r="M51" i="239" s="1"/>
  <c r="N51" i="239" s="1"/>
  <c r="G231" i="239"/>
  <c r="F142" i="40"/>
  <c r="W147" i="40"/>
  <c r="F146" i="40"/>
  <c r="V60" i="4"/>
  <c r="G59" i="4"/>
  <c r="M54" i="268"/>
  <c r="C15" i="194"/>
  <c r="I15" i="194" s="1"/>
  <c r="E58" i="268" l="1"/>
  <c r="I58" i="268" s="1"/>
  <c r="M58" i="268" s="1"/>
  <c r="O59" i="4"/>
  <c r="K84" i="239"/>
  <c r="M84" i="239" s="1"/>
  <c r="N84" i="239" s="1"/>
  <c r="G232" i="239"/>
  <c r="G234" i="239" s="1"/>
  <c r="G53" i="239"/>
  <c r="K52" i="239"/>
  <c r="M52" i="239" s="1"/>
  <c r="N52" i="239" s="1"/>
  <c r="G238" i="239"/>
  <c r="F147" i="40"/>
  <c r="W148" i="40"/>
  <c r="V61" i="4"/>
  <c r="G60" i="4"/>
  <c r="I57" i="268"/>
  <c r="M57" i="268" s="1"/>
  <c r="I56" i="268"/>
  <c r="E59" i="268" l="1"/>
  <c r="I59" i="268" s="1"/>
  <c r="M59" i="268" s="1"/>
  <c r="O60" i="4"/>
  <c r="G239" i="239"/>
  <c r="G54" i="239"/>
  <c r="K53" i="239"/>
  <c r="M53" i="239" s="1"/>
  <c r="N53" i="239" s="1"/>
  <c r="F148" i="40"/>
  <c r="W149" i="40"/>
  <c r="G61" i="4"/>
  <c r="V62" i="4"/>
  <c r="M56" i="268"/>
  <c r="E60" i="268" l="1"/>
  <c r="O61" i="4"/>
  <c r="U148" i="40"/>
  <c r="K54" i="239"/>
  <c r="M54" i="239" s="1"/>
  <c r="N54" i="239" s="1"/>
  <c r="W150" i="40"/>
  <c r="W151" i="40" s="1"/>
  <c r="W152" i="40" s="1"/>
  <c r="W153" i="40" s="1"/>
  <c r="W154" i="40" s="1"/>
  <c r="F149" i="40"/>
  <c r="G240" i="239"/>
  <c r="V63" i="4"/>
  <c r="G62" i="4"/>
  <c r="G55" i="239"/>
  <c r="E17" i="254"/>
  <c r="O62" i="4" l="1"/>
  <c r="E61" i="268"/>
  <c r="I61" i="268" s="1"/>
  <c r="M61" i="268" s="1"/>
  <c r="K240" i="239"/>
  <c r="M240" i="239" s="1"/>
  <c r="N240" i="239" s="1"/>
  <c r="U149" i="40"/>
  <c r="G241" i="239"/>
  <c r="F150" i="40"/>
  <c r="W155" i="40"/>
  <c r="F154" i="40"/>
  <c r="K55" i="239"/>
  <c r="M55" i="239" s="1"/>
  <c r="N55" i="239" s="1"/>
  <c r="I60" i="268"/>
  <c r="G56" i="239"/>
  <c r="V64" i="4"/>
  <c r="V65" i="4" s="1"/>
  <c r="V66" i="4" s="1"/>
  <c r="G63" i="4"/>
  <c r="E18" i="254"/>
  <c r="E24" i="254" s="1"/>
  <c r="E62" i="268" l="1"/>
  <c r="I62" i="268" s="1"/>
  <c r="M62" i="268" s="1"/>
  <c r="O63" i="4"/>
  <c r="K241" i="239"/>
  <c r="M241" i="239" s="1"/>
  <c r="N241" i="239" s="1"/>
  <c r="U154" i="40"/>
  <c r="G242" i="239"/>
  <c r="E26" i="254"/>
  <c r="W156" i="40"/>
  <c r="F155" i="40"/>
  <c r="G246" i="239"/>
  <c r="G64" i="4"/>
  <c r="M60" i="268"/>
  <c r="G57" i="239"/>
  <c r="K56" i="239"/>
  <c r="M56" i="239" s="1"/>
  <c r="N56" i="239" s="1"/>
  <c r="I72" i="242"/>
  <c r="E72" i="242"/>
  <c r="F72" i="242"/>
  <c r="O64" i="4" l="1"/>
  <c r="E63" i="268"/>
  <c r="I63" i="268" s="1"/>
  <c r="M63" i="268" s="1"/>
  <c r="K246" i="239"/>
  <c r="M246" i="239" s="1"/>
  <c r="N246" i="239" s="1"/>
  <c r="G247" i="239"/>
  <c r="W157" i="40"/>
  <c r="F156" i="40"/>
  <c r="K57" i="239"/>
  <c r="M57" i="239" s="1"/>
  <c r="N57" i="239" s="1"/>
  <c r="G58" i="239"/>
  <c r="G65" i="4"/>
  <c r="E28" i="254"/>
  <c r="F26" i="254"/>
  <c r="F28" i="254" s="1"/>
  <c r="G100" i="277" s="1"/>
  <c r="N72" i="242"/>
  <c r="J72" i="242"/>
  <c r="O65" i="4" l="1"/>
  <c r="E64" i="268"/>
  <c r="I64" i="268" s="1"/>
  <c r="M64" i="268" s="1"/>
  <c r="I32" i="12" s="1"/>
  <c r="U156" i="40"/>
  <c r="R31" i="2"/>
  <c r="T31" i="2" s="1"/>
  <c r="G248" i="239"/>
  <c r="W158" i="40"/>
  <c r="F157" i="40"/>
  <c r="G59" i="239"/>
  <c r="K58" i="239"/>
  <c r="M58" i="239" s="1"/>
  <c r="N58" i="239" s="1"/>
  <c r="O72" i="242"/>
  <c r="E65" i="268" l="1"/>
  <c r="I65" i="268" s="1"/>
  <c r="M65" i="268" s="1"/>
  <c r="U157" i="40"/>
  <c r="K292" i="239"/>
  <c r="M292" i="239" s="1"/>
  <c r="N292" i="239" s="1"/>
  <c r="K248" i="239"/>
  <c r="M248" i="239" s="1"/>
  <c r="N248" i="239" s="1"/>
  <c r="R33" i="2"/>
  <c r="K14" i="3" s="1"/>
  <c r="G249" i="239"/>
  <c r="W159" i="40"/>
  <c r="F158" i="40"/>
  <c r="V67" i="4"/>
  <c r="V68" i="4" s="1"/>
  <c r="V69" i="4" s="1"/>
  <c r="V70" i="4" s="1"/>
  <c r="G66" i="4"/>
  <c r="K59" i="239"/>
  <c r="M59" i="239" s="1"/>
  <c r="N59" i="239" s="1"/>
  <c r="V71" i="4" l="1"/>
  <c r="I71" i="4" s="1"/>
  <c r="I70" i="4"/>
  <c r="O66" i="4"/>
  <c r="K293" i="239"/>
  <c r="M293" i="239" s="1"/>
  <c r="N293" i="239" s="1"/>
  <c r="N294" i="239" s="1"/>
  <c r="I53" i="3" s="1"/>
  <c r="R35" i="2"/>
  <c r="V72" i="4"/>
  <c r="I72" i="4" s="1"/>
  <c r="G71" i="4"/>
  <c r="O71" i="4" s="1"/>
  <c r="K249" i="239"/>
  <c r="M249" i="239" s="1"/>
  <c r="N249" i="239" s="1"/>
  <c r="T33" i="2"/>
  <c r="U158" i="40"/>
  <c r="G70" i="4"/>
  <c r="M32" i="12"/>
  <c r="G75" i="240" s="1"/>
  <c r="W160" i="40"/>
  <c r="F159" i="40"/>
  <c r="G250" i="239"/>
  <c r="G67" i="4"/>
  <c r="G60" i="239"/>
  <c r="O67" i="4" l="1"/>
  <c r="E66" i="268"/>
  <c r="I66" i="268" s="1"/>
  <c r="M66" i="268" s="1"/>
  <c r="N319" i="239"/>
  <c r="N345" i="239" s="1"/>
  <c r="F100" i="277"/>
  <c r="H100" i="277" s="1"/>
  <c r="M53" i="3"/>
  <c r="H97" i="277"/>
  <c r="G64" i="239"/>
  <c r="O70" i="4"/>
  <c r="E72" i="268"/>
  <c r="V73" i="4"/>
  <c r="I73" i="4" s="1"/>
  <c r="G72" i="4"/>
  <c r="K294" i="239"/>
  <c r="K250" i="239"/>
  <c r="M250" i="239" s="1"/>
  <c r="N250" i="239" s="1"/>
  <c r="U159" i="40"/>
  <c r="G68" i="4"/>
  <c r="G77" i="240"/>
  <c r="G78" i="240" s="1"/>
  <c r="G72" i="240" s="1"/>
  <c r="M14" i="3"/>
  <c r="G251" i="239"/>
  <c r="F160" i="40"/>
  <c r="W161" i="40"/>
  <c r="G61" i="239"/>
  <c r="K60" i="239"/>
  <c r="M60" i="239" s="1"/>
  <c r="N60" i="239" s="1"/>
  <c r="K337" i="239"/>
  <c r="E10" i="228"/>
  <c r="O72" i="4" l="1"/>
  <c r="E67" i="268"/>
  <c r="I67" i="268" s="1"/>
  <c r="M67" i="268" s="1"/>
  <c r="S175" i="40"/>
  <c r="G68" i="277"/>
  <c r="K319" i="239"/>
  <c r="K345" i="239" s="1"/>
  <c r="E21" i="228" s="1"/>
  <c r="K64" i="239"/>
  <c r="M64" i="239" s="1"/>
  <c r="N64" i="239" s="1"/>
  <c r="E71" i="268"/>
  <c r="I71" i="268" s="1"/>
  <c r="M71" i="268" s="1"/>
  <c r="V74" i="4"/>
  <c r="I74" i="4" s="1"/>
  <c r="I75" i="4" s="1"/>
  <c r="G73" i="4"/>
  <c r="O73" i="4" s="1"/>
  <c r="I72" i="268"/>
  <c r="M72" i="268" s="1"/>
  <c r="J24" i="11"/>
  <c r="K251" i="239"/>
  <c r="M251" i="239" s="1"/>
  <c r="N251" i="239" s="1"/>
  <c r="U160" i="40"/>
  <c r="G21" i="228"/>
  <c r="Q53" i="3"/>
  <c r="K53" i="3"/>
  <c r="O68" i="4"/>
  <c r="H48" i="277"/>
  <c r="G38" i="240"/>
  <c r="S91" i="40" s="1"/>
  <c r="G14" i="240"/>
  <c r="S52" i="40" s="1"/>
  <c r="G19" i="240"/>
  <c r="S63" i="40" s="1"/>
  <c r="G67" i="240"/>
  <c r="S147" i="40" s="1"/>
  <c r="G12" i="240"/>
  <c r="S32" i="40" s="1"/>
  <c r="G8" i="240"/>
  <c r="S16" i="40" s="1"/>
  <c r="G20" i="240"/>
  <c r="S64" i="40" s="1"/>
  <c r="G26" i="240"/>
  <c r="G13" i="240"/>
  <c r="S51" i="40" s="1"/>
  <c r="G9" i="240"/>
  <c r="S18" i="40" s="1"/>
  <c r="G21" i="240"/>
  <c r="S65" i="40" s="1"/>
  <c r="G17" i="240"/>
  <c r="S56" i="40" s="1"/>
  <c r="G16" i="240"/>
  <c r="S54" i="40" s="1"/>
  <c r="G15" i="240"/>
  <c r="S53" i="40" s="1"/>
  <c r="G25" i="240"/>
  <c r="S75" i="40" s="1"/>
  <c r="G24" i="240"/>
  <c r="S68" i="40" s="1"/>
  <c r="G11" i="240"/>
  <c r="S31" i="40" s="1"/>
  <c r="G28" i="240"/>
  <c r="G18" i="240"/>
  <c r="S57" i="40" s="1"/>
  <c r="G22" i="240"/>
  <c r="S66" i="40" s="1"/>
  <c r="G27" i="240"/>
  <c r="S77" i="40" s="1"/>
  <c r="G23" i="240"/>
  <c r="S67" i="40" s="1"/>
  <c r="G10" i="240"/>
  <c r="S29" i="40" s="1"/>
  <c r="Q14" i="3"/>
  <c r="F161" i="40"/>
  <c r="W162" i="40"/>
  <c r="W163" i="40" s="1"/>
  <c r="G252" i="239"/>
  <c r="K61" i="239"/>
  <c r="M61" i="239" s="1"/>
  <c r="N61" i="239" s="1"/>
  <c r="N62" i="239" s="1"/>
  <c r="I77" i="4" l="1"/>
  <c r="G62" i="239"/>
  <c r="K274" i="239"/>
  <c r="M274" i="239" s="1"/>
  <c r="N274" i="239" s="1"/>
  <c r="E74" i="268"/>
  <c r="I74" i="268" s="1"/>
  <c r="M74" i="268" s="1"/>
  <c r="E75" i="268"/>
  <c r="G74" i="4"/>
  <c r="V75" i="4"/>
  <c r="W164" i="40"/>
  <c r="W165" i="40" s="1"/>
  <c r="W166" i="40" s="1"/>
  <c r="W167" i="40" s="1"/>
  <c r="W168" i="40" s="1"/>
  <c r="W169" i="40" s="1"/>
  <c r="W170" i="40" s="1"/>
  <c r="W171" i="40" s="1"/>
  <c r="W172" i="40" s="1"/>
  <c r="W173" i="40" s="1"/>
  <c r="F163" i="40"/>
  <c r="N24" i="11"/>
  <c r="K252" i="239"/>
  <c r="M252" i="239" s="1"/>
  <c r="N252" i="239" s="1"/>
  <c r="S33" i="40"/>
  <c r="S23" i="40"/>
  <c r="S69" i="40"/>
  <c r="S78" i="40"/>
  <c r="U78" i="40" s="1"/>
  <c r="S60" i="40"/>
  <c r="S76" i="40"/>
  <c r="U161" i="40"/>
  <c r="U66" i="40"/>
  <c r="U56" i="40"/>
  <c r="T57" i="40"/>
  <c r="U65" i="40"/>
  <c r="T52" i="40"/>
  <c r="U31" i="40"/>
  <c r="U51" i="40"/>
  <c r="U91" i="40"/>
  <c r="U75" i="40"/>
  <c r="U64" i="40"/>
  <c r="U68" i="40"/>
  <c r="U67" i="40"/>
  <c r="T53" i="40"/>
  <c r="U77" i="40"/>
  <c r="U54" i="40"/>
  <c r="U32" i="40"/>
  <c r="P23" i="40"/>
  <c r="P60" i="40"/>
  <c r="U18" i="40"/>
  <c r="T18" i="40"/>
  <c r="P33" i="40"/>
  <c r="P69" i="40"/>
  <c r="F162" i="40"/>
  <c r="E68" i="268"/>
  <c r="O134" i="40"/>
  <c r="O173" i="40" s="1"/>
  <c r="G10" i="277" l="1"/>
  <c r="L24" i="11"/>
  <c r="G65" i="239"/>
  <c r="O74" i="4"/>
  <c r="K62" i="239"/>
  <c r="V76" i="4"/>
  <c r="V77" i="4" s="1"/>
  <c r="G75" i="4"/>
  <c r="C11" i="275" s="1"/>
  <c r="G253" i="239"/>
  <c r="U163" i="40"/>
  <c r="U76" i="40"/>
  <c r="S71" i="40"/>
  <c r="K122" i="239"/>
  <c r="M122" i="239" s="1"/>
  <c r="N122" i="239" s="1"/>
  <c r="K157" i="239"/>
  <c r="M157" i="239" s="1"/>
  <c r="N157" i="239" s="1"/>
  <c r="K158" i="239"/>
  <c r="M158" i="239" s="1"/>
  <c r="N158" i="239" s="1"/>
  <c r="K155" i="239"/>
  <c r="M155" i="239" s="1"/>
  <c r="N155" i="239" s="1"/>
  <c r="K123" i="239"/>
  <c r="M123" i="239" s="1"/>
  <c r="N123" i="239" s="1"/>
  <c r="K154" i="239"/>
  <c r="M154" i="239" s="1"/>
  <c r="N154" i="239" s="1"/>
  <c r="K109" i="239"/>
  <c r="M109" i="239" s="1"/>
  <c r="N109" i="239" s="1"/>
  <c r="K144" i="239"/>
  <c r="M144" i="239" s="1"/>
  <c r="N144" i="239" s="1"/>
  <c r="K146" i="239"/>
  <c r="M146" i="239" s="1"/>
  <c r="N146" i="239" s="1"/>
  <c r="K181" i="239"/>
  <c r="M181" i="239" s="1"/>
  <c r="N181" i="239" s="1"/>
  <c r="K156" i="239"/>
  <c r="M156" i="239" s="1"/>
  <c r="N156" i="239" s="1"/>
  <c r="K167" i="239"/>
  <c r="M167" i="239" s="1"/>
  <c r="N167" i="239" s="1"/>
  <c r="T56" i="40"/>
  <c r="U57" i="40"/>
  <c r="K141" i="239"/>
  <c r="M141" i="239" s="1"/>
  <c r="N141" i="239" s="1"/>
  <c r="U53" i="40"/>
  <c r="T16" i="40"/>
  <c r="T23" i="40" s="1"/>
  <c r="T31" i="40"/>
  <c r="U52" i="40"/>
  <c r="T32" i="40"/>
  <c r="U29" i="40"/>
  <c r="T68" i="40"/>
  <c r="T51" i="40"/>
  <c r="T65" i="40"/>
  <c r="U16" i="40"/>
  <c r="T64" i="40"/>
  <c r="T29" i="40"/>
  <c r="T77" i="40"/>
  <c r="T54" i="40"/>
  <c r="U63" i="40"/>
  <c r="T67" i="40"/>
  <c r="T91" i="40"/>
  <c r="T63" i="40"/>
  <c r="T66" i="40"/>
  <c r="P71" i="40"/>
  <c r="H28" i="11"/>
  <c r="H30" i="11" s="1"/>
  <c r="F164" i="40"/>
  <c r="I68" i="268"/>
  <c r="G29" i="240"/>
  <c r="G30" i="240"/>
  <c r="S80" i="40" s="1"/>
  <c r="G31" i="240"/>
  <c r="G32" i="240"/>
  <c r="S82" i="40" s="1"/>
  <c r="G33" i="240"/>
  <c r="S86" i="40" s="1"/>
  <c r="G34" i="240"/>
  <c r="G35" i="240"/>
  <c r="G36" i="240"/>
  <c r="S89" i="40" s="1"/>
  <c r="G37" i="240"/>
  <c r="S90" i="40" s="1"/>
  <c r="G39" i="240"/>
  <c r="G40" i="240"/>
  <c r="S99" i="40" s="1"/>
  <c r="G41" i="240"/>
  <c r="G42" i="240"/>
  <c r="S102" i="40" s="1"/>
  <c r="G43" i="240"/>
  <c r="G44" i="240"/>
  <c r="S104" i="40" s="1"/>
  <c r="G45" i="240"/>
  <c r="G46" i="240"/>
  <c r="S106" i="40" s="1"/>
  <c r="G47" i="240"/>
  <c r="G48" i="240"/>
  <c r="S108" i="40" s="1"/>
  <c r="G49" i="240"/>
  <c r="S113" i="40" s="1"/>
  <c r="G50" i="240"/>
  <c r="S114" i="40" s="1"/>
  <c r="G51" i="240"/>
  <c r="S115" i="40" s="1"/>
  <c r="G52" i="240"/>
  <c r="S116" i="40" s="1"/>
  <c r="G53" i="240"/>
  <c r="S117" i="40" s="1"/>
  <c r="G54" i="240"/>
  <c r="S118" i="40" s="1"/>
  <c r="G55" i="240"/>
  <c r="S119" i="40" s="1"/>
  <c r="G56" i="240"/>
  <c r="S120" i="40" s="1"/>
  <c r="G57" i="240"/>
  <c r="S121" i="40" s="1"/>
  <c r="G58" i="240"/>
  <c r="S122" i="40" s="1"/>
  <c r="G59" i="240"/>
  <c r="S129" i="40" s="1"/>
  <c r="G60" i="240"/>
  <c r="S130" i="40" s="1"/>
  <c r="G61" i="240"/>
  <c r="S131" i="40" s="1"/>
  <c r="G62" i="240"/>
  <c r="S133" i="40" s="1"/>
  <c r="G63" i="240"/>
  <c r="S138" i="40" s="1"/>
  <c r="G64" i="240"/>
  <c r="S139" i="40" s="1"/>
  <c r="G65" i="240"/>
  <c r="S141" i="40" s="1"/>
  <c r="G66" i="240"/>
  <c r="U147" i="40"/>
  <c r="G68" i="240"/>
  <c r="S155" i="40" s="1"/>
  <c r="G69" i="240"/>
  <c r="S165" i="40" s="1"/>
  <c r="G70" i="240"/>
  <c r="S170" i="40" s="1"/>
  <c r="T75" i="40"/>
  <c r="T78" i="40"/>
  <c r="O75" i="4" l="1"/>
  <c r="K253" i="239"/>
  <c r="M253" i="239" s="1"/>
  <c r="N253" i="239" s="1"/>
  <c r="E76" i="268"/>
  <c r="E78" i="268" s="1"/>
  <c r="K65" i="239"/>
  <c r="M65" i="239" s="1"/>
  <c r="N65" i="239" s="1"/>
  <c r="N66" i="239" s="1"/>
  <c r="I75" i="268"/>
  <c r="M75" i="268" s="1"/>
  <c r="G77" i="4"/>
  <c r="J26" i="11"/>
  <c r="S123" i="40"/>
  <c r="S146" i="40"/>
  <c r="S150" i="40" s="1"/>
  <c r="S167" i="40"/>
  <c r="S171" i="40" s="1"/>
  <c r="S134" i="40"/>
  <c r="S103" i="40"/>
  <c r="T103" i="40" s="1"/>
  <c r="S87" i="40"/>
  <c r="S81" i="40"/>
  <c r="U81" i="40" s="1"/>
  <c r="S142" i="40"/>
  <c r="S107" i="40"/>
  <c r="U107" i="40" s="1"/>
  <c r="S92" i="40"/>
  <c r="U92" i="40" s="1"/>
  <c r="S79" i="40"/>
  <c r="S105" i="40"/>
  <c r="T105" i="40" s="1"/>
  <c r="S100" i="40"/>
  <c r="S88" i="40"/>
  <c r="U88" i="40" s="1"/>
  <c r="U164" i="40"/>
  <c r="K143" i="239"/>
  <c r="M143" i="239" s="1"/>
  <c r="N143" i="239" s="1"/>
  <c r="K147" i="239"/>
  <c r="M147" i="239" s="1"/>
  <c r="N147" i="239" s="1"/>
  <c r="K142" i="239"/>
  <c r="M142" i="239" s="1"/>
  <c r="N142" i="239" s="1"/>
  <c r="U60" i="40"/>
  <c r="K153" i="239"/>
  <c r="U69" i="40"/>
  <c r="K107" i="239"/>
  <c r="U23" i="40"/>
  <c r="T33" i="40"/>
  <c r="T71" i="40"/>
  <c r="T60" i="40"/>
  <c r="T138" i="40"/>
  <c r="U80" i="40"/>
  <c r="U106" i="40"/>
  <c r="U90" i="40"/>
  <c r="U131" i="40"/>
  <c r="U89" i="40"/>
  <c r="K120" i="239"/>
  <c r="M120" i="239" s="1"/>
  <c r="N120" i="239" s="1"/>
  <c r="N124" i="239" s="1"/>
  <c r="U33" i="40"/>
  <c r="U130" i="40"/>
  <c r="U116" i="40"/>
  <c r="U104" i="40"/>
  <c r="T69" i="40"/>
  <c r="U114" i="40"/>
  <c r="U102" i="40"/>
  <c r="U121" i="40"/>
  <c r="U82" i="40"/>
  <c r="U139" i="40"/>
  <c r="U120" i="40"/>
  <c r="U108" i="40"/>
  <c r="T99" i="40"/>
  <c r="O176" i="40"/>
  <c r="F64" i="277"/>
  <c r="H64" i="277" s="1"/>
  <c r="M68" i="268"/>
  <c r="G123" i="277" s="1"/>
  <c r="T170" i="40"/>
  <c r="T133" i="40"/>
  <c r="U133" i="40"/>
  <c r="T118" i="40"/>
  <c r="U118" i="40"/>
  <c r="T165" i="40"/>
  <c r="T117" i="40"/>
  <c r="U117" i="40"/>
  <c r="T155" i="40"/>
  <c r="U155" i="40"/>
  <c r="T122" i="40"/>
  <c r="U122" i="40"/>
  <c r="T141" i="40"/>
  <c r="U141" i="40"/>
  <c r="T129" i="40"/>
  <c r="U129" i="40"/>
  <c r="T119" i="40"/>
  <c r="U119" i="40"/>
  <c r="T115" i="40"/>
  <c r="U115" i="40"/>
  <c r="K166" i="239"/>
  <c r="M166" i="239" s="1"/>
  <c r="N166" i="239" s="1"/>
  <c r="T76" i="40"/>
  <c r="K239" i="239"/>
  <c r="M239" i="239" s="1"/>
  <c r="N239" i="239" s="1"/>
  <c r="T147" i="40"/>
  <c r="F165" i="40"/>
  <c r="G254" i="239"/>
  <c r="P123" i="40"/>
  <c r="K168" i="239"/>
  <c r="M168" i="239" s="1"/>
  <c r="N168" i="239" s="1"/>
  <c r="P142" i="40"/>
  <c r="P134" i="40"/>
  <c r="P167" i="40"/>
  <c r="P171" i="40" s="1"/>
  <c r="P110" i="40"/>
  <c r="P93" i="40"/>
  <c r="P83" i="40"/>
  <c r="G88" i="4" l="1"/>
  <c r="C9" i="275"/>
  <c r="N150" i="239"/>
  <c r="M153" i="239"/>
  <c r="N153" i="239" s="1"/>
  <c r="N159" i="239" s="1"/>
  <c r="M107" i="239"/>
  <c r="N107" i="239" s="1"/>
  <c r="N114" i="239" s="1"/>
  <c r="I76" i="268"/>
  <c r="M76" i="268" s="1"/>
  <c r="M78" i="268" s="1"/>
  <c r="E94" i="282"/>
  <c r="D6" i="277"/>
  <c r="J28" i="11"/>
  <c r="G66" i="239"/>
  <c r="O77" i="4"/>
  <c r="G6" i="277" s="1"/>
  <c r="N26" i="11"/>
  <c r="E88" i="268"/>
  <c r="E102" i="268" s="1"/>
  <c r="K182" i="239"/>
  <c r="M182" i="239" s="1"/>
  <c r="N182" i="239" s="1"/>
  <c r="K254" i="239"/>
  <c r="M254" i="239" s="1"/>
  <c r="N254" i="239" s="1"/>
  <c r="K197" i="239"/>
  <c r="M197" i="239" s="1"/>
  <c r="N197" i="239" s="1"/>
  <c r="K178" i="239"/>
  <c r="M178" i="239" s="1"/>
  <c r="N178" i="239" s="1"/>
  <c r="K171" i="239"/>
  <c r="M171" i="239" s="1"/>
  <c r="N171" i="239" s="1"/>
  <c r="U146" i="40"/>
  <c r="S93" i="40"/>
  <c r="S83" i="40"/>
  <c r="T92" i="40"/>
  <c r="T107" i="40"/>
  <c r="T79" i="40"/>
  <c r="S110" i="40"/>
  <c r="S125" i="40" s="1"/>
  <c r="U100" i="40"/>
  <c r="U87" i="40"/>
  <c r="T87" i="40"/>
  <c r="T100" i="40"/>
  <c r="U105" i="40"/>
  <c r="U103" i="40"/>
  <c r="T81" i="40"/>
  <c r="U79" i="40"/>
  <c r="T88" i="40"/>
  <c r="K211" i="239"/>
  <c r="M211" i="239" s="1"/>
  <c r="N211" i="239" s="1"/>
  <c r="K159" i="239"/>
  <c r="K209" i="239"/>
  <c r="M209" i="239" s="1"/>
  <c r="N209" i="239" s="1"/>
  <c r="K219" i="239"/>
  <c r="M219" i="239" s="1"/>
  <c r="N219" i="239" s="1"/>
  <c r="K207" i="239"/>
  <c r="M207" i="239" s="1"/>
  <c r="N207" i="239" s="1"/>
  <c r="K192" i="239"/>
  <c r="M192" i="239" s="1"/>
  <c r="N192" i="239" s="1"/>
  <c r="K198" i="239"/>
  <c r="M198" i="239" s="1"/>
  <c r="N198" i="239" s="1"/>
  <c r="K204" i="239"/>
  <c r="M204" i="239" s="1"/>
  <c r="N204" i="239" s="1"/>
  <c r="K179" i="239"/>
  <c r="M179" i="239" s="1"/>
  <c r="N179" i="239" s="1"/>
  <c r="K150" i="239"/>
  <c r="K231" i="239"/>
  <c r="M231" i="239" s="1"/>
  <c r="N231" i="239" s="1"/>
  <c r="K210" i="239"/>
  <c r="M210" i="239" s="1"/>
  <c r="N210" i="239" s="1"/>
  <c r="K221" i="239"/>
  <c r="M221" i="239" s="1"/>
  <c r="N221" i="239" s="1"/>
  <c r="K229" i="239"/>
  <c r="M229" i="239" s="1"/>
  <c r="N229" i="239" s="1"/>
  <c r="K194" i="239"/>
  <c r="M194" i="239" s="1"/>
  <c r="N194" i="239" s="1"/>
  <c r="K180" i="239"/>
  <c r="M180" i="239" s="1"/>
  <c r="N180" i="239" s="1"/>
  <c r="K208" i="239"/>
  <c r="M208" i="239" s="1"/>
  <c r="N208" i="239" s="1"/>
  <c r="K212" i="239"/>
  <c r="M212" i="239" s="1"/>
  <c r="N212" i="239" s="1"/>
  <c r="K172" i="239"/>
  <c r="M172" i="239" s="1"/>
  <c r="N172" i="239" s="1"/>
  <c r="K206" i="239"/>
  <c r="M206" i="239" s="1"/>
  <c r="N206" i="239" s="1"/>
  <c r="K196" i="239"/>
  <c r="M196" i="239" s="1"/>
  <c r="N196" i="239" s="1"/>
  <c r="K223" i="239"/>
  <c r="M223" i="239" s="1"/>
  <c r="N223" i="239" s="1"/>
  <c r="K220" i="239"/>
  <c r="M220" i="239" s="1"/>
  <c r="N220" i="239" s="1"/>
  <c r="K170" i="239"/>
  <c r="M170" i="239" s="1"/>
  <c r="N170" i="239" s="1"/>
  <c r="T114" i="40"/>
  <c r="U71" i="40"/>
  <c r="F77" i="277" s="1"/>
  <c r="T116" i="40"/>
  <c r="T131" i="40"/>
  <c r="K114" i="239"/>
  <c r="T120" i="40"/>
  <c r="T130" i="40"/>
  <c r="T139" i="40"/>
  <c r="T142" i="40" s="1"/>
  <c r="T121" i="40"/>
  <c r="T89" i="40"/>
  <c r="T108" i="40"/>
  <c r="K124" i="239"/>
  <c r="F75" i="277"/>
  <c r="T113" i="40"/>
  <c r="T90" i="40"/>
  <c r="U99" i="40"/>
  <c r="U86" i="40"/>
  <c r="T104" i="40"/>
  <c r="T106" i="40"/>
  <c r="T86" i="40"/>
  <c r="T82" i="40"/>
  <c r="T80" i="40"/>
  <c r="T102" i="40"/>
  <c r="U113" i="40"/>
  <c r="U138" i="40"/>
  <c r="P150" i="40"/>
  <c r="T146" i="40"/>
  <c r="T150" i="40" s="1"/>
  <c r="I23" i="12"/>
  <c r="G255" i="239"/>
  <c r="U165" i="40"/>
  <c r="F166" i="40"/>
  <c r="K247" i="239"/>
  <c r="M247" i="239" s="1"/>
  <c r="N247" i="239" s="1"/>
  <c r="P125" i="40"/>
  <c r="P95" i="40"/>
  <c r="K165" i="239"/>
  <c r="M165" i="239" s="1"/>
  <c r="N165" i="239" s="1"/>
  <c r="K205" i="239"/>
  <c r="M205" i="239" s="1"/>
  <c r="N205" i="239" s="1"/>
  <c r="F123" i="277" l="1"/>
  <c r="H123" i="277" s="1"/>
  <c r="J30" i="11"/>
  <c r="I32" i="3" s="1"/>
  <c r="N161" i="239"/>
  <c r="I26" i="12"/>
  <c r="F125" i="277" s="1"/>
  <c r="G125" i="277"/>
  <c r="I78" i="268"/>
  <c r="L26" i="11"/>
  <c r="K66" i="239"/>
  <c r="N28" i="11"/>
  <c r="N30" i="11" s="1"/>
  <c r="G68" i="239"/>
  <c r="G81" i="239" s="1"/>
  <c r="K161" i="239"/>
  <c r="G77" i="277" s="1"/>
  <c r="H77" i="277" s="1"/>
  <c r="U150" i="40"/>
  <c r="F82" i="277" s="1"/>
  <c r="K238" i="239"/>
  <c r="S95" i="40"/>
  <c r="S173" i="40" s="1"/>
  <c r="K177" i="239"/>
  <c r="M177" i="239" s="1"/>
  <c r="N177" i="239" s="1"/>
  <c r="K169" i="239"/>
  <c r="K190" i="239"/>
  <c r="M190" i="239" s="1"/>
  <c r="N190" i="239" s="1"/>
  <c r="K193" i="239"/>
  <c r="M193" i="239" s="1"/>
  <c r="N193" i="239" s="1"/>
  <c r="K195" i="239"/>
  <c r="M195" i="239" s="1"/>
  <c r="N195" i="239" s="1"/>
  <c r="U83" i="40"/>
  <c r="K255" i="239"/>
  <c r="M255" i="239" s="1"/>
  <c r="N255" i="239" s="1"/>
  <c r="K228" i="239"/>
  <c r="K203" i="239"/>
  <c r="K176" i="239"/>
  <c r="M176" i="239" s="1"/>
  <c r="N176" i="239" s="1"/>
  <c r="U166" i="40"/>
  <c r="U110" i="40"/>
  <c r="P173" i="40"/>
  <c r="T83" i="40"/>
  <c r="T123" i="40"/>
  <c r="U142" i="40"/>
  <c r="F81" i="277" s="1"/>
  <c r="U93" i="40"/>
  <c r="T93" i="40"/>
  <c r="G75" i="277"/>
  <c r="H75" i="277" s="1"/>
  <c r="T110" i="40"/>
  <c r="U123" i="40"/>
  <c r="K189" i="239"/>
  <c r="M189" i="239" s="1"/>
  <c r="N189" i="239" s="1"/>
  <c r="M23" i="12"/>
  <c r="K273" i="239"/>
  <c r="M273" i="239" s="1"/>
  <c r="N273" i="239" s="1"/>
  <c r="F170" i="40"/>
  <c r="G256" i="239"/>
  <c r="F167" i="40"/>
  <c r="C6" i="277" l="1"/>
  <c r="B7" i="277" s="1"/>
  <c r="L28" i="11"/>
  <c r="G21" i="237" s="1"/>
  <c r="G23" i="237" s="1"/>
  <c r="G37" i="41" s="1"/>
  <c r="N183" i="239"/>
  <c r="S176" i="40"/>
  <c r="F68" i="277"/>
  <c r="H68" i="277" s="1"/>
  <c r="M228" i="239"/>
  <c r="N228" i="239" s="1"/>
  <c r="N232" i="239" s="1"/>
  <c r="N200" i="239"/>
  <c r="M238" i="239"/>
  <c r="N238" i="239" s="1"/>
  <c r="N242" i="239" s="1"/>
  <c r="M203" i="239"/>
  <c r="N203" i="239" s="1"/>
  <c r="N213" i="239" s="1"/>
  <c r="M169" i="239"/>
  <c r="N169" i="239" s="1"/>
  <c r="N173" i="239" s="1"/>
  <c r="I28" i="12"/>
  <c r="H125" i="277"/>
  <c r="M26" i="12"/>
  <c r="M28" i="12" s="1"/>
  <c r="F6" i="277"/>
  <c r="F7" i="277" s="1"/>
  <c r="M32" i="3"/>
  <c r="N35" i="11"/>
  <c r="K68" i="239"/>
  <c r="K242" i="239"/>
  <c r="G82" i="277" s="1"/>
  <c r="H82" i="277" s="1"/>
  <c r="U95" i="40"/>
  <c r="F78" i="277" s="1"/>
  <c r="K173" i="239"/>
  <c r="K256" i="239"/>
  <c r="M256" i="239" s="1"/>
  <c r="N256" i="239" s="1"/>
  <c r="K183" i="239"/>
  <c r="U125" i="40"/>
  <c r="F79" i="277" s="1"/>
  <c r="K213" i="239"/>
  <c r="K232" i="239"/>
  <c r="G81" i="277" s="1"/>
  <c r="H81" i="277" s="1"/>
  <c r="U170" i="40"/>
  <c r="T125" i="40"/>
  <c r="T95" i="40"/>
  <c r="G257" i="239"/>
  <c r="K200" i="239"/>
  <c r="P176" i="40"/>
  <c r="F65" i="277"/>
  <c r="H65" i="277" s="1"/>
  <c r="G260" i="239"/>
  <c r="F171" i="40"/>
  <c r="F173" i="40" s="1"/>
  <c r="C53" i="277" s="1"/>
  <c r="B54" i="277" s="1"/>
  <c r="L30" i="11" l="1"/>
  <c r="F10" i="277" s="1"/>
  <c r="F11" i="277" s="1"/>
  <c r="C7" i="277"/>
  <c r="N185" i="239"/>
  <c r="N215" i="239"/>
  <c r="K275" i="239"/>
  <c r="M275" i="239" s="1"/>
  <c r="N275" i="239" s="1"/>
  <c r="F143" i="277"/>
  <c r="G55" i="41"/>
  <c r="K20" i="3" s="1"/>
  <c r="G38" i="41"/>
  <c r="Q32" i="3"/>
  <c r="H6" i="277" s="1"/>
  <c r="G7" i="277" s="1"/>
  <c r="K32" i="3"/>
  <c r="H10" i="277" s="1"/>
  <c r="G11" i="277" s="1"/>
  <c r="K185" i="239"/>
  <c r="G78" i="277" s="1"/>
  <c r="H78" i="277" s="1"/>
  <c r="K260" i="239"/>
  <c r="K215" i="239"/>
  <c r="G261" i="239"/>
  <c r="I18" i="3"/>
  <c r="D53" i="277" s="1"/>
  <c r="C54" i="277" s="1"/>
  <c r="L35" i="11" l="1"/>
  <c r="M260" i="239"/>
  <c r="N260" i="239" s="1"/>
  <c r="N261" i="239" s="1"/>
  <c r="K279" i="239"/>
  <c r="M279" i="239" s="1"/>
  <c r="N279" i="239" s="1"/>
  <c r="N284" i="239" s="1"/>
  <c r="C22" i="194"/>
  <c r="G56" i="41"/>
  <c r="F139" i="277" s="1"/>
  <c r="M20" i="3"/>
  <c r="G143" i="277"/>
  <c r="F144" i="277" s="1"/>
  <c r="K261" i="239"/>
  <c r="G79" i="277"/>
  <c r="H79" i="277" s="1"/>
  <c r="G263" i="239"/>
  <c r="I21" i="3"/>
  <c r="C17" i="162"/>
  <c r="C16" i="162" s="1"/>
  <c r="I16" i="162" s="1"/>
  <c r="I17" i="162" s="1"/>
  <c r="I26" i="268"/>
  <c r="N341" i="239" l="1"/>
  <c r="I59" i="3"/>
  <c r="N325" i="239"/>
  <c r="G139" i="277"/>
  <c r="F140" i="277" s="1"/>
  <c r="Q20" i="3"/>
  <c r="E15" i="228"/>
  <c r="C27" i="194"/>
  <c r="I22" i="194"/>
  <c r="K284" i="239"/>
  <c r="G265" i="239"/>
  <c r="I42" i="268"/>
  <c r="I88" i="268" s="1"/>
  <c r="M26" i="268"/>
  <c r="M42" i="268" s="1"/>
  <c r="I23" i="3"/>
  <c r="M88" i="268" l="1"/>
  <c r="N42" i="268"/>
  <c r="K341" i="239"/>
  <c r="K325" i="239"/>
  <c r="H139" i="277"/>
  <c r="G140" i="277" s="1"/>
  <c r="M59" i="3"/>
  <c r="K85" i="239"/>
  <c r="M85" i="239" s="1"/>
  <c r="N85" i="239" s="1"/>
  <c r="I27" i="194"/>
  <c r="G122" i="277"/>
  <c r="G323" i="239"/>
  <c r="G286" i="239"/>
  <c r="E11" i="158"/>
  <c r="B134" i="277" s="1"/>
  <c r="C134" i="277"/>
  <c r="I21" i="12"/>
  <c r="I35" i="12" l="1"/>
  <c r="G15" i="228"/>
  <c r="K59" i="3"/>
  <c r="Q59" i="3"/>
  <c r="G301" i="239"/>
  <c r="G303" i="239" s="1"/>
  <c r="I30" i="12"/>
  <c r="F122" i="277"/>
  <c r="H122" i="277" s="1"/>
  <c r="B135" i="277"/>
  <c r="M21" i="12"/>
  <c r="M35" i="12" s="1"/>
  <c r="K272" i="239"/>
  <c r="M272" i="239" s="1"/>
  <c r="N272" i="239" s="1"/>
  <c r="N276" i="239" s="1"/>
  <c r="I58" i="3" s="1"/>
  <c r="F114" i="277" l="1"/>
  <c r="I43" i="12"/>
  <c r="N340" i="239"/>
  <c r="N324" i="239"/>
  <c r="M30" i="12"/>
  <c r="K19" i="3" s="1"/>
  <c r="M19" i="3" s="1"/>
  <c r="G114" i="277" s="1"/>
  <c r="F115" i="277" s="1"/>
  <c r="K276" i="239"/>
  <c r="M58" i="3" l="1"/>
  <c r="Q58" i="3" s="1"/>
  <c r="H114" i="277"/>
  <c r="G115" i="277" s="1"/>
  <c r="G306" i="239"/>
  <c r="Q19" i="3"/>
  <c r="E14" i="228"/>
  <c r="K57" i="37"/>
  <c r="K324" i="239"/>
  <c r="K340" i="239"/>
  <c r="G14" i="228" l="1"/>
  <c r="K58" i="3"/>
  <c r="K38" i="37"/>
  <c r="K39" i="37"/>
  <c r="K40" i="37"/>
  <c r="I75" i="158"/>
  <c r="K32" i="37"/>
  <c r="K37" i="37"/>
  <c r="H67" i="277" l="1"/>
  <c r="I74" i="158"/>
  <c r="I77" i="158" s="1"/>
  <c r="A22" i="37"/>
  <c r="A23" i="37" s="1"/>
  <c r="A24" i="37" s="1"/>
  <c r="A25" i="37" s="1"/>
  <c r="A26" i="37" s="1"/>
  <c r="A27" i="37" s="1"/>
  <c r="A28" i="37" s="1"/>
  <c r="A29" i="37" s="1"/>
  <c r="A30" i="37" s="1"/>
  <c r="A31" i="37" s="1"/>
  <c r="A32" i="37" s="1"/>
  <c r="A33" i="37" s="1"/>
  <c r="A34" i="37" s="1"/>
  <c r="A35" i="37" s="1"/>
  <c r="A36" i="37" l="1"/>
  <c r="A37" i="37" s="1"/>
  <c r="A38" i="37" s="1"/>
  <c r="A39" i="37" s="1"/>
  <c r="A40" i="37" s="1"/>
  <c r="A41" i="37" s="1"/>
  <c r="A42" i="37" s="1"/>
  <c r="A43" i="37" s="1"/>
  <c r="A44" i="37" s="1"/>
  <c r="A45" i="37" s="1"/>
  <c r="K25" i="37"/>
  <c r="A46" i="37" l="1"/>
  <c r="Q167" i="40"/>
  <c r="Q171" i="40" s="1"/>
  <c r="Q173" i="40" s="1"/>
  <c r="F66" i="277" s="1"/>
  <c r="H66" i="277" s="1"/>
  <c r="A47" i="37" l="1"/>
  <c r="A48" i="37" s="1"/>
  <c r="A49" i="37" s="1"/>
  <c r="A50" i="37" s="1"/>
  <c r="A51" i="37" s="1"/>
  <c r="A52" i="37" s="1"/>
  <c r="A53" i="37" s="1"/>
  <c r="Q176" i="40"/>
  <c r="U162" i="40"/>
  <c r="T162" i="40"/>
  <c r="T167" i="40" s="1"/>
  <c r="T171" i="40" s="1"/>
  <c r="A54" i="37" l="1"/>
  <c r="A55" i="37" s="1"/>
  <c r="A56" i="37" s="1"/>
  <c r="A57" i="37" s="1"/>
  <c r="A58" i="37" s="1"/>
  <c r="A59" i="37" s="1"/>
  <c r="A60" i="37" s="1"/>
  <c r="A61" i="37" s="1"/>
  <c r="A62" i="37" s="1"/>
  <c r="A63" i="37" s="1"/>
  <c r="A64" i="37" s="1"/>
  <c r="A65" i="37" s="1"/>
  <c r="A66" i="37" s="1"/>
  <c r="U167" i="40"/>
  <c r="U171" i="40" s="1"/>
  <c r="A67" i="37" l="1"/>
  <c r="A68" i="37" s="1"/>
  <c r="A69" i="37" s="1"/>
  <c r="A70" i="37" s="1"/>
  <c r="A71" i="37" s="1"/>
  <c r="A72" i="37" s="1"/>
  <c r="A73" i="37" s="1"/>
  <c r="A74" i="37" s="1"/>
  <c r="N257" i="239"/>
  <c r="N263" i="239" s="1"/>
  <c r="K257" i="239"/>
  <c r="F83" i="277"/>
  <c r="K263" i="239" l="1"/>
  <c r="G83" i="277" l="1"/>
  <c r="H83" i="277" s="1"/>
  <c r="E15" i="242" l="1"/>
  <c r="I15" i="242"/>
  <c r="I51" i="242" s="1"/>
  <c r="I74" i="242" s="1"/>
  <c r="I84" i="242" s="1"/>
  <c r="C51" i="242"/>
  <c r="C74" i="242" s="1"/>
  <c r="C84" i="242" s="1"/>
  <c r="J15" i="242" l="1"/>
  <c r="N15" i="242" s="1"/>
  <c r="F15" i="242"/>
  <c r="G19" i="198" s="1"/>
  <c r="J19" i="198" s="1"/>
  <c r="E51" i="242"/>
  <c r="E74" i="242" s="1"/>
  <c r="E84" i="242" s="1"/>
  <c r="K75" i="239" l="1"/>
  <c r="M75" i="239" s="1"/>
  <c r="N75" i="239" s="1"/>
  <c r="O15" i="242"/>
  <c r="O51" i="242" s="1"/>
  <c r="O74" i="242" s="1"/>
  <c r="O84" i="242" s="1"/>
  <c r="I45" i="37" s="1"/>
  <c r="J51" i="242"/>
  <c r="N51" i="242"/>
  <c r="N74" i="242" s="1"/>
  <c r="F51" i="242"/>
  <c r="F74" i="242" s="1"/>
  <c r="J74" i="242" l="1"/>
  <c r="G47" i="158"/>
  <c r="I47" i="158" s="1"/>
  <c r="I46" i="37"/>
  <c r="K45" i="37"/>
  <c r="K46" i="37" s="1"/>
  <c r="F84" i="242"/>
  <c r="G23" i="277" s="1"/>
  <c r="J15" i="198"/>
  <c r="G31" i="198"/>
  <c r="F27" i="277" s="1"/>
  <c r="F23" i="277" l="1"/>
  <c r="F24" i="277" s="1"/>
  <c r="K73" i="239"/>
  <c r="J31" i="198"/>
  <c r="K79" i="239" l="1"/>
  <c r="K81" i="239" s="1"/>
  <c r="M73" i="239"/>
  <c r="N73" i="239" s="1"/>
  <c r="N79" i="239" s="1"/>
  <c r="I72" i="3" s="1"/>
  <c r="F19" i="277"/>
  <c r="M33" i="3"/>
  <c r="M72" i="3" l="1"/>
  <c r="G19" i="277"/>
  <c r="F20" i="277" s="1"/>
  <c r="K33" i="3"/>
  <c r="Q33" i="3"/>
  <c r="G27" i="277" l="1"/>
  <c r="F28" i="277" s="1"/>
  <c r="K72" i="3"/>
  <c r="Q72" i="3"/>
  <c r="L16" i="2" l="1"/>
  <c r="L35" i="2" s="1"/>
  <c r="H95" i="277" l="1"/>
  <c r="F94" i="277"/>
  <c r="H94" i="277" s="1"/>
  <c r="L25" i="2"/>
  <c r="H16" i="2" l="1"/>
  <c r="K12" i="3" s="1"/>
  <c r="T16" i="2"/>
  <c r="M51" i="3" l="1"/>
  <c r="D36" i="289"/>
  <c r="M12" i="3" l="1"/>
  <c r="T23" i="2" l="1"/>
  <c r="G36" i="289" l="1"/>
  <c r="H23" i="2"/>
  <c r="T35" i="2"/>
  <c r="K297" i="239"/>
  <c r="T25" i="2"/>
  <c r="H25" i="2" l="1"/>
  <c r="K13" i="3"/>
  <c r="K299" i="239"/>
  <c r="K349" i="239" s="1"/>
  <c r="M297" i="239"/>
  <c r="N297" i="239" s="1"/>
  <c r="H35" i="2"/>
  <c r="F109" i="277" s="1"/>
  <c r="M13" i="3"/>
  <c r="E20" i="228" s="1"/>
  <c r="K318" i="239"/>
  <c r="K321" i="239" s="1"/>
  <c r="H87" i="277" s="1"/>
  <c r="F87" i="277"/>
  <c r="F91" i="277" l="1"/>
  <c r="H91" i="277" s="1"/>
  <c r="M15" i="3"/>
  <c r="G87" i="277" s="1"/>
  <c r="F88" i="277" s="1"/>
  <c r="K15" i="3"/>
  <c r="G109" i="277" s="1"/>
  <c r="F110" i="277" s="1"/>
  <c r="Q13" i="3"/>
  <c r="N318" i="239"/>
  <c r="N321" i="239" s="1"/>
  <c r="N299" i="239"/>
  <c r="N349" i="239" s="1"/>
  <c r="I51" i="3"/>
  <c r="I54" i="3" s="1"/>
  <c r="G20" i="228" l="1"/>
  <c r="M54" i="3"/>
  <c r="K51" i="3"/>
  <c r="K54" i="3" s="1"/>
  <c r="G88" i="277"/>
  <c r="M73" i="3" l="1"/>
  <c r="Q73" i="3" l="1"/>
  <c r="M57" i="3" l="1"/>
  <c r="Q57" i="3" l="1"/>
  <c r="Q60" i="3" s="1"/>
  <c r="M60" i="3"/>
  <c r="M62" i="3" s="1"/>
  <c r="G13" i="228"/>
  <c r="M74" i="3" l="1"/>
  <c r="Q74" i="3" l="1"/>
  <c r="N68" i="239"/>
  <c r="M71" i="3"/>
  <c r="Q71" i="3" l="1"/>
  <c r="Q76" i="3" s="1"/>
  <c r="M76" i="3"/>
  <c r="N81" i="239"/>
  <c r="I71" i="3"/>
  <c r="Q78" i="3" l="1"/>
  <c r="K71" i="3"/>
  <c r="G9" i="228"/>
  <c r="G11" i="228" s="1"/>
  <c r="I8" i="29" l="1"/>
  <c r="I9" i="29"/>
  <c r="D9" i="29" s="1"/>
  <c r="I10" i="29"/>
  <c r="I11" i="29" s="1"/>
  <c r="I12" i="29" l="1"/>
  <c r="I13" i="29" s="1"/>
  <c r="I14" i="29" s="1"/>
  <c r="I15" i="29" s="1"/>
  <c r="I16" i="29" s="1"/>
  <c r="D16" i="29" s="1"/>
  <c r="D19" i="29" s="1"/>
  <c r="E16" i="29" s="1"/>
  <c r="D11" i="29"/>
  <c r="D12" i="29" s="1"/>
  <c r="E9" i="29" l="1"/>
  <c r="E10" i="29"/>
  <c r="G10" i="29" s="1"/>
  <c r="E11" i="29"/>
  <c r="G11" i="29" s="1"/>
  <c r="G16" i="29"/>
  <c r="E17" i="29"/>
  <c r="G17" i="29" s="1"/>
  <c r="E18" i="29"/>
  <c r="G18" i="29" s="1"/>
  <c r="G9" i="29" l="1"/>
  <c r="G12" i="29" s="1"/>
  <c r="E12" i="29"/>
  <c r="E82" i="158"/>
  <c r="G19" i="29"/>
  <c r="E19" i="29"/>
  <c r="M64" i="3"/>
  <c r="M66" i="3" l="1"/>
  <c r="M68" i="3" s="1"/>
  <c r="G16" i="228"/>
  <c r="G18" i="228" s="1"/>
  <c r="G23" i="228" s="1"/>
  <c r="G27" i="228" s="1"/>
  <c r="O51" i="3" s="1"/>
  <c r="O54" i="3" l="1"/>
  <c r="O62" i="3" s="1"/>
  <c r="O64" i="3" s="1"/>
  <c r="Q64" i="3" s="1"/>
  <c r="Q51" i="3"/>
  <c r="Q54" i="3" s="1"/>
  <c r="Q62" i="3" s="1"/>
  <c r="Q66" i="3" l="1"/>
  <c r="Q68" i="3" s="1"/>
  <c r="I60" i="37"/>
  <c r="I61" i="37"/>
  <c r="I62" i="37"/>
  <c r="I63" i="37"/>
  <c r="I64" i="37"/>
  <c r="I65" i="37"/>
  <c r="I66" i="37"/>
  <c r="K66" i="37" l="1"/>
  <c r="K64" i="37"/>
  <c r="K62" i="37"/>
  <c r="K65" i="37"/>
  <c r="K61" i="37"/>
  <c r="K63" i="37"/>
  <c r="K60" i="37"/>
  <c r="V59" i="37"/>
  <c r="U67" i="37"/>
  <c r="U74" i="37" s="1"/>
  <c r="V74" i="37" s="1"/>
  <c r="K59" i="37" l="1"/>
  <c r="K67" i="37" s="1"/>
  <c r="V67" i="37"/>
  <c r="I67" i="37"/>
  <c r="I49" i="37" l="1"/>
  <c r="K49" i="37" s="1"/>
  <c r="V49" i="37"/>
  <c r="V54" i="37" s="1"/>
  <c r="U54" i="37"/>
  <c r="T55" i="37"/>
  <c r="I54" i="37" l="1"/>
  <c r="K54" i="37" s="1"/>
  <c r="D33" i="292" l="1"/>
  <c r="D34" i="292"/>
  <c r="CJ357" i="239"/>
  <c r="CM357" i="239"/>
  <c r="D35" i="292" l="1"/>
  <c r="CP357" i="239"/>
  <c r="D36" i="292" l="1"/>
  <c r="D37" i="292"/>
  <c r="D38" i="292" s="1"/>
  <c r="CS357" i="239"/>
  <c r="CV357" i="239"/>
  <c r="B19" i="246"/>
  <c r="G21" i="246"/>
  <c r="G22" i="246"/>
  <c r="F12" i="162"/>
  <c r="F13" i="162"/>
  <c r="F14" i="162"/>
  <c r="F15" i="162"/>
  <c r="F16" i="162"/>
  <c r="F19" i="162"/>
  <c r="F22" i="162"/>
  <c r="F23" i="162"/>
  <c r="F24" i="162"/>
  <c r="F25" i="162"/>
  <c r="F26" i="162"/>
  <c r="C29" i="162"/>
  <c r="F29" i="162"/>
  <c r="I29" i="162"/>
  <c r="C31" i="162"/>
  <c r="I31" i="162"/>
  <c r="F12" i="194"/>
  <c r="F13" i="194"/>
  <c r="F14" i="194"/>
  <c r="F15" i="194"/>
  <c r="C16" i="194"/>
  <c r="F16" i="194"/>
  <c r="I16" i="194"/>
  <c r="C17" i="194"/>
  <c r="I17" i="194"/>
  <c r="F19" i="194"/>
  <c r="F22" i="194"/>
  <c r="F23" i="194"/>
  <c r="F24" i="194"/>
  <c r="F25" i="194"/>
  <c r="F26" i="194"/>
  <c r="C29" i="194"/>
  <c r="F29" i="194"/>
  <c r="I29" i="194"/>
  <c r="C31" i="194"/>
  <c r="I31" i="194"/>
  <c r="F23" i="232"/>
  <c r="O23" i="232"/>
  <c r="F25" i="232"/>
  <c r="O25" i="232"/>
  <c r="F29" i="232"/>
  <c r="O29" i="232"/>
  <c r="I13" i="37"/>
  <c r="K13" i="37"/>
  <c r="I34" i="37"/>
  <c r="K34" i="37"/>
  <c r="I74" i="37"/>
  <c r="K74" i="37"/>
  <c r="J88" i="242"/>
  <c r="O88" i="242"/>
  <c r="B32" i="277"/>
  <c r="C32" i="277"/>
  <c r="F32" i="277"/>
  <c r="G32" i="277"/>
  <c r="B33" i="277"/>
  <c r="F33" i="277"/>
  <c r="B40" i="277"/>
  <c r="C40" i="277"/>
  <c r="F40" i="277"/>
  <c r="G40" i="277"/>
  <c r="B41" i="277"/>
  <c r="F41" i="277"/>
  <c r="F44" i="277"/>
  <c r="G44" i="277"/>
  <c r="F45" i="277"/>
  <c r="G48" i="277"/>
  <c r="F49" i="277"/>
  <c r="G49" i="277"/>
  <c r="F53" i="277"/>
  <c r="G53" i="277"/>
  <c r="H53" i="277"/>
  <c r="F54" i="277"/>
  <c r="G54" i="277"/>
  <c r="F63" i="277"/>
  <c r="G63" i="277"/>
  <c r="H63" i="277"/>
  <c r="F71" i="277"/>
  <c r="G71" i="277"/>
  <c r="H71" i="277"/>
  <c r="F72" i="277"/>
  <c r="F80" i="277"/>
  <c r="G80" i="277"/>
  <c r="H80" i="277"/>
  <c r="F84" i="277"/>
  <c r="G84" i="277"/>
  <c r="H84" i="277"/>
  <c r="B130" i="277"/>
  <c r="C130" i="277"/>
  <c r="F130" i="277"/>
  <c r="G130" i="277"/>
  <c r="H130" i="277"/>
  <c r="B131" i="277"/>
  <c r="F131" i="277"/>
  <c r="G131" i="277"/>
  <c r="F134" i="277"/>
  <c r="G134" i="277"/>
  <c r="H134" i="277"/>
  <c r="F135" i="277"/>
  <c r="G135" i="277"/>
  <c r="F11" i="130"/>
  <c r="J11" i="130"/>
  <c r="L11" i="130"/>
  <c r="F17" i="130"/>
  <c r="J17" i="130"/>
  <c r="L17" i="130"/>
  <c r="N132" i="40"/>
  <c r="T132" i="40"/>
  <c r="U132" i="40"/>
  <c r="N134" i="40"/>
  <c r="T134" i="40"/>
  <c r="U134" i="40"/>
  <c r="N173" i="40"/>
  <c r="T173" i="40"/>
  <c r="U173" i="40"/>
  <c r="N175" i="40"/>
  <c r="N176" i="40"/>
  <c r="G11" i="158"/>
  <c r="I11" i="158"/>
  <c r="E12" i="158"/>
  <c r="G12" i="158"/>
  <c r="I12" i="158"/>
  <c r="E13" i="158"/>
  <c r="G13" i="158"/>
  <c r="I13" i="158"/>
  <c r="G25" i="158"/>
  <c r="I25" i="158"/>
  <c r="G59" i="158"/>
  <c r="I59" i="158"/>
  <c r="E61" i="158"/>
  <c r="G61" i="158"/>
  <c r="I61" i="158"/>
  <c r="E62" i="158"/>
  <c r="G62" i="158"/>
  <c r="I62" i="158"/>
  <c r="E63" i="158"/>
  <c r="G63" i="158"/>
  <c r="I63" i="158"/>
  <c r="E66" i="158"/>
  <c r="G66" i="158"/>
  <c r="I66" i="158"/>
  <c r="E67" i="158"/>
  <c r="G67" i="158"/>
  <c r="I67" i="158"/>
  <c r="E70" i="158"/>
  <c r="G70" i="158"/>
  <c r="I70" i="158"/>
  <c r="E73" i="158"/>
  <c r="G73" i="158"/>
  <c r="I73" i="158"/>
  <c r="E78" i="158"/>
  <c r="G78" i="158"/>
  <c r="I78" i="158"/>
  <c r="E81" i="158"/>
  <c r="I81" i="158"/>
  <c r="E83" i="158"/>
  <c r="I83" i="158"/>
  <c r="E85" i="158"/>
  <c r="I85" i="158"/>
  <c r="O12" i="3"/>
  <c r="Q12" i="3"/>
  <c r="O15" i="3"/>
  <c r="Q15" i="3"/>
  <c r="K18" i="3"/>
  <c r="M18" i="3"/>
  <c r="Q18" i="3"/>
  <c r="K21" i="3"/>
  <c r="M21" i="3"/>
  <c r="Q21" i="3"/>
  <c r="K23" i="3"/>
  <c r="M23" i="3"/>
  <c r="O23" i="3"/>
  <c r="Q23" i="3"/>
  <c r="I25" i="3"/>
  <c r="K25" i="3"/>
  <c r="M25" i="3"/>
  <c r="O25" i="3"/>
  <c r="Q25" i="3"/>
  <c r="I27" i="3"/>
  <c r="M27" i="3"/>
  <c r="Q27" i="3"/>
  <c r="I29" i="3"/>
  <c r="M29" i="3"/>
  <c r="Q29" i="3"/>
  <c r="I34" i="3"/>
  <c r="K34" i="3"/>
  <c r="M34" i="3"/>
  <c r="Q34" i="3"/>
  <c r="K35" i="3"/>
  <c r="M35" i="3"/>
  <c r="Q35" i="3"/>
  <c r="I37" i="3"/>
  <c r="K37" i="3"/>
  <c r="M37" i="3"/>
  <c r="Q37" i="3"/>
  <c r="I57" i="3"/>
  <c r="K57" i="3"/>
  <c r="I60" i="3"/>
  <c r="K60" i="3"/>
  <c r="I62" i="3"/>
  <c r="K62" i="3"/>
  <c r="I64" i="3"/>
  <c r="K64" i="3"/>
  <c r="I66" i="3"/>
  <c r="I68" i="3"/>
  <c r="I73" i="3"/>
  <c r="K73" i="3"/>
  <c r="I74" i="3"/>
  <c r="K74" i="3"/>
  <c r="I76" i="3"/>
  <c r="K76" i="3"/>
  <c r="I78" i="3"/>
  <c r="G86" i="239"/>
  <c r="K86" i="239"/>
  <c r="M86" i="239"/>
  <c r="N86" i="239"/>
  <c r="G89" i="239"/>
  <c r="K89" i="239"/>
  <c r="N89" i="239"/>
  <c r="K94" i="239"/>
  <c r="M94" i="239"/>
  <c r="N94" i="239"/>
  <c r="K96" i="239"/>
  <c r="N96" i="239"/>
  <c r="G98" i="239"/>
  <c r="K98" i="239"/>
  <c r="N98" i="239"/>
  <c r="K222" i="239"/>
  <c r="M222" i="239"/>
  <c r="N222" i="239"/>
  <c r="K224" i="239"/>
  <c r="N224" i="239"/>
  <c r="K234" i="239"/>
  <c r="N234" i="239"/>
  <c r="K265" i="239"/>
  <c r="N265" i="239"/>
  <c r="K286" i="239"/>
  <c r="N286" i="239"/>
  <c r="K301" i="239"/>
  <c r="N301" i="239"/>
  <c r="K303" i="239"/>
  <c r="N303" i="239"/>
  <c r="K306" i="239"/>
  <c r="N306" i="239"/>
  <c r="G307" i="239"/>
  <c r="K307" i="239"/>
  <c r="M307" i="239"/>
  <c r="N307" i="239"/>
  <c r="G308" i="239"/>
  <c r="K308" i="239"/>
  <c r="N308" i="239"/>
  <c r="G310" i="239"/>
  <c r="K310" i="239"/>
  <c r="N310" i="239"/>
  <c r="G312" i="239"/>
  <c r="K312" i="239"/>
  <c r="N312" i="239"/>
  <c r="G313" i="239"/>
  <c r="K313" i="239"/>
  <c r="N313" i="239"/>
  <c r="G314" i="239"/>
  <c r="K314" i="239"/>
  <c r="N314" i="239"/>
  <c r="K323" i="239"/>
  <c r="N323" i="239"/>
  <c r="G326" i="239"/>
  <c r="K326" i="239"/>
  <c r="N326" i="239"/>
  <c r="G328" i="239"/>
  <c r="K328" i="239"/>
  <c r="N328" i="239"/>
  <c r="G330" i="239"/>
  <c r="K330" i="239"/>
  <c r="N330" i="239"/>
  <c r="G331" i="239"/>
  <c r="K331" i="239"/>
  <c r="N331" i="239"/>
  <c r="G332" i="239"/>
  <c r="K332" i="239"/>
  <c r="N332" i="239"/>
  <c r="K336" i="239"/>
  <c r="N336" i="239"/>
  <c r="K338" i="239"/>
  <c r="N338" i="239"/>
  <c r="K339" i="239"/>
  <c r="N339" i="239"/>
  <c r="K342" i="239"/>
  <c r="N342" i="239"/>
  <c r="K344" i="239"/>
  <c r="N344" i="239"/>
  <c r="K347" i="239"/>
  <c r="N347" i="239"/>
  <c r="K351" i="239"/>
  <c r="N351" i="239"/>
  <c r="K352" i="239"/>
  <c r="N352" i="239"/>
  <c r="E9" i="228"/>
  <c r="E11" i="228"/>
  <c r="E13" i="228"/>
  <c r="E16" i="228"/>
  <c r="E18" i="228"/>
  <c r="E23" i="228"/>
  <c r="E27" i="2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46" authorId="0" shapeId="0" xr:uid="{AD0F38FC-AEEB-4BD2-9643-C07E1C04EC5C}">
      <text>
        <r>
          <rPr>
            <b/>
            <sz val="9"/>
            <color indexed="81"/>
            <rFont val="Tahoma"/>
            <family val="2"/>
          </rPr>
          <t>Author:</t>
        </r>
        <r>
          <rPr>
            <sz val="9"/>
            <color indexed="81"/>
            <rFont val="Tahoma"/>
            <family val="2"/>
          </rPr>
          <t xml:space="preserve">
remove RWIP 108001, 108002 and 50513's $11 reconciling item</t>
        </r>
      </text>
    </comment>
    <comment ref="R46" authorId="0" shapeId="0" xr:uid="{1BC3855B-9EE4-4A2F-AA80-95E0CEFA8954}">
      <text>
        <r>
          <rPr>
            <b/>
            <sz val="9"/>
            <color indexed="81"/>
            <rFont val="Tahoma"/>
            <family val="2"/>
          </rPr>
          <t>Author:</t>
        </r>
        <r>
          <rPr>
            <sz val="9"/>
            <color indexed="81"/>
            <rFont val="Tahoma"/>
            <family val="2"/>
          </rPr>
          <t xml:space="preserve">
Agrees to Stmt A, removing 108001 and 108340</t>
        </r>
      </text>
    </comment>
    <comment ref="S46" authorId="0" shapeId="0" xr:uid="{B985F59E-DA37-4DBC-9B2C-EADB2FFA64D4}">
      <text>
        <r>
          <rPr>
            <b/>
            <sz val="9"/>
            <color indexed="81"/>
            <rFont val="Tahoma"/>
            <family val="2"/>
          </rPr>
          <t>Author:</t>
        </r>
        <r>
          <rPr>
            <sz val="9"/>
            <color indexed="81"/>
            <rFont val="Tahoma"/>
            <family val="2"/>
          </rPr>
          <t xml:space="preserve">
agrees to Stmt A, removing 108001, 108002, and 11.48 reconciling item for 108000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V10" authorId="0" shapeId="0" xr:uid="{765F39A8-40D7-4FA9-9CCD-8CD8A0540530}">
      <text>
        <r>
          <rPr>
            <b/>
            <sz val="9"/>
            <color indexed="81"/>
            <rFont val="Tahoma"/>
            <family val="2"/>
          </rPr>
          <t>Author:</t>
        </r>
        <r>
          <rPr>
            <sz val="9"/>
            <color indexed="81"/>
            <rFont val="Tahoma"/>
            <family val="2"/>
          </rPr>
          <t xml:space="preserve">
To simplify formulas in main exhibit, this column has the formulas for the applicable allocation %.</t>
        </r>
      </text>
    </comment>
  </commentList>
</comments>
</file>

<file path=xl/sharedStrings.xml><?xml version="1.0" encoding="utf-8"?>
<sst xmlns="http://schemas.openxmlformats.org/spreadsheetml/2006/main" count="3758" uniqueCount="1686">
  <si>
    <t>Total Gas Operating Revenue</t>
  </si>
  <si>
    <t>(l)</t>
  </si>
  <si>
    <t>(m)</t>
  </si>
  <si>
    <t>Balance at End of Period</t>
  </si>
  <si>
    <t>Total Current &amp; Accrued Assets</t>
  </si>
  <si>
    <t>Deferred Debits</t>
  </si>
  <si>
    <t>Unamortized Debt Expense</t>
  </si>
  <si>
    <t>Preliminary Survey</t>
  </si>
  <si>
    <t>Other Rate Base Reductions</t>
  </si>
  <si>
    <t>Total Rate Base</t>
  </si>
  <si>
    <t>Stmt J</t>
  </si>
  <si>
    <t>Stmt L</t>
  </si>
  <si>
    <t>Adjustment</t>
  </si>
  <si>
    <t>Depreciation and Amortization Expense</t>
  </si>
  <si>
    <t>Adjustments</t>
  </si>
  <si>
    <t>Return (Operating Income)</t>
  </si>
  <si>
    <t>Rate of Return</t>
  </si>
  <si>
    <t>Misc Current &amp; Accrued Liab</t>
  </si>
  <si>
    <t>Total Current &amp; Accrued Liability</t>
  </si>
  <si>
    <t>Other-Utility Property</t>
  </si>
  <si>
    <t>Res for Depr Other Utility Property</t>
  </si>
  <si>
    <t>(Note 1)</t>
  </si>
  <si>
    <t>(Note 2)</t>
  </si>
  <si>
    <t>Sched M-1</t>
  </si>
  <si>
    <t>Sched H-8</t>
  </si>
  <si>
    <t>Sched H-6</t>
  </si>
  <si>
    <t>Sched H-5</t>
  </si>
  <si>
    <t>Sched H-10</t>
  </si>
  <si>
    <t>Sched H-11</t>
  </si>
  <si>
    <t>Total Transmission Expenses</t>
  </si>
  <si>
    <t>Depreciation Expense</t>
  </si>
  <si>
    <t>Unemployment - Federal</t>
  </si>
  <si>
    <t>Unemployment - State</t>
  </si>
  <si>
    <t>Provision for Federal Income Tax:</t>
  </si>
  <si>
    <t>Total Federal Tax</t>
  </si>
  <si>
    <t>Summary of Provision for Income Tax:</t>
  </si>
  <si>
    <t>Deferred Income Taxes:</t>
  </si>
  <si>
    <t>Total Income Tax</t>
  </si>
  <si>
    <t xml:space="preserve">  Oper. Income Before Income Tax</t>
  </si>
  <si>
    <t xml:space="preserve">  Distribution</t>
  </si>
  <si>
    <t xml:space="preserve">  General</t>
  </si>
  <si>
    <t>(c)</t>
  </si>
  <si>
    <t>DEPRECIATION AND AMORTIZATION EXPENSE</t>
  </si>
  <si>
    <t>COMPUTATION OF FEDERAL INCOME TAX</t>
  </si>
  <si>
    <t>Total Deferred Debits</t>
  </si>
  <si>
    <t>Total Assets and Other Debits</t>
  </si>
  <si>
    <t>LIABILITIES AND OTHER CREDITS</t>
  </si>
  <si>
    <t>Proprietary Capital</t>
  </si>
  <si>
    <t>Unapprop. Retained Earnings</t>
  </si>
  <si>
    <t xml:space="preserve">  Operation</t>
  </si>
  <si>
    <t xml:space="preserve">  Net Plant</t>
  </si>
  <si>
    <t>Stmt F</t>
  </si>
  <si>
    <t xml:space="preserve">Plant in </t>
  </si>
  <si>
    <t>Service</t>
  </si>
  <si>
    <t>Current and Accrued Assets</t>
  </si>
  <si>
    <t>Cash</t>
  </si>
  <si>
    <t>Notes &amp; Accts Receivable - Net</t>
  </si>
  <si>
    <t xml:space="preserve">Accts Rec Assoc Company </t>
  </si>
  <si>
    <t>Material and Supplies</t>
  </si>
  <si>
    <t>Line</t>
  </si>
  <si>
    <t>Deferred Income Tax</t>
  </si>
  <si>
    <t>August</t>
  </si>
  <si>
    <t>September</t>
  </si>
  <si>
    <t>October</t>
  </si>
  <si>
    <t>November</t>
  </si>
  <si>
    <t>Account</t>
  </si>
  <si>
    <t xml:space="preserve">FERC  </t>
  </si>
  <si>
    <t>Sched H-9</t>
  </si>
  <si>
    <t>Customer Accounting Expense</t>
  </si>
  <si>
    <t xml:space="preserve">  Total Customer Accounting Expense</t>
  </si>
  <si>
    <t xml:space="preserve">      Total Customer Expense</t>
  </si>
  <si>
    <t>Sales Expense</t>
  </si>
  <si>
    <t xml:space="preserve">  Total Sales Expense</t>
  </si>
  <si>
    <t>Total Proprietary Capital</t>
  </si>
  <si>
    <t>Long Term Debt</t>
  </si>
  <si>
    <t>Operation and Maintenance Expenses</t>
  </si>
  <si>
    <t>Taxes Other Than Income Tax</t>
  </si>
  <si>
    <t>Total Operating Expenses</t>
  </si>
  <si>
    <t>Operating Income Before Tax</t>
  </si>
  <si>
    <t>Total General Plant</t>
  </si>
  <si>
    <t>Gross Utility Plant</t>
  </si>
  <si>
    <t>GAS PLANT IN SERVICE</t>
  </si>
  <si>
    <t>Total Gas Plant In Service</t>
  </si>
  <si>
    <t>Operation and Maintenance</t>
  </si>
  <si>
    <t>Depreciation</t>
  </si>
  <si>
    <t>Amortization</t>
  </si>
  <si>
    <t>Transmission</t>
  </si>
  <si>
    <t>Distribution</t>
  </si>
  <si>
    <t>General</t>
  </si>
  <si>
    <t>Depreciable</t>
  </si>
  <si>
    <t>Items</t>
  </si>
  <si>
    <t>Plant</t>
  </si>
  <si>
    <t>Rate</t>
  </si>
  <si>
    <t>Expense</t>
  </si>
  <si>
    <t>Per Books</t>
  </si>
  <si>
    <t>Administrative &amp; General Expense</t>
  </si>
  <si>
    <t>Total O&amp;M</t>
  </si>
  <si>
    <t xml:space="preserve">Depreciation &amp; Amortization </t>
  </si>
  <si>
    <t>Taxes Other than Income</t>
  </si>
  <si>
    <t>Net Operating Income</t>
  </si>
  <si>
    <t>Interest (Expense)</t>
  </si>
  <si>
    <t>AFUDC - Debt &amp; Equity</t>
  </si>
  <si>
    <t>Non-Operating (Expense)</t>
  </si>
  <si>
    <t>Sched H-4</t>
  </si>
  <si>
    <t>Tax Collections Payable</t>
  </si>
  <si>
    <t>(a) + (b)</t>
  </si>
  <si>
    <t>ADJUSTED ACCUMULATED PROVISION FOR DEPRECIATION</t>
  </si>
  <si>
    <t>Accumulated</t>
  </si>
  <si>
    <t>Customer Accounts Expense</t>
  </si>
  <si>
    <t>Customer Service and Informational Expenses</t>
  </si>
  <si>
    <t>Sales Expenses</t>
  </si>
  <si>
    <t>Transportation Equipment</t>
  </si>
  <si>
    <t xml:space="preserve">  Total Taxes Other Than Income</t>
  </si>
  <si>
    <t>Total Oper. Exp. Before Inc. Tax</t>
  </si>
  <si>
    <t xml:space="preserve">  Total Other Operating Revenue</t>
  </si>
  <si>
    <t xml:space="preserve">Materials </t>
  </si>
  <si>
    <t>and Supplies</t>
  </si>
  <si>
    <t>Line No.</t>
  </si>
  <si>
    <t>Total Transmission Plant</t>
  </si>
  <si>
    <t>Sched H-1</t>
  </si>
  <si>
    <t>Schedule D-1</t>
  </si>
  <si>
    <t>Net</t>
  </si>
  <si>
    <t>(Lead)/Lag</t>
  </si>
  <si>
    <t>CWC Req</t>
  </si>
  <si>
    <t>Account Description</t>
  </si>
  <si>
    <t>Lag</t>
  </si>
  <si>
    <t>Lead</t>
  </si>
  <si>
    <t>Operations &amp; Maintenance Expense</t>
  </si>
  <si>
    <t>Net Payroll</t>
  </si>
  <si>
    <t>Transmission Expenses</t>
  </si>
  <si>
    <t>Distribution  Expense</t>
  </si>
  <si>
    <t>Operation Supervision &amp; Engineering</t>
  </si>
  <si>
    <t xml:space="preserve">        Total Distribution Expenses</t>
  </si>
  <si>
    <t>Administrative and General Expenses</t>
  </si>
  <si>
    <t>Regulatory Commission Expenses</t>
  </si>
  <si>
    <t xml:space="preserve">      Total Operating &amp; Maintenance  Expenses</t>
  </si>
  <si>
    <t xml:space="preserve">        Total Distribution Maintenance</t>
  </si>
  <si>
    <t xml:space="preserve">        Total Distribution Operation</t>
  </si>
  <si>
    <t xml:space="preserve">    Total Transmission Operation</t>
  </si>
  <si>
    <t xml:space="preserve">    Total Transmission Maintenance</t>
  </si>
  <si>
    <t xml:space="preserve">  Total Customer Service and Information</t>
  </si>
  <si>
    <t xml:space="preserve">      Total Admin &amp; General Operations</t>
  </si>
  <si>
    <t xml:space="preserve">        Total Admin &amp; General  Maintenance</t>
  </si>
  <si>
    <t>Total Administrative &amp; General Expenses</t>
  </si>
  <si>
    <t>Pro Forma Adjustment</t>
  </si>
  <si>
    <t>CUSTOMER DEPOSITS</t>
  </si>
  <si>
    <t>CUSTOMER ADVANCES</t>
  </si>
  <si>
    <t>Gas Plant in Service</t>
  </si>
  <si>
    <t>Unrecovered PGA</t>
  </si>
  <si>
    <t>Gas Sales</t>
  </si>
  <si>
    <t>Interest Expense Sync with Rate Base:</t>
  </si>
  <si>
    <t>X Wtd Cost of Debt</t>
  </si>
  <si>
    <t>Completed Construction Not Classified</t>
  </si>
  <si>
    <t>Accum. Prov. For Depreciation</t>
  </si>
  <si>
    <t>Other Revenue</t>
  </si>
  <si>
    <t>Sub-Total</t>
  </si>
  <si>
    <t>Sched H-2</t>
  </si>
  <si>
    <t>Property Insurance</t>
  </si>
  <si>
    <t>Injuries and Damages</t>
  </si>
  <si>
    <t>Maintenance of General Plant</t>
  </si>
  <si>
    <t>Rate of Return, Current Rates</t>
  </si>
  <si>
    <t xml:space="preserve">  Total Rate Base</t>
  </si>
  <si>
    <t>Operation and Maintenance Expense</t>
  </si>
  <si>
    <t>Operation</t>
  </si>
  <si>
    <t>Total Operation</t>
  </si>
  <si>
    <t xml:space="preserve">Maintenance </t>
  </si>
  <si>
    <t>Maintenance</t>
  </si>
  <si>
    <t>Total Maintenance</t>
  </si>
  <si>
    <t>Customer Account Expenses</t>
  </si>
  <si>
    <t>Meter Reading Expenses</t>
  </si>
  <si>
    <t>Customer Record &amp; Collection Expenses</t>
  </si>
  <si>
    <t>Misc Customer Accounts Expenses</t>
  </si>
  <si>
    <t>Total Customer Account Expense</t>
  </si>
  <si>
    <t>Customer Assistance Expenses</t>
  </si>
  <si>
    <t>Miscellaneous Cust Serv &amp; Inform Exp.</t>
  </si>
  <si>
    <t>Total Customer Srvc &amp; Inform Exp.</t>
  </si>
  <si>
    <t>Demonstrating and Selling  Expenses</t>
  </si>
  <si>
    <t>Advertising Expenses</t>
  </si>
  <si>
    <t>Misc Sales Expenses</t>
  </si>
  <si>
    <t>Administrative &amp; General Salaries</t>
  </si>
  <si>
    <t>Office Supplies &amp; Expenses</t>
  </si>
  <si>
    <t>Administrative Expenses Transferred-Cr</t>
  </si>
  <si>
    <t>General Advertising Expense</t>
  </si>
  <si>
    <t>Miscellaneous General Expenses</t>
  </si>
  <si>
    <t>Total Operating &amp; Maintenance Exp</t>
  </si>
  <si>
    <t>Rents</t>
  </si>
  <si>
    <t>January</t>
  </si>
  <si>
    <t>February</t>
  </si>
  <si>
    <t>March</t>
  </si>
  <si>
    <t>June</t>
  </si>
  <si>
    <t>July</t>
  </si>
  <si>
    <t>Supervision</t>
  </si>
  <si>
    <t>Other Expenses</t>
  </si>
  <si>
    <t>Factor</t>
  </si>
  <si>
    <t>Total Sales Expense</t>
  </si>
  <si>
    <t>No.</t>
  </si>
  <si>
    <t>Description</t>
  </si>
  <si>
    <t>Utility Plant</t>
  </si>
  <si>
    <t xml:space="preserve"> </t>
  </si>
  <si>
    <t>(a)</t>
  </si>
  <si>
    <t>(b)</t>
  </si>
  <si>
    <t>(c )</t>
  </si>
  <si>
    <t>(d)</t>
  </si>
  <si>
    <t>(e)</t>
  </si>
  <si>
    <t>(f)</t>
  </si>
  <si>
    <t>(g)</t>
  </si>
  <si>
    <t>(h)</t>
  </si>
  <si>
    <t>(i)</t>
  </si>
  <si>
    <t>(j)</t>
  </si>
  <si>
    <t>(k)</t>
  </si>
  <si>
    <t>Taxes Other than Income Tax</t>
  </si>
  <si>
    <t>Uncollectible Accounts</t>
  </si>
  <si>
    <t>Adjusted</t>
  </si>
  <si>
    <t>Plant in</t>
  </si>
  <si>
    <t>Total Plant in Service</t>
  </si>
  <si>
    <t>Sched H-3</t>
  </si>
  <si>
    <t>December</t>
  </si>
  <si>
    <t>RETAINED EARNINGS STATEMENT</t>
  </si>
  <si>
    <t>Revenue Under Existing Rates</t>
  </si>
  <si>
    <t>Revenue Deficiency</t>
  </si>
  <si>
    <t>Miscellaneous Debits</t>
  </si>
  <si>
    <t>Taxes Accrued</t>
  </si>
  <si>
    <t>Outside Services Employed</t>
  </si>
  <si>
    <t>Total Operating Revenue</t>
  </si>
  <si>
    <t>Operating Expenses</t>
  </si>
  <si>
    <t>Income/(Loss) Before Tax</t>
  </si>
  <si>
    <t>Net Utility Income/(Loss)</t>
  </si>
  <si>
    <t>Return Under Current Rates</t>
  </si>
  <si>
    <t>Other Utility Plant</t>
  </si>
  <si>
    <t>Total</t>
  </si>
  <si>
    <t>Depreciation/</t>
  </si>
  <si>
    <t>Additional</t>
  </si>
  <si>
    <t>Revenue</t>
  </si>
  <si>
    <t>Required</t>
  </si>
  <si>
    <t>Rate of</t>
  </si>
  <si>
    <t>Return</t>
  </si>
  <si>
    <t>TAXES OTHER THAN FEDERAL INCOME TAX</t>
  </si>
  <si>
    <t xml:space="preserve">Adjustment </t>
  </si>
  <si>
    <t xml:space="preserve">Other </t>
  </si>
  <si>
    <t>Page 2 of 2</t>
  </si>
  <si>
    <t>Page 1 of 2</t>
  </si>
  <si>
    <t>FERC</t>
  </si>
  <si>
    <t>Acc Pay. Assoc Company</t>
  </si>
  <si>
    <t>Transmission Expense</t>
  </si>
  <si>
    <t>Distribution Expense</t>
  </si>
  <si>
    <t>Oper. Expense Before Income Tax</t>
  </si>
  <si>
    <t>Employee Pensions and Benefits</t>
  </si>
  <si>
    <t xml:space="preserve">  Total Accumulated Depreciation</t>
  </si>
  <si>
    <t>Total Utility Plant</t>
  </si>
  <si>
    <t>Current &amp; Accrued Liability</t>
  </si>
  <si>
    <t>Accounts Payable</t>
  </si>
  <si>
    <t>Customer Deposits</t>
  </si>
  <si>
    <t>Percent of Total</t>
  </si>
  <si>
    <t>Rate Base</t>
  </si>
  <si>
    <t>Plant in Service</t>
  </si>
  <si>
    <t>Accumulated Depreciation</t>
  </si>
  <si>
    <t>Working Capital</t>
  </si>
  <si>
    <t>Taxes Other Than Income</t>
  </si>
  <si>
    <t>Payroll Taxes</t>
  </si>
  <si>
    <t xml:space="preserve">  Total Operating Revenue</t>
  </si>
  <si>
    <t>FICA Tax</t>
  </si>
  <si>
    <t>Sched H-7</t>
  </si>
  <si>
    <t>Customer Service &amp; Information</t>
  </si>
  <si>
    <t>Construction Work in Progress</t>
  </si>
  <si>
    <t xml:space="preserve">    Total Federal Income Tax</t>
  </si>
  <si>
    <t>Total Operating Expense</t>
  </si>
  <si>
    <t>Return to equity pretax</t>
  </si>
  <si>
    <t>Rate of Return, Existing Rates</t>
  </si>
  <si>
    <t>Total Operation &amp; Maintenance Expense</t>
  </si>
  <si>
    <t>Taxes other than Income Taxes</t>
  </si>
  <si>
    <t>FICA Taxes - Employer's</t>
  </si>
  <si>
    <t>Unemployment Taxes (FUTA &amp; SUTA)</t>
  </si>
  <si>
    <t xml:space="preserve"> Total Taxes other than Income Taxes</t>
  </si>
  <si>
    <t>Total Cash Working Capital Requirement</t>
  </si>
  <si>
    <t>Total Working Capital</t>
  </si>
  <si>
    <t>OPERATING AND MAINTENANCE EXPENSES</t>
  </si>
  <si>
    <t>Stmt H</t>
  </si>
  <si>
    <t>Other Non-Current Liabilities</t>
  </si>
  <si>
    <t>Deferred Credits</t>
  </si>
  <si>
    <t>Customer Advance for Construction</t>
  </si>
  <si>
    <t>Other Deferred Credits</t>
  </si>
  <si>
    <t>Acc Def Inc Taxes - Property</t>
  </si>
  <si>
    <t xml:space="preserve">Line </t>
  </si>
  <si>
    <t>(a/c 165)</t>
  </si>
  <si>
    <t>WORKING CAPITAL</t>
  </si>
  <si>
    <t>Reference</t>
  </si>
  <si>
    <t>Amount</t>
  </si>
  <si>
    <t>Cash Working Capital</t>
  </si>
  <si>
    <t>Materials and Supplies</t>
  </si>
  <si>
    <t>Prepaid Expenses</t>
  </si>
  <si>
    <t>Cost</t>
  </si>
  <si>
    <t>Weighted Cost</t>
  </si>
  <si>
    <t>[(a) + (b) + (c)]</t>
  </si>
  <si>
    <t>(a) - (b)</t>
  </si>
  <si>
    <t>(c) * (d)</t>
  </si>
  <si>
    <t xml:space="preserve">(a) </t>
  </si>
  <si>
    <t xml:space="preserve">(b) </t>
  </si>
  <si>
    <t xml:space="preserve">(c) </t>
  </si>
  <si>
    <t>(c) + (d)</t>
  </si>
  <si>
    <t>TRANSMISSION PLANT</t>
  </si>
  <si>
    <t>GENERAL PLANT</t>
  </si>
  <si>
    <t>OPERATING REVENUE</t>
  </si>
  <si>
    <t>COMPONENTS OF CLAIMED WORKING CAPITAL</t>
  </si>
  <si>
    <t>Prepaid</t>
  </si>
  <si>
    <t>Expenses</t>
  </si>
  <si>
    <t xml:space="preserve">  Transmission</t>
  </si>
  <si>
    <t>Federal Income Tax Calculation</t>
  </si>
  <si>
    <t>ASSETS AND OTHER DEBITS</t>
  </si>
  <si>
    <t xml:space="preserve">  Amount before tax adjustment</t>
  </si>
  <si>
    <t>PER BOOKS AND PRO FORMA ADJUSTED REVENUE REQUIREMENT ANALYSIS</t>
  </si>
  <si>
    <t xml:space="preserve">  Total Depreciation  Expense</t>
  </si>
  <si>
    <t>Overall Revenue Requirement and Revenue Deficiency</t>
  </si>
  <si>
    <t xml:space="preserve">  Total Pre-tax Revenue Requirement</t>
  </si>
  <si>
    <t xml:space="preserve">  Net Pre-tax Revenue Requirement</t>
  </si>
  <si>
    <t>Other Regulatory Assets</t>
  </si>
  <si>
    <t>Operating Revenue</t>
  </si>
  <si>
    <t>Other Operating Revenue</t>
  </si>
  <si>
    <t>Less:  Other Operating Revenue</t>
  </si>
  <si>
    <t>Miscellaneous</t>
  </si>
  <si>
    <t>Notes Pay. Assoc Company</t>
  </si>
  <si>
    <t>Other Regulatory Liabilities</t>
  </si>
  <si>
    <t>228-230</t>
  </si>
  <si>
    <t>Prepayments</t>
  </si>
  <si>
    <t xml:space="preserve">(e) </t>
  </si>
  <si>
    <t>(c) - (d)</t>
  </si>
  <si>
    <t xml:space="preserve">  Maintenance</t>
  </si>
  <si>
    <t>Acc Def Inc Taxes - Other</t>
  </si>
  <si>
    <t>Total Deferred Credits</t>
  </si>
  <si>
    <t>Total Liabilities &amp; Other Credits</t>
  </si>
  <si>
    <t>STATEMENT OF INCOME</t>
  </si>
  <si>
    <t>Adjusted Interest Exp.</t>
  </si>
  <si>
    <t>Sched H-12</t>
  </si>
  <si>
    <t>in Service</t>
  </si>
  <si>
    <t>Difference</t>
  </si>
  <si>
    <t>Remove</t>
  </si>
  <si>
    <t>Franchise Requirements</t>
  </si>
  <si>
    <t>State Sales &amp; Use Tax</t>
  </si>
  <si>
    <t>TOTIT - Payroll Loading &amp; Other</t>
  </si>
  <si>
    <t>Deferred Income Tax Assets</t>
  </si>
  <si>
    <t>Total Deferred Income Tax Assets</t>
  </si>
  <si>
    <t>Total Accelerated Deferred Income Taxes - Property</t>
  </si>
  <si>
    <t>Total Accelerated Deferred Income Taxes - Other</t>
  </si>
  <si>
    <t>Operations &amp; Maintenance</t>
  </si>
  <si>
    <t>Depreciation/Amortization</t>
  </si>
  <si>
    <t>FIT - Existing Rates</t>
  </si>
  <si>
    <t>Total Cost of Service</t>
  </si>
  <si>
    <t>Increase/(Decrease) Before Taxes</t>
  </si>
  <si>
    <t>Total Company</t>
  </si>
  <si>
    <t>Tax Adjustments - Permanent Differences</t>
  </si>
  <si>
    <t>Fines &amp; Penalties</t>
  </si>
  <si>
    <t>Club Dues</t>
  </si>
  <si>
    <t>Lobbying</t>
  </si>
  <si>
    <t>PEP Life - Cash Surrender Value</t>
  </si>
  <si>
    <t>Total Permanent Differences</t>
  </si>
  <si>
    <t>Tax Adjustments - Temporary Differences</t>
  </si>
  <si>
    <t>Total Temporary Differences</t>
  </si>
  <si>
    <t>Taxable Income (NOL)</t>
  </si>
  <si>
    <t>Net Operating Loss</t>
  </si>
  <si>
    <t>Taxable Income</t>
  </si>
  <si>
    <t>Tax Rate</t>
  </si>
  <si>
    <t>Pre-tax net operating income</t>
  </si>
  <si>
    <t>Statement A</t>
  </si>
  <si>
    <t>Statement B</t>
  </si>
  <si>
    <t>Statement C</t>
  </si>
  <si>
    <t>Statement D</t>
  </si>
  <si>
    <t xml:space="preserve">Line  </t>
  </si>
  <si>
    <t>INTANGIBLE PLANT</t>
  </si>
  <si>
    <t>Total Intangible Plant</t>
  </si>
  <si>
    <t xml:space="preserve">Transmission Plant - Mains </t>
  </si>
  <si>
    <t xml:space="preserve">Transmission Plant - Meas. &amp; Reg. Sta. Equip. </t>
  </si>
  <si>
    <t>Total Other Utility Plant</t>
  </si>
  <si>
    <t>Intangible</t>
  </si>
  <si>
    <t xml:space="preserve">General </t>
  </si>
  <si>
    <t>Schedule F-1</t>
  </si>
  <si>
    <t>Maint. of Other Equipment</t>
  </si>
  <si>
    <t>System Control &amp; Load Dispatching</t>
  </si>
  <si>
    <t>Communication System Expenses</t>
  </si>
  <si>
    <t>Mains Expense</t>
  </si>
  <si>
    <t>Measuring &amp; Regulating Station Expenses</t>
  </si>
  <si>
    <t>Total Transmission Expense</t>
  </si>
  <si>
    <t xml:space="preserve">Operation </t>
  </si>
  <si>
    <t>Total Other Gas Supply Expense</t>
  </si>
  <si>
    <t>Purchased Gas Expense</t>
  </si>
  <si>
    <t>Other Gas Supply Expense</t>
  </si>
  <si>
    <t>Gas Used for Other Utility Operation</t>
  </si>
  <si>
    <t>Total Administrative &amp; General Exp</t>
  </si>
  <si>
    <t>Other Rate Base Items</t>
  </si>
  <si>
    <t>Customer Service and Information Expenses</t>
  </si>
  <si>
    <t>Depreciation charged to O&amp;M Accounts (Vehicles)</t>
  </si>
  <si>
    <t>Fuel Stocks</t>
  </si>
  <si>
    <t>Other Current Assets</t>
  </si>
  <si>
    <t>Acc Def ITC</t>
  </si>
  <si>
    <t>Other Gas Supply</t>
  </si>
  <si>
    <t>211 - 216</t>
  </si>
  <si>
    <t>Statement H</t>
  </si>
  <si>
    <t>OTHER RATE BASE ITEMS</t>
  </si>
  <si>
    <t>General (less Vehicles)</t>
  </si>
  <si>
    <t xml:space="preserve">Intangible </t>
  </si>
  <si>
    <t>Statement M</t>
  </si>
  <si>
    <t>Statement K</t>
  </si>
  <si>
    <t>Statement J</t>
  </si>
  <si>
    <t>Statement I</t>
  </si>
  <si>
    <t>Total Depreciation and Amort Expense less Vehicles</t>
  </si>
  <si>
    <t>Total Costs</t>
  </si>
  <si>
    <t>Stmt I</t>
  </si>
  <si>
    <t>Per Book</t>
  </si>
  <si>
    <t>CALCULATION OF REVENUE DEFICIENCY</t>
  </si>
  <si>
    <t>(Line 1 * Line 2)</t>
  </si>
  <si>
    <t>Stmt M, Line 8 Column c</t>
  </si>
  <si>
    <t>Combined Tax Rate</t>
  </si>
  <si>
    <t>Revenue Deficiency / (Excess) After Tax Grossup</t>
  </si>
  <si>
    <t>Operating Income Before Federal Income Taxes</t>
  </si>
  <si>
    <t>Total Adjusted Rate Base</t>
  </si>
  <si>
    <t>Derv Instrument Assets</t>
  </si>
  <si>
    <t>Deriv Instrument Liab</t>
  </si>
  <si>
    <t>Purchased Gas Cost Adjustments</t>
  </si>
  <si>
    <t>Dist. Operating and Supervision Engineering</t>
  </si>
  <si>
    <t>Dist. Load Dispatching</t>
  </si>
  <si>
    <t>Dist. Mains &amp; Services Expenses</t>
  </si>
  <si>
    <t>Dist. Measuring &amp; Regulating Station Expenses - General</t>
  </si>
  <si>
    <t>Dist. Measuring &amp; Regulating Station Expenses - Industrial</t>
  </si>
  <si>
    <t>Dist. Customer Installation Expenses</t>
  </si>
  <si>
    <t>Dist. Other Expenses</t>
  </si>
  <si>
    <t>Dist. Rents</t>
  </si>
  <si>
    <t>Dist. Maint Supervision &amp; Engineering</t>
  </si>
  <si>
    <t>Dist. Maint. of Mains</t>
  </si>
  <si>
    <t>Dist. Maint. of Compressor Station Equipment</t>
  </si>
  <si>
    <t>Dist. Maint. of Measuring &amp; Regulating Station Equip - Industrial</t>
  </si>
  <si>
    <t>Dist. Maint. of Services</t>
  </si>
  <si>
    <t>Dist. Maint. of Meters &amp; House Regulators</t>
  </si>
  <si>
    <t>Dist. Maint. of Other Equipment</t>
  </si>
  <si>
    <t>Total Distribution Expense</t>
  </si>
  <si>
    <t>DISTRIBUTION PLANT</t>
  </si>
  <si>
    <t>Distribution Plant - Mains</t>
  </si>
  <si>
    <t>Distribution Plant - Services</t>
  </si>
  <si>
    <t>Distribution Plant - House Regulators</t>
  </si>
  <si>
    <t xml:space="preserve">Total Distribution Plant </t>
  </si>
  <si>
    <t>Distribution Plant - Meas. &amp; Reg. Sta. Equip. - General</t>
  </si>
  <si>
    <t>COST OF DEBT - TOTAL COMPANY</t>
  </si>
  <si>
    <t>Title</t>
  </si>
  <si>
    <t>Issue</t>
  </si>
  <si>
    <t>Maturity</t>
  </si>
  <si>
    <t>Amount Issued</t>
  </si>
  <si>
    <t>Price Per Unit</t>
  </si>
  <si>
    <t xml:space="preserve">Net Proceeds Amount </t>
  </si>
  <si>
    <t>Coupon/Interest Rate</t>
  </si>
  <si>
    <t>Yield to Maturity</t>
  </si>
  <si>
    <t>Cost of Money</t>
  </si>
  <si>
    <t>Principal Outstanding</t>
  </si>
  <si>
    <t>Annual Cost</t>
  </si>
  <si>
    <t>Long-Term Debt</t>
  </si>
  <si>
    <t>Average Cost of Debt</t>
  </si>
  <si>
    <t>Schedule G-1</t>
  </si>
  <si>
    <t xml:space="preserve">Long-Term Debt </t>
  </si>
  <si>
    <t xml:space="preserve">Distribution </t>
  </si>
  <si>
    <t>Increase/ (Decrease)</t>
  </si>
  <si>
    <t xml:space="preserve">Annualized </t>
  </si>
  <si>
    <t>Payroll</t>
  </si>
  <si>
    <t>(b) - (a)</t>
  </si>
  <si>
    <t>BAD DEBT ADJUSTMENT</t>
  </si>
  <si>
    <t>Average Net Write Offs</t>
  </si>
  <si>
    <t>Gas Cost</t>
  </si>
  <si>
    <t>Informational &amp; Instructional Advertising</t>
  </si>
  <si>
    <t>Miscellaneous Sales Expense</t>
  </si>
  <si>
    <t>Office Supplies &amp; Expense</t>
  </si>
  <si>
    <t>General Advertising</t>
  </si>
  <si>
    <t>Misc. General Expense</t>
  </si>
  <si>
    <t>REMOVAL OF GAS COSTS</t>
  </si>
  <si>
    <t>Total Benefits Adjustment</t>
  </si>
  <si>
    <t>Benefits Plan:</t>
  </si>
  <si>
    <t xml:space="preserve">Total Adjustment </t>
  </si>
  <si>
    <t xml:space="preserve"> Plant </t>
  </si>
  <si>
    <t>FICA Tax Adjustment</t>
  </si>
  <si>
    <t>Net O&amp;M Payroll Changes</t>
  </si>
  <si>
    <t>FICA Tax Rate</t>
  </si>
  <si>
    <t>Adjustment to FICA Tax</t>
  </si>
  <si>
    <t xml:space="preserve">  Operation </t>
  </si>
  <si>
    <t xml:space="preserve">COST OF CAPITAL - PRO FORMA </t>
  </si>
  <si>
    <t>OVERALL REVENUE REQUIREMENT</t>
  </si>
  <si>
    <t>Statement N</t>
  </si>
  <si>
    <t>Natural Gas City Gate Purchase</t>
  </si>
  <si>
    <t>Total Other Operating Revenue</t>
  </si>
  <si>
    <t>Maintenance of Compressor Station Equipment</t>
  </si>
  <si>
    <t>Maintenance of Other Equipment</t>
  </si>
  <si>
    <t>Customer Accounts Supervision</t>
  </si>
  <si>
    <t>Regulatory Commission Expense</t>
  </si>
  <si>
    <t>Federal Income Tax Withheld</t>
  </si>
  <si>
    <t>FICA Taxes Withheld - Employee</t>
  </si>
  <si>
    <t>Other O &amp; M</t>
  </si>
  <si>
    <t>City Franchise Taxes</t>
  </si>
  <si>
    <t>Sales Taxes</t>
  </si>
  <si>
    <t xml:space="preserve">Total Gas Costs </t>
  </si>
  <si>
    <t>Other Gas Purchases</t>
  </si>
  <si>
    <t>Demonstrating &amp; Selling Expense</t>
  </si>
  <si>
    <t>Advertising Expense</t>
  </si>
  <si>
    <t>Incremental</t>
  </si>
  <si>
    <t>FLEET DEPRECIATION ADJUSTMENT</t>
  </si>
  <si>
    <t>(n)</t>
  </si>
  <si>
    <t>Year</t>
  </si>
  <si>
    <t>Month</t>
  </si>
  <si>
    <t>(b) x (c)</t>
  </si>
  <si>
    <t>OTHER RATE BASE ITEMS - ADJUSTMENTS</t>
  </si>
  <si>
    <t>Schedule M-2</t>
  </si>
  <si>
    <t>Schedule Reference</t>
  </si>
  <si>
    <t>Tax Depreciation</t>
  </si>
  <si>
    <t>Bad Debt Adjustment</t>
  </si>
  <si>
    <t>Retiree Medical Adjustment to expense</t>
  </si>
  <si>
    <t>Schedule L-1</t>
  </si>
  <si>
    <t>Schedule M-1</t>
  </si>
  <si>
    <t xml:space="preserve">Common Equity </t>
  </si>
  <si>
    <t xml:space="preserve">Interest Expense  </t>
  </si>
  <si>
    <t>Total Other Rate Base Items</t>
  </si>
  <si>
    <t>Net Write Off Calculated</t>
  </si>
  <si>
    <t xml:space="preserve">Line No. </t>
  </si>
  <si>
    <t>Adjusted Revenue</t>
  </si>
  <si>
    <t xml:space="preserve">Acct </t>
  </si>
  <si>
    <t>Acct</t>
  </si>
  <si>
    <t>FERC Acct</t>
  </si>
  <si>
    <t>Lead Days</t>
  </si>
  <si>
    <t xml:space="preserve"> Weighted</t>
  </si>
  <si>
    <t>(f)/365 days</t>
  </si>
  <si>
    <t>(b) * (g)</t>
  </si>
  <si>
    <t>(b/ sum of b) *d</t>
  </si>
  <si>
    <t>Accumulated Deferred Income Taxes - Property</t>
  </si>
  <si>
    <t xml:space="preserve">DT4063 - ACCUMULATED DEPRECIATION </t>
  </si>
  <si>
    <t>Accumulated Deferred Income Taxes - Other</t>
  </si>
  <si>
    <t>Ln. 2 x Ln. 3</t>
  </si>
  <si>
    <t xml:space="preserve">Adjustment to </t>
  </si>
  <si>
    <t xml:space="preserve">Per Books </t>
  </si>
  <si>
    <t>Federal Income Tax - Existing Rates</t>
  </si>
  <si>
    <t>Sum Ln.1 - Ln.5</t>
  </si>
  <si>
    <t>Stmt E</t>
  </si>
  <si>
    <t xml:space="preserve">Total Rate Base </t>
  </si>
  <si>
    <t>Company</t>
  </si>
  <si>
    <t>Attach</t>
  </si>
  <si>
    <t>Tot Co</t>
  </si>
  <si>
    <t>B</t>
  </si>
  <si>
    <t>C</t>
  </si>
  <si>
    <t>M</t>
  </si>
  <si>
    <t>Sched D-1</t>
  </si>
  <si>
    <t>Sched D-2</t>
  </si>
  <si>
    <t>Stmt G</t>
  </si>
  <si>
    <t>Sched M-2</t>
  </si>
  <si>
    <t>FITRATE</t>
  </si>
  <si>
    <t>COMPRATE</t>
  </si>
  <si>
    <t>Adjusted Payroll</t>
  </si>
  <si>
    <t>Other Equipment</t>
  </si>
  <si>
    <t>Intangibles Organization</t>
  </si>
  <si>
    <t>Intangibles Miscellaneous</t>
  </si>
  <si>
    <t>Intangibles Franchises &amp; Consents</t>
  </si>
  <si>
    <t>Distribution Plant - Land</t>
  </si>
  <si>
    <t>Structures and Improvements</t>
  </si>
  <si>
    <t>Meter Installations</t>
  </si>
  <si>
    <t>Stores Equipment</t>
  </si>
  <si>
    <t>Laboratory Equipment</t>
  </si>
  <si>
    <t>Land</t>
  </si>
  <si>
    <t xml:space="preserve">Structures and Improvements </t>
  </si>
  <si>
    <t>Tools, Shop, and Garage Equipment</t>
  </si>
  <si>
    <t>Communication Equipment</t>
  </si>
  <si>
    <t>Miscellaneous Equipment</t>
  </si>
  <si>
    <t xml:space="preserve"> Federal Taxable Income</t>
  </si>
  <si>
    <t xml:space="preserve"> Federal Income Tax</t>
  </si>
  <si>
    <t>Out of Period adjustments</t>
  </si>
  <si>
    <t>Adjusted Total</t>
  </si>
  <si>
    <t>Federal Unemployment Tax</t>
  </si>
  <si>
    <t>State Unemployment Tax</t>
  </si>
  <si>
    <t>Total Taxes Other Than Income</t>
  </si>
  <si>
    <t>Stmt D</t>
  </si>
  <si>
    <t>Balance</t>
  </si>
  <si>
    <t>(Line 15 / (1 - Line 17))</t>
  </si>
  <si>
    <t>House regulator installations</t>
  </si>
  <si>
    <t>Compressor Labor &amp; Expense</t>
  </si>
  <si>
    <t>Maintenance of Structures &amp; Improvements</t>
  </si>
  <si>
    <t>Compressor Station Labor &amp; Expense</t>
  </si>
  <si>
    <t>Measuring &amp; Regulating Station Expense - City Gate Check Station</t>
  </si>
  <si>
    <t>Maintenance of Measuring &amp; Regulating Station Expense -General</t>
  </si>
  <si>
    <t>Maintenance of Measuring &amp; Regulating Station Expense - City Gate Check Station</t>
  </si>
  <si>
    <t>Withdrawals from Storage</t>
  </si>
  <si>
    <t>Gas Delivered to Storage</t>
  </si>
  <si>
    <t>480-482</t>
  </si>
  <si>
    <t>Production &amp; Gathering</t>
  </si>
  <si>
    <t>750-770</t>
  </si>
  <si>
    <t>800-813</t>
  </si>
  <si>
    <t xml:space="preserve">Underground Storage </t>
  </si>
  <si>
    <t>814-836</t>
  </si>
  <si>
    <t>Other Storage Expense</t>
  </si>
  <si>
    <t>840-844</t>
  </si>
  <si>
    <t>850-867</t>
  </si>
  <si>
    <t>870-894</t>
  </si>
  <si>
    <t>901-905</t>
  </si>
  <si>
    <t>907-910</t>
  </si>
  <si>
    <t>911-916</t>
  </si>
  <si>
    <t>Gas Plant Acquisition Adjustment</t>
  </si>
  <si>
    <t>Gas Stored Underground</t>
  </si>
  <si>
    <t>Accum. Prov. For Depreciation - ARO</t>
  </si>
  <si>
    <t>Non-Utility Property</t>
  </si>
  <si>
    <t>Working Funds</t>
  </si>
  <si>
    <t>141-145; 173</t>
  </si>
  <si>
    <t>151, 152</t>
  </si>
  <si>
    <t>174, 176</t>
  </si>
  <si>
    <t>184-187</t>
  </si>
  <si>
    <t>Entertainment</t>
  </si>
  <si>
    <t>DTA LT - VACATION:</t>
  </si>
  <si>
    <t>DTA LT - BAD DEBT RESERVE:</t>
  </si>
  <si>
    <t>DTA LT - EMPLOYEE GROUP INSURANCE:</t>
  </si>
  <si>
    <t>DTA LT - BONUS:</t>
  </si>
  <si>
    <t>DTA LT - AIP BONUS:</t>
  </si>
  <si>
    <t>DTA LT - WORKMANS COMP:</t>
  </si>
  <si>
    <t>DTA LT- BOWDOIN REGULATED LIABILITY:</t>
  </si>
  <si>
    <t>DTA LT- OTHER CURRENT:</t>
  </si>
  <si>
    <t>DTA LT-LINE EXTENSION DEP GAS:</t>
  </si>
  <si>
    <t>DTA LT-FAS 106 RETIREE LIAB:</t>
  </si>
  <si>
    <t>DTA LT-PGA LIAB:</t>
  </si>
  <si>
    <t>DTA LT - GOODWILL AMORT:</t>
  </si>
  <si>
    <t>DTA LT - PUC FEES:</t>
  </si>
  <si>
    <t>DEF TAX PROPERTY LT-ACCELERATED DEP:</t>
  </si>
  <si>
    <t>DTL LT - REG ASSET NONSERVICE :</t>
  </si>
  <si>
    <t>DTL LT- BOWDOIN REGULATED ASSET:</t>
  </si>
  <si>
    <t>DTL LT-REG RETIREE HEALTHCARE ASSET:</t>
  </si>
  <si>
    <t>DTL LT-PENSION FAS 87:</t>
  </si>
  <si>
    <t>DTL LT - PREPAID EXPENSES:</t>
  </si>
  <si>
    <t>DTL LT-LT RATE CASE ASSET:</t>
  </si>
  <si>
    <t>DTL LT-REG PSC PENSION ASSET:</t>
  </si>
  <si>
    <t>DTL LT-GOODWILL AMORT:</t>
  </si>
  <si>
    <t>DTA LT - STIP BONUS:</t>
  </si>
  <si>
    <t>(a/c 154, 163)</t>
  </si>
  <si>
    <t>252000/252001</t>
  </si>
  <si>
    <t>Growth</t>
  </si>
  <si>
    <t>Weather</t>
  </si>
  <si>
    <t xml:space="preserve">(d) </t>
  </si>
  <si>
    <t>Total Distribution Plant</t>
  </si>
  <si>
    <t>TOTAL PLANT IN SERVICE</t>
  </si>
  <si>
    <t>Gross Plant</t>
  </si>
  <si>
    <t>R</t>
  </si>
  <si>
    <t>Income Tax Expense</t>
  </si>
  <si>
    <t>Unbilled/Other</t>
  </si>
  <si>
    <t>ADJUSTED</t>
  </si>
  <si>
    <t>DTA LT- PERFORMANCE PLAN:</t>
  </si>
  <si>
    <t>DTA LT-RATE REFUND</t>
  </si>
  <si>
    <t>483-496</t>
  </si>
  <si>
    <t>Exchange Gas</t>
  </si>
  <si>
    <t>Retiree Healthcare Plan Costs (amortization of Regulated Assets)</t>
  </si>
  <si>
    <t>Pension Plan Costs (amortization of Regulated Assets)</t>
  </si>
  <si>
    <t>Pension:</t>
  </si>
  <si>
    <t>Other Revenues</t>
  </si>
  <si>
    <t>403-405</t>
  </si>
  <si>
    <t>409.1, 410-411</t>
  </si>
  <si>
    <t xml:space="preserve"> Deferred Income Tax</t>
  </si>
  <si>
    <t>Non-Utility Operating Income (&amp; Expense)</t>
  </si>
  <si>
    <t>Stmt L Ln.44</t>
  </si>
  <si>
    <t>Book Depreciation Expense</t>
  </si>
  <si>
    <t>Schedule D-2 Plant Additions Non-Repair Items</t>
  </si>
  <si>
    <t>MACRS HY Convent</t>
  </si>
  <si>
    <t>Tax Depreciation Rate</t>
  </si>
  <si>
    <t>20 Yr HYC</t>
  </si>
  <si>
    <t>5 Yr HYC</t>
  </si>
  <si>
    <t>Ending Deferred Tax</t>
  </si>
  <si>
    <t>(a) * (b)</t>
  </si>
  <si>
    <t>(a) * (f)</t>
  </si>
  <si>
    <t>(g) - (c)</t>
  </si>
  <si>
    <t>(h) * (i)</t>
  </si>
  <si>
    <t>Plant Additions Repair Items</t>
  </si>
  <si>
    <t>Repair</t>
  </si>
  <si>
    <t>Sched D-1 Ln.6</t>
  </si>
  <si>
    <t>Sched F-1 Ln.13 (b)</t>
  </si>
  <si>
    <t>Sched F-1 Ln.13 (a)</t>
  </si>
  <si>
    <t>PowerTax</t>
  </si>
  <si>
    <t>Schedule F-2</t>
  </si>
  <si>
    <t xml:space="preserve">  Purchased Gas Working Capital</t>
  </si>
  <si>
    <t xml:space="preserve">  Other Working Capital Allowance</t>
  </si>
  <si>
    <t xml:space="preserve">  Materials and Supplies</t>
  </si>
  <si>
    <t xml:space="preserve">  Prepayments</t>
  </si>
  <si>
    <t xml:space="preserve">  Customer Deposits</t>
  </si>
  <si>
    <t xml:space="preserve">  Customer Advances</t>
  </si>
  <si>
    <t>Pension</t>
  </si>
  <si>
    <t xml:space="preserve"> FERC 904</t>
  </si>
  <si>
    <t>Ln.22 + Ln.27</t>
  </si>
  <si>
    <t>Ln.3 - Ln.16 - Ln.20</t>
  </si>
  <si>
    <t>Total Net Write-Offs</t>
  </si>
  <si>
    <t>Other Utility Plant-BHSC</t>
  </si>
  <si>
    <t>1 Year Depreciation Rate (Note 1)</t>
  </si>
  <si>
    <t>Revenue from Gas Sales</t>
  </si>
  <si>
    <t>7 Yr HYC</t>
  </si>
  <si>
    <t>Total Non-Regulated Use of Asset Additions</t>
  </si>
  <si>
    <t>BY Ended</t>
  </si>
  <si>
    <t>Synchronization</t>
  </si>
  <si>
    <t>Billing Determinant</t>
  </si>
  <si>
    <t>Vehicle Loadings</t>
  </si>
  <si>
    <t>Ln. 4 - Ln. 1</t>
  </si>
  <si>
    <t>Normalization</t>
  </si>
  <si>
    <t>(Note 1)  The Adjusted Depreciation Expense and Per Books amount includes the removal of fleet capitalization which is charged through the vehicle loadings process.</t>
  </si>
  <si>
    <t>PF Ended</t>
  </si>
  <si>
    <t>Other Tangible Property</t>
  </si>
  <si>
    <t>Gathering and Processing</t>
  </si>
  <si>
    <t>Storage Plant</t>
  </si>
  <si>
    <t>Gathering and Processing Plant</t>
  </si>
  <si>
    <t>Production and Gathering</t>
  </si>
  <si>
    <t>Total Production Operation Expenses</t>
  </si>
  <si>
    <t>Total Production Maintenance Expenses</t>
  </si>
  <si>
    <t>Underground Storage Expense</t>
  </si>
  <si>
    <t>Total Operation Underground Storage Expense</t>
  </si>
  <si>
    <t>Total Maintenance Underground Storage Expense</t>
  </si>
  <si>
    <t>Total Underground Storage Expense</t>
  </si>
  <si>
    <t>April</t>
  </si>
  <si>
    <t>May</t>
  </si>
  <si>
    <t>Calendar Year 2017 Net Write-Offs</t>
  </si>
  <si>
    <t>Calendar Year 2018 Net Write-Offs</t>
  </si>
  <si>
    <t>WAGES AND SALARIES ADJUSTMENT FOR ANNUALIZATION OF DIRECT EMPLOYEES</t>
  </si>
  <si>
    <t>DT2020 - RETIREE HEALTHCARE</t>
  </si>
  <si>
    <t>DT3010 - PERFORMANCE PLAN</t>
  </si>
  <si>
    <t>DT3060 - ARO FASB 143 ASSET</t>
  </si>
  <si>
    <t>DT4135 - INSURANCE RESERVE</t>
  </si>
  <si>
    <t>Reserve</t>
  </si>
  <si>
    <t>Check To Scenario</t>
  </si>
  <si>
    <t>Scenario 2</t>
  </si>
  <si>
    <t>Project Description</t>
  </si>
  <si>
    <t xml:space="preserve">Plant in Service       </t>
  </si>
  <si>
    <t>DT1000 - VACATION:</t>
  </si>
  <si>
    <t>DT1010 - BAD DEBT RESERVE:</t>
  </si>
  <si>
    <t>DT1020 - EMPLOYEE GROUP INSURANCE:</t>
  </si>
  <si>
    <t>DT1030 - BONUS:</t>
  </si>
  <si>
    <t>DT1050 - WORKMANS COMP:</t>
  </si>
  <si>
    <t xml:space="preserve">Maintenance Supervision &amp; Engineering </t>
  </si>
  <si>
    <t>Maintenance of Producing Gas Wells</t>
  </si>
  <si>
    <t>Maintenance of Field Lines</t>
  </si>
  <si>
    <t>Maintenance of Field Compressor Station Equipment</t>
  </si>
  <si>
    <t>Maintenance of Field Measuring &amp; Regulating Station Equipment</t>
  </si>
  <si>
    <t>Maintenance of Purification Equipment</t>
  </si>
  <si>
    <t>Wells Expense</t>
  </si>
  <si>
    <t>Lines Expense</t>
  </si>
  <si>
    <t>Compressor Station Expense</t>
  </si>
  <si>
    <t>Compressor Station Fuel and Power</t>
  </si>
  <si>
    <t>Purification Expense</t>
  </si>
  <si>
    <t>Maintenance Supervision &amp; Engineering</t>
  </si>
  <si>
    <t>Maintenance of Reservoirs &amp; Wells</t>
  </si>
  <si>
    <t>Maintenance of Lines</t>
  </si>
  <si>
    <t>Maintenance of Measuring &amp; Regulating Station Equipment</t>
  </si>
  <si>
    <t>Maintenance of Communication Equipment</t>
  </si>
  <si>
    <t>Gas Storage-Gas Ops</t>
  </si>
  <si>
    <t>Scenario 1</t>
  </si>
  <si>
    <t>OUT OF PERIOD/ATYPICAL ACCOUNTING ADJUSTMENTS</t>
  </si>
  <si>
    <t>Schedule J-1</t>
  </si>
  <si>
    <t>(Sched D-1)</t>
  </si>
  <si>
    <t>Total Adjusted Accumulated Depreciation</t>
  </si>
  <si>
    <t>Additions</t>
  </si>
  <si>
    <t>ADIT</t>
  </si>
  <si>
    <t>GROSS PLANT</t>
  </si>
  <si>
    <t>Other Utility Shared Service Plant Adjustment (118/119)</t>
  </si>
  <si>
    <t>Non-Utility Allocated</t>
  </si>
  <si>
    <t>Interest Expense</t>
  </si>
  <si>
    <t>Equity Return</t>
  </si>
  <si>
    <t>Revenue Requirement / Credit</t>
  </si>
  <si>
    <t>Accumulated Reserve</t>
  </si>
  <si>
    <t>Non-Regulated</t>
  </si>
  <si>
    <t>DT1030 - BONUS</t>
  </si>
  <si>
    <t>DTA LT-RETIREE HEALTHCARE:</t>
  </si>
  <si>
    <t>DTA LT-DEBT PREMIUM:</t>
  </si>
  <si>
    <t>DTA LT - DEFERRED COSTS GAS:</t>
  </si>
  <si>
    <t>DTA LT - TRANSACTION COSTS:</t>
  </si>
  <si>
    <t>= (f) ÷ (d)</t>
  </si>
  <si>
    <t>Financing Costs</t>
  </si>
  <si>
    <t>Total Long-Term Debt</t>
  </si>
  <si>
    <t>PER BOOKS</t>
  </si>
  <si>
    <t xml:space="preserve">(h) </t>
  </si>
  <si>
    <t>Notes</t>
  </si>
  <si>
    <t>Exclude</t>
  </si>
  <si>
    <t xml:space="preserve">(i) </t>
  </si>
  <si>
    <t>Additions &amp; Adjustments</t>
  </si>
  <si>
    <t>Subsequent</t>
  </si>
  <si>
    <t>Computer Hardware</t>
  </si>
  <si>
    <t>Software</t>
  </si>
  <si>
    <t>Schedule H-12</t>
  </si>
  <si>
    <t>Schedule H-11</t>
  </si>
  <si>
    <t>Schedule H-3</t>
  </si>
  <si>
    <t>Schedule H-2</t>
  </si>
  <si>
    <t>Schedule H-1</t>
  </si>
  <si>
    <t xml:space="preserve">Schedule F-2 </t>
  </si>
  <si>
    <t>Schedule D-2</t>
  </si>
  <si>
    <t>Trailers</t>
  </si>
  <si>
    <t>Heavy Trucks</t>
  </si>
  <si>
    <t>Medium Trucks</t>
  </si>
  <si>
    <t>Light Trucks</t>
  </si>
  <si>
    <t>Ipad Hardware</t>
  </si>
  <si>
    <t>System Development</t>
  </si>
  <si>
    <t>Other Property on Customers' Premises</t>
  </si>
  <si>
    <t>Remove Non-Regulated Use of Assets</t>
  </si>
  <si>
    <t>Deferred Tax Adjustment</t>
  </si>
  <si>
    <t>Office Machines</t>
  </si>
  <si>
    <t>Office Furniture</t>
  </si>
  <si>
    <t>Revenue Credit (Schedule I-9)</t>
  </si>
  <si>
    <t xml:space="preserve"> Non-Regulated Use of Assets Plant Additions</t>
  </si>
  <si>
    <t>Accumulated Depreciation Adjustment</t>
  </si>
  <si>
    <t>Schedule H-4</t>
  </si>
  <si>
    <t>Schedule H-5</t>
  </si>
  <si>
    <t>Schedule H-6</t>
  </si>
  <si>
    <t>Schedule H-7</t>
  </si>
  <si>
    <t>Schedule H-8</t>
  </si>
  <si>
    <t>Schedule H-9</t>
  </si>
  <si>
    <t>(Note 1) This schedule reflects the calculation on Statement J for the portion of depreciation expense charged to Operation &amp; Maintenance.</t>
  </si>
  <si>
    <t>Plant Account</t>
  </si>
  <si>
    <t>Revenue Requirement Components</t>
  </si>
  <si>
    <t>Statement L</t>
  </si>
  <si>
    <t>Statement G</t>
  </si>
  <si>
    <t>Tax Basis Depreciation</t>
  </si>
  <si>
    <t>Grand Total Adjustment</t>
  </si>
  <si>
    <t>Schedule M-3</t>
  </si>
  <si>
    <t>(Sched. D-2)</t>
  </si>
  <si>
    <t>Various</t>
  </si>
  <si>
    <t>ALTERNATIVE FORMS OF PAYMENT ADJUSTMENT</t>
  </si>
  <si>
    <t>D-1</t>
  </si>
  <si>
    <t>Test Year</t>
  </si>
  <si>
    <t>Period</t>
  </si>
  <si>
    <t>Revenues</t>
  </si>
  <si>
    <t>Pro Forma</t>
  </si>
  <si>
    <t xml:space="preserve"> &amp; Expected Pro Forma</t>
  </si>
  <si>
    <t>Pro Forma Plant</t>
  </si>
  <si>
    <t xml:space="preserve">Pro Forma </t>
  </si>
  <si>
    <t>Pro Forma Adjusted</t>
  </si>
  <si>
    <t>Grand Total Pro Forma Plant</t>
  </si>
  <si>
    <t>Forfeited Discounts</t>
  </si>
  <si>
    <t>Rent From Gas Property</t>
  </si>
  <si>
    <t>Other Gas Revenues</t>
  </si>
  <si>
    <t>Schedule H-10</t>
  </si>
  <si>
    <t>Statement E</t>
  </si>
  <si>
    <t>Statement F</t>
  </si>
  <si>
    <t>EMPLOYEE BENEFITS ADJUSTMENT</t>
  </si>
  <si>
    <t>INTERCOMPANY CHARGES FROM BLACK HILLS SERVICE COMPANY</t>
  </si>
  <si>
    <t>Schedule I-1</t>
  </si>
  <si>
    <t>Average Effective Uncollectible Rate (3 year average)</t>
  </si>
  <si>
    <t>Total EDFIT Amortization</t>
  </si>
  <si>
    <t>ARAM Plant Protected EDFIT</t>
  </si>
  <si>
    <t>Pro Forma Capital Additions</t>
  </si>
  <si>
    <t>Amount Per Customer</t>
  </si>
  <si>
    <t>920-932</t>
  </si>
  <si>
    <t>Sales for Resale</t>
  </si>
  <si>
    <t xml:space="preserve">       Interest Expense</t>
  </si>
  <si>
    <t>Sum Ln.1 - Ln.15</t>
  </si>
  <si>
    <t>Land Rights - Right of Way</t>
  </si>
  <si>
    <t>Total Gas Revenue Adjustment</t>
  </si>
  <si>
    <t xml:space="preserve">Right-of-Way </t>
  </si>
  <si>
    <t>Existing</t>
  </si>
  <si>
    <t>Plant CAM</t>
  </si>
  <si>
    <t>Miscellaneous Service Revenues</t>
  </si>
  <si>
    <t>(Note 3)</t>
  </si>
  <si>
    <t>CAM Accumulated</t>
  </si>
  <si>
    <t>Existing Plant</t>
  </si>
  <si>
    <t>Capitalized amount (Line 68 x Line 69)</t>
  </si>
  <si>
    <t>Cars</t>
  </si>
  <si>
    <t xml:space="preserve">Other Utility </t>
  </si>
  <si>
    <t>Land Rights (Non-Depreciable)</t>
  </si>
  <si>
    <t>(Note 4)</t>
  </si>
  <si>
    <t>Base Gas Storage</t>
  </si>
  <si>
    <t>Stmt D, Ln.19</t>
  </si>
  <si>
    <t>OTHER RATE BASE ITEMS - PRO FORMA CAPITAL ADDITIONS</t>
  </si>
  <si>
    <t>427-431</t>
  </si>
  <si>
    <t>Remove: Non-</t>
  </si>
  <si>
    <t>1 Year Depreciation Rate</t>
  </si>
  <si>
    <t>NON-REGULATED ALLOCATED ADJUSTMENT</t>
  </si>
  <si>
    <t>RESEARCH AND DEVELOPMENT ADJUSTMENT</t>
  </si>
  <si>
    <t>Amortization of Unrecovered Reserve</t>
  </si>
  <si>
    <t>Total Direct Pro Forma Plant Additions</t>
  </si>
  <si>
    <t>Total Direct Plant Addition Repair Items</t>
  </si>
  <si>
    <t>Total Direct Plant Addition Non-Repair Items</t>
  </si>
  <si>
    <t>Descripton</t>
  </si>
  <si>
    <t>Deltas</t>
  </si>
  <si>
    <t>Plant in Service Adjustments</t>
  </si>
  <si>
    <t>Total Adjustments</t>
  </si>
  <si>
    <t>Plant Additions</t>
  </si>
  <si>
    <t>Total Adjustment</t>
  </si>
  <si>
    <t>Total Accumulated Depreciation</t>
  </si>
  <si>
    <t>Reserve Adjustments (M-2)</t>
  </si>
  <si>
    <t>Reserve Adjustments (Total)</t>
  </si>
  <si>
    <t>Rounding on Stmt M</t>
  </si>
  <si>
    <t>Total Working Capital Less CWC</t>
  </si>
  <si>
    <t>Total CWC</t>
  </si>
  <si>
    <t>Schedule F-2 Pg 1</t>
  </si>
  <si>
    <t>Schedule F-2 Pg 2</t>
  </si>
  <si>
    <t>Working Capital Adjustments</t>
  </si>
  <si>
    <t>Cost of Capital</t>
  </si>
  <si>
    <t>Weighted Average Cost of Capital</t>
  </si>
  <si>
    <t>O&amp;M Expenses</t>
  </si>
  <si>
    <t>Total O&amp;M + A&amp;G</t>
  </si>
  <si>
    <t>Rounding on Stmt B</t>
  </si>
  <si>
    <t>Schedule</t>
  </si>
  <si>
    <t>Delta</t>
  </si>
  <si>
    <t>Functional subtotals</t>
  </si>
  <si>
    <t>Total Revenues</t>
  </si>
  <si>
    <t>Rounding Stmt M</t>
  </si>
  <si>
    <t>Statement I supporting Schedules</t>
  </si>
  <si>
    <t>Schedule I-2</t>
  </si>
  <si>
    <t>Total Revenue Adjustments</t>
  </si>
  <si>
    <t>Total Depreciation Expense</t>
  </si>
  <si>
    <t>Depreciation Expense (Function Class)</t>
  </si>
  <si>
    <t>Sched J-1</t>
  </si>
  <si>
    <t>not presented in Sched J-1</t>
  </si>
  <si>
    <t>Tax Calculation</t>
  </si>
  <si>
    <t>Total Tax Expense</t>
  </si>
  <si>
    <t>TOTI Adjustments</t>
  </si>
  <si>
    <t>DTA LT-DEFERRED REVENUE:</t>
  </si>
  <si>
    <t>Average Number of Customers</t>
  </si>
  <si>
    <t xml:space="preserve">(Note 1) Operations Technology Development (OTD)  membership dues are based upon the number of customers. </t>
  </si>
  <si>
    <t>Intercompany Notes Payable</t>
  </si>
  <si>
    <t>(Note 5)</t>
  </si>
  <si>
    <t>Field Compressor Station Fuel and Power</t>
  </si>
  <si>
    <t>Gas Well Royalties</t>
  </si>
  <si>
    <t>Ln.29 + Ln.31</t>
  </si>
  <si>
    <t>Retiree Healthcare Net Periodic Expense and Administrative Costs</t>
  </si>
  <si>
    <t>Pension Plan  Net Periodic Expense and Administrative Costs</t>
  </si>
  <si>
    <t>Stmt K</t>
  </si>
  <si>
    <t>Stmt H Ln. 123 (a)</t>
  </si>
  <si>
    <t>(Note 1) Composite depreciation rates as recommended in the depreciation study by Gannett Fleming, as found on Schedule J-1.</t>
  </si>
  <si>
    <t>Stmt M, Line 9 Column c</t>
  </si>
  <si>
    <t>(Note 1) The adjustment is based on a thirteen month average. See Schedule F-1 for details.</t>
  </si>
  <si>
    <t xml:space="preserve">(Note 2)  Reference Schedule F-2 pg 2 which utilizes the lead lag results including adjustments to Pro Forma Period amounts. </t>
  </si>
  <si>
    <t>Maintenance of Mains</t>
  </si>
  <si>
    <t>Dist. Maint. Supervision &amp; Engineering</t>
  </si>
  <si>
    <t xml:space="preserve">Storage - Measuring &amp; Regulating Station Expense </t>
  </si>
  <si>
    <t>Informational/Instructional Advertising Expense</t>
  </si>
  <si>
    <t>Miscellaneous Cust Serv &amp; Inform Expense</t>
  </si>
  <si>
    <t>Gas Wells Expense</t>
  </si>
  <si>
    <t>Field Line Expense</t>
  </si>
  <si>
    <t>Field Compressor Station Expense</t>
  </si>
  <si>
    <t>Field Measuring &amp; Regulating Station Expense</t>
  </si>
  <si>
    <t>Measuring &amp; Regulating Station Expense</t>
  </si>
  <si>
    <t>Dist. Mains &amp; Services Expense</t>
  </si>
  <si>
    <t>Dist. Measuring &amp; Regulating Station Expense - General</t>
  </si>
  <si>
    <t>Dist. Measuring &amp; Regulating Station Expense - Industrial</t>
  </si>
  <si>
    <t>Dist. Meter &amp; House Regulator Expense</t>
  </si>
  <si>
    <t>Dist. Customer Installation Expense</t>
  </si>
  <si>
    <t>Meter Reading Expense</t>
  </si>
  <si>
    <t>Customer Record &amp; Collection Expense</t>
  </si>
  <si>
    <t>Miscellaneous Customer Accounts Expense</t>
  </si>
  <si>
    <t>Customer Assistance Expense</t>
  </si>
  <si>
    <t>Demonstrating and Selling  Expense</t>
  </si>
  <si>
    <t>Administrative Expense Transferred-Cr</t>
  </si>
  <si>
    <t>Miscellaneous General Expense</t>
  </si>
  <si>
    <t>Communication System Expense</t>
  </si>
  <si>
    <t>Informational/Instructional Advertising Exp.</t>
  </si>
  <si>
    <t>Accumulated Deferred Income Tax (ADIT)</t>
  </si>
  <si>
    <t>Ln. 24 + Ln. 25 + Ln. 26</t>
  </si>
  <si>
    <t>Maintenance of Measuring &amp; Regulating Station - City Gate Check Stn.</t>
  </si>
  <si>
    <t>13-Month Average</t>
  </si>
  <si>
    <t>Industrial Measuring &amp; Regulating Station Equipment</t>
  </si>
  <si>
    <t>Measuring &amp; Regulating Station Equip.- City Gate Check Stn.</t>
  </si>
  <si>
    <t>Fed Rate</t>
  </si>
  <si>
    <t>(Sum of Lines 3 thru 8)</t>
  </si>
  <si>
    <t>Stmt N-X</t>
  </si>
  <si>
    <t xml:space="preserve">Accumulated </t>
  </si>
  <si>
    <t>Depreciation Plant</t>
  </si>
  <si>
    <t>Addition Adjustments (M-2)</t>
  </si>
  <si>
    <t>Roll Forward</t>
  </si>
  <si>
    <t>BLACK HILLS NEBRASKA GAS, LLC</t>
  </si>
  <si>
    <t>STRATE</t>
  </si>
  <si>
    <t>MCC-2</t>
  </si>
  <si>
    <t>Nebraska Gas</t>
  </si>
  <si>
    <t>NEG</t>
  </si>
  <si>
    <t>MCC-3</t>
  </si>
  <si>
    <t>Nebraska Gas Distribution</t>
  </si>
  <si>
    <t>NEGD</t>
  </si>
  <si>
    <t>B+C</t>
  </si>
  <si>
    <t>MCC-1</t>
  </si>
  <si>
    <t>Nebraska Gas LLC</t>
  </si>
  <si>
    <t>NEG LLC</t>
  </si>
  <si>
    <t>Calendar Year 2019 Net Write-Offs</t>
  </si>
  <si>
    <t>Average Billed Revenue (2017 - 2019)</t>
  </si>
  <si>
    <t>NE GAS LLC</t>
  </si>
  <si>
    <t xml:space="preserve">NEG (Stmt B) </t>
  </si>
  <si>
    <t xml:space="preserve">NEGD (Stmt B) </t>
  </si>
  <si>
    <t>check figure</t>
  </si>
  <si>
    <t xml:space="preserve">(Note 1) Revenue credit associated with the non-regulated use of Nebraska Gas, LLC assets. </t>
  </si>
  <si>
    <t>2019 Gross Plant
Ending Balance</t>
  </si>
  <si>
    <t>Formulas need to be replaced in cells:</t>
  </si>
  <si>
    <t>(CIRCULAR REFERENCE REPAIR)</t>
  </si>
  <si>
    <t>(o)</t>
  </si>
  <si>
    <t>For the Test Year Ending December 31, 2020</t>
  </si>
  <si>
    <t>FOR THE TEST YEAR ENDING DECEMBER 31, 2020</t>
  </si>
  <si>
    <t>AS OF DECEMBER 31, 2018 (BEGINNING OF BASE YEAR)</t>
  </si>
  <si>
    <t>Preferred Stock</t>
  </si>
  <si>
    <t>Per Book Base Year as of December 31, 2018:</t>
  </si>
  <si>
    <t>December 31, 2018
Ending Balance</t>
  </si>
  <si>
    <t>The goodwill associated with the acquisition of SourceGas has not at any time been allocated to BHGD-NE.</t>
  </si>
  <si>
    <t xml:space="preserve">It is entirely allocated to Black Hills Service Company ("BHSC") as is reflected on BHSC's books. </t>
  </si>
  <si>
    <t>Gas Plant in Service - ARO</t>
  </si>
  <si>
    <t>Gas Leased Assets</t>
  </si>
  <si>
    <t>Accum. Prov. For Gas Leased Assets</t>
  </si>
  <si>
    <t>Accum. Prov. For Amortization</t>
  </si>
  <si>
    <t>Accum. Prov. For Amort. Of Acq Adj</t>
  </si>
  <si>
    <t>154-163</t>
  </si>
  <si>
    <t>Accum. Other Comprehensive Income</t>
  </si>
  <si>
    <t>Miscellaneous Paid in Capital</t>
  </si>
  <si>
    <t>Unamort Discount on LTD</t>
  </si>
  <si>
    <t>Operating Lease Obligation</t>
  </si>
  <si>
    <t>Interest Accrued</t>
  </si>
  <si>
    <t>Operating Lease Obligation - ST</t>
  </si>
  <si>
    <t>Duplicate Charges - Credit</t>
  </si>
  <si>
    <t>12/31/2018 Balances</t>
  </si>
  <si>
    <t>(Sched. D-3)</t>
  </si>
  <si>
    <t>Retirements</t>
  </si>
  <si>
    <t>DT1050 - OTHER:</t>
  </si>
  <si>
    <t>DT1500 - STATE INC TAX INCL:</t>
  </si>
  <si>
    <t>DT2092 - FAS 109 OTHER:</t>
  </si>
  <si>
    <t>DT3020 - STATE NOL:</t>
  </si>
  <si>
    <t>DT3076 - LINE EXTENSION DEP GAS:</t>
  </si>
  <si>
    <t>DT3090 - PENSION FAS 87</t>
  </si>
  <si>
    <t>DT4120 - PENSION FAS 158 LIAB:</t>
  </si>
  <si>
    <t>DT4125 - RET HLTH FAS158 LIAB:</t>
  </si>
  <si>
    <t>DT4130 - FAS 106 RETIREE LIAB:</t>
  </si>
  <si>
    <t>DT4132 - UNIFORM CAP ADJUSTMENT:</t>
  </si>
  <si>
    <t>DT4165 - NOL CARRYFORWARD:</t>
  </si>
  <si>
    <t>DT4415 - ALT FUEL VEHICLE CREDIT</t>
  </si>
  <si>
    <t>DT4430 - R&amp;D CREDIT</t>
  </si>
  <si>
    <t>DT4466 - PUC FEES:</t>
  </si>
  <si>
    <t>Regulatory Liabilities for Excess Deferred Income Taxes ("EDFIT")</t>
  </si>
  <si>
    <t>Protected Property - (EDFIT)</t>
  </si>
  <si>
    <t>Protected NOL - Deficient Deferred Federal Income Taxes ("DDFIT")</t>
  </si>
  <si>
    <t>Non-Protected Non-Property - (EDFIT)/DDFIT</t>
  </si>
  <si>
    <t>Regulatory Liability for non-refunded ARAM</t>
  </si>
  <si>
    <t>Total Regulatory Liabilities for (EDFIT)</t>
  </si>
  <si>
    <t>DT2014 - REG RETIREE HEALTHCARE ASSET:</t>
  </si>
  <si>
    <t>DT3018 - FED EFF OF STATE NOL:</t>
  </si>
  <si>
    <t>DT3090 - PENSION FAS 87:</t>
  </si>
  <si>
    <t>DT4040 - PREPAID EXPENSES:</t>
  </si>
  <si>
    <t>DT4100a - GAIN DEFERRAL</t>
  </si>
  <si>
    <t>DT4150 - LT RATE CASE ASSET:</t>
  </si>
  <si>
    <t>DT4155 - REG PSC PENSION ASSET:</t>
  </si>
  <si>
    <t>DT4201 - REG OTHER ASSET</t>
  </si>
  <si>
    <t>DT4265 - REG ASSET ARO LIAB</t>
  </si>
  <si>
    <t>DT1500 - STATE INC TAX INCL</t>
  </si>
  <si>
    <t>OTHER UTILITY PLANT DIT and EDFIT</t>
  </si>
  <si>
    <t>Property Taxes</t>
  </si>
  <si>
    <t>Property Tax Adjustment</t>
  </si>
  <si>
    <t>Property to Gross Plant Factor</t>
  </si>
  <si>
    <t xml:space="preserve">Meals </t>
  </si>
  <si>
    <t>DTA LT - OPERATING LEASE:</t>
  </si>
  <si>
    <t>DTA LT - LIABILITY FED NON-RATE BASE:</t>
  </si>
  <si>
    <t>DTA LT - LIABILITY FED PROPERTY:</t>
  </si>
  <si>
    <t>DTL LT-OPERATING LEASE:</t>
  </si>
  <si>
    <t>DTL LT - PGA ASSET:</t>
  </si>
  <si>
    <t>Adjusted Balances (column (c))</t>
  </si>
  <si>
    <t>12/31/18 Balances (column (a))</t>
  </si>
  <si>
    <t>Schedule D-3</t>
  </si>
  <si>
    <t>Sum (Ln1:Ln15)</t>
  </si>
  <si>
    <t>Ln 17</t>
  </si>
  <si>
    <t>(b) + (c)</t>
  </si>
  <si>
    <t>= (k) x (l)</t>
  </si>
  <si>
    <t>(Gain)/Loss on Reacquired Debt</t>
  </si>
  <si>
    <t>BHC $300M Notes Due 2026</t>
  </si>
  <si>
    <t>BHC $400M Notes Dues 2033</t>
  </si>
  <si>
    <t>BHC $300M Notes Due 2046</t>
  </si>
  <si>
    <t>BHC $400M Notes Due 2027</t>
  </si>
  <si>
    <t>BHC $525M Notes Due 2023</t>
  </si>
  <si>
    <t>BHC $400M Notes Due 2029</t>
  </si>
  <si>
    <t>BHC $300M Notes Due 2049</t>
  </si>
  <si>
    <t>Base Year</t>
  </si>
  <si>
    <t>Per Book (Base Year) - column (a)</t>
  </si>
  <si>
    <t>Pro Forma (Note 1)</t>
  </si>
  <si>
    <t>JURISDICTIONAL REVENUE REQUIREMENT</t>
  </si>
  <si>
    <t>Jurisdictional %</t>
  </si>
  <si>
    <t>Jurisdictional $</t>
  </si>
  <si>
    <t>Check figures</t>
  </si>
  <si>
    <t>Page 1</t>
  </si>
  <si>
    <t>Page 2</t>
  </si>
  <si>
    <t>Jurisdictional</t>
  </si>
  <si>
    <t xml:space="preserve">Jurisdictional Base Year </t>
  </si>
  <si>
    <t>Total Sales - Non Jurisdictional</t>
  </si>
  <si>
    <t>Total Sales - Jurisdictional</t>
  </si>
  <si>
    <t>Sales of Gas - Jurisdictional</t>
  </si>
  <si>
    <t>Provision for Rate Refunds - Jurisdictional</t>
  </si>
  <si>
    <t>Base Revenues - Jurisdictional</t>
  </si>
  <si>
    <t>Total Base Revenues - Jurisdictional</t>
  </si>
  <si>
    <t>Base Revenues - Non-Jurisdictional</t>
  </si>
  <si>
    <t>Sales of Gas - Non-Jurisdictional</t>
  </si>
  <si>
    <t>Provision for Rate Refunds - Non-Jurisdictional</t>
  </si>
  <si>
    <t>Ln.13 - Ln.15</t>
  </si>
  <si>
    <t>Ln.17 ÷ Ln.27</t>
  </si>
  <si>
    <t>Stmt H Ln.164</t>
  </si>
  <si>
    <t>Ln.5 - Ln.11</t>
  </si>
  <si>
    <t>(e) = (a) * (d)</t>
  </si>
  <si>
    <t>Below The Line Vehicle loading Capitalization rate</t>
  </si>
  <si>
    <t>(f) = (c) * (d)</t>
  </si>
  <si>
    <t>Sales of Gas - Unbilled</t>
  </si>
  <si>
    <t>Transportation Revenue - Unbilled</t>
  </si>
  <si>
    <t>Billed Revenue - Calendar Year 2017</t>
  </si>
  <si>
    <t>Billed Revenue - Calendar Year 2018</t>
  </si>
  <si>
    <t>Billed Revenue - Calendar Year 2019</t>
  </si>
  <si>
    <t>Ln.6 / Ln.12</t>
  </si>
  <si>
    <t>Oper./Inspect Underground Dist. Mains - Gas</t>
  </si>
  <si>
    <t>Oper./Inspect Meters &amp; Collect Data - Gas</t>
  </si>
  <si>
    <t>Dist. Ops. Other Expenses</t>
  </si>
  <si>
    <t>Dist. Oper. Rents</t>
  </si>
  <si>
    <t>Perf. Underground Distribution Line Maintenance - Gas</t>
  </si>
  <si>
    <t>2020 CAM Factors</t>
  </si>
  <si>
    <t>Merit Adjustment</t>
  </si>
  <si>
    <t>Headcount Adjustment</t>
  </si>
  <si>
    <t>Trans Credit</t>
  </si>
  <si>
    <t>Facilities</t>
  </si>
  <si>
    <t>Adjustments: (b) CAM Factors</t>
  </si>
  <si>
    <t>Adjustments: (c) 2020 CapEx</t>
  </si>
  <si>
    <t>Adjustments: (d) Merit</t>
  </si>
  <si>
    <t>Adjustments: (e) Headcount</t>
  </si>
  <si>
    <t>Sales of Gas - PGA</t>
  </si>
  <si>
    <t>FOR THE BASE YEAR ENDED DECEMBER 31, 2019</t>
  </si>
  <si>
    <t>Per Book Base Year as of December 31, 2019:</t>
  </si>
  <si>
    <t>Total Non-Regulated Use of Assets 12/31/19</t>
  </si>
  <si>
    <t>December 31, 2019
Ending Balance</t>
  </si>
  <si>
    <t>Direct Roll Forward to 12/31/20     (Note 1)</t>
  </si>
  <si>
    <t>(Note 1) Provides the direct accumulated deferred income tax adjustment for Sched. M-1, associated with the roll forward of the direct accumulated reserve balance (Stmt E) as of 12/31/2019 to 12/31/2020 reflecting the full rate base impact.</t>
  </si>
  <si>
    <t>Shared Service Roll Forward to 12/31/20    (Note 2)</t>
  </si>
  <si>
    <t xml:space="preserve">(Note 2) Provides the shared service accumulated deferred income tax adjustment for Sched. M-1, associated with the roll forward of shared service accumulated reserve balance (Stmt E) as of 12/31/2019 to 12/31/2020 reflecting the full rate base impact. </t>
  </si>
  <si>
    <t>12/31/2019 - Base Year End Balances</t>
  </si>
  <si>
    <t>Table of Contents</t>
  </si>
  <si>
    <t>      </t>
  </si>
  <si>
    <t>Balance Sheet</t>
  </si>
  <si>
    <t>Income Statement</t>
  </si>
  <si>
    <t>Statement of Retained Earnings</t>
  </si>
  <si>
    <t>Accumulated Provision for Depreciation</t>
  </si>
  <si>
    <t>Operating and Maintenance Expenses</t>
  </si>
  <si>
    <t>Computation of Federal Income Tax</t>
  </si>
  <si>
    <t>Overall Revenue Requirement</t>
  </si>
  <si>
    <t>Calculation of the Revenue Deficiency</t>
  </si>
  <si>
    <t>Total Base Revenues - Non-Jurisdictional</t>
  </si>
  <si>
    <t>Ln.5- Ln.11</t>
  </si>
  <si>
    <t>Stmt M, Line 10 Column c</t>
  </si>
  <si>
    <t>Check Figure</t>
  </si>
  <si>
    <t>Check Fig</t>
  </si>
  <si>
    <t>Land Rights - Right of Way (Depreciable)</t>
  </si>
  <si>
    <t>check</t>
  </si>
  <si>
    <t>Stmt. M Ln. 13</t>
  </si>
  <si>
    <t>Per Books --------------------------------------------------------------------/</t>
  </si>
  <si>
    <t>DT4110 - OTHER REG LIAB:</t>
  </si>
  <si>
    <t>12/31/19 Balances (column (b))</t>
  </si>
  <si>
    <t>Stmt M Ln.27</t>
  </si>
  <si>
    <t>Note 1 (Flooding)-----------------------/</t>
  </si>
  <si>
    <t>Note 2 (Knife River)-------------------/</t>
  </si>
  <si>
    <t>Subtotal Base Revenues - Jurisdictional &amp; Non-Jurisdictional</t>
  </si>
  <si>
    <t>check figures</t>
  </si>
  <si>
    <t>Discontinued</t>
  </si>
  <si>
    <t xml:space="preserve">(Note 1) Subsequent additions references Schedule D-1, which includes property additions and adjustments for the Pro Forma Period. </t>
  </si>
  <si>
    <t>= (h)+(i)+(j)</t>
  </si>
  <si>
    <t xml:space="preserve">Tax Multiplier (1/(1-.2717)  </t>
  </si>
  <si>
    <t>&lt;check figure (s/b zero)</t>
  </si>
  <si>
    <t>O&amp;M amount (Line 68 - Line 70)</t>
  </si>
  <si>
    <t xml:space="preserve">Amortization Period </t>
  </si>
  <si>
    <t>Annual Amortization Amount</t>
  </si>
  <si>
    <t>FERC Description</t>
  </si>
  <si>
    <t>Application No. NG-0084</t>
  </si>
  <si>
    <t>4 Years</t>
  </si>
  <si>
    <t>Ln.1 ÷ Ln.3</t>
  </si>
  <si>
    <t>(Note 1) The acquisition severance adjustment stems from the 2016 acquisition of SourceGas, as discussed in the testimony of Michael Clevinger.</t>
  </si>
  <si>
    <t>(g) - ((a)-(d))</t>
  </si>
  <si>
    <t>&lt;BHSC additions</t>
  </si>
  <si>
    <t>Sum Ln.7 through Ln.14</t>
  </si>
  <si>
    <t>Allocation Method &amp; Allocation %</t>
  </si>
  <si>
    <t>% Applied</t>
  </si>
  <si>
    <t>Meter Reading</t>
  </si>
  <si>
    <t>Customer Records and Collection Expense</t>
  </si>
  <si>
    <t>Informational/Instruc Advertising Exp.</t>
  </si>
  <si>
    <t>Misc Cust Serv &amp; Inform Exp.</t>
  </si>
  <si>
    <t>Demonstrating and Selling Expenses</t>
  </si>
  <si>
    <t>Employee Pensions &amp; Benefits</t>
  </si>
  <si>
    <t>General Advertising Expenses</t>
  </si>
  <si>
    <t xml:space="preserve">  Property  Tax Working Capital</t>
  </si>
  <si>
    <t>Intangibles Miscellaneous - Easements</t>
  </si>
  <si>
    <t>Structures and Improvements - Other</t>
  </si>
  <si>
    <t>Meters</t>
  </si>
  <si>
    <t>Distribution Plant - House Regulators - Farm Taps</t>
  </si>
  <si>
    <t>Leasehold Improvements</t>
  </si>
  <si>
    <t xml:space="preserve">Power Operated Equipment </t>
  </si>
  <si>
    <t>Sched D-1 Ln.13</t>
  </si>
  <si>
    <t>Sched D-1 Ln.33</t>
  </si>
  <si>
    <t>Sched D-1 Ln.59</t>
  </si>
  <si>
    <t>Sched. J-1 Ln. 6 (e)</t>
  </si>
  <si>
    <t>IT Initiatives</t>
  </si>
  <si>
    <t>FERC Software Adjustment</t>
  </si>
  <si>
    <t>Adjustments: (f) IT Initiatives</t>
  </si>
  <si>
    <t>Adjustments: (g) Trans Credit</t>
  </si>
  <si>
    <t>Adjustments: (h) FERC Software Adjustment</t>
  </si>
  <si>
    <t>Adjustments: (i) Facilities</t>
  </si>
  <si>
    <t>Check:</t>
  </si>
  <si>
    <t>3 Year Average (2018-2020) - column (b)</t>
  </si>
  <si>
    <t>(2018-2020) Average</t>
  </si>
  <si>
    <t>(Note 1) The three year average is comprised of actual expenses for 2018 &amp; 2019 as well as the forecasted expense for 2020 as provided by our actuaries.</t>
  </si>
  <si>
    <t>Real estate retirements</t>
  </si>
  <si>
    <t>ADIT (Tax Figures at 12/31/19 - multiply by non-reg alloc % in V)</t>
  </si>
  <si>
    <t>Schedule E-1</t>
  </si>
  <si>
    <t>2020 Adjustment to</t>
  </si>
  <si>
    <t>2020 Depreciation</t>
  </si>
  <si>
    <t>Accumulated Depr</t>
  </si>
  <si>
    <t>Existing Rates</t>
  </si>
  <si>
    <t>New Rates</t>
  </si>
  <si>
    <t>Right-of-Way (Depreciable)</t>
  </si>
  <si>
    <t xml:space="preserve">Meters </t>
  </si>
  <si>
    <t>Land Rights - Right of Way (Non-Depreciable)</t>
  </si>
  <si>
    <t>var</t>
  </si>
  <si>
    <t>(Note 1) This schedule reflects expenses charged to Operations &amp; Maintenance for flooding cleanup, which are removed to reflect a normal base year.</t>
  </si>
  <si>
    <t>(Note 3) This schedule reflects expenses charged to Operations &amp; Maintenance for odorant disposal, which are removed to reflect a normal base year.</t>
  </si>
  <si>
    <t>(Note 4) This schedule reflects expenses charged to Operations &amp; Maintenance for office moves, which are removed to reflect a normal base year.</t>
  </si>
  <si>
    <t>(Note 5) This schedule reflects expenses charged to Operations &amp; Maintenance for painting town border stations, which are removed to reflect a normal base year.</t>
  </si>
  <si>
    <t>Note 4 (Office Moves)----------------/</t>
  </si>
  <si>
    <t>Note 3 (Odorant Disposal)-----------/</t>
  </si>
  <si>
    <t>Note 5 (TBS Painting)-----------------/</t>
  </si>
  <si>
    <t>(Note 6)</t>
  </si>
  <si>
    <t>Depr Expense Jan - Feb (2mos)</t>
  </si>
  <si>
    <t>Depr Expense Mar - Dec (10mos)</t>
  </si>
  <si>
    <t>Existing Depr Rates (Jan - Feb 2020)</t>
  </si>
  <si>
    <t>Future Depr Rates (Mar - Dec 2020)</t>
  </si>
  <si>
    <t>Base Year Expense</t>
  </si>
  <si>
    <t>Total Expense Adjustment</t>
  </si>
  <si>
    <t>Expense Removed - Advertising</t>
  </si>
  <si>
    <t>Expense Removed - Dues</t>
  </si>
  <si>
    <t>Expense Removed - Charitable</t>
  </si>
  <si>
    <t>Expense Removed - Rebates &amp; Promos</t>
  </si>
  <si>
    <t>Expense Removed - Sponsorship</t>
  </si>
  <si>
    <t>Retirements (D-3)</t>
  </si>
  <si>
    <t>OTHER UTILITY PLANT (less Vehicles)</t>
  </si>
  <si>
    <t>Total Other Utility Plant (less Vehicles)</t>
  </si>
  <si>
    <t>OTHER UTILITY PLANT (Vehicles)</t>
  </si>
  <si>
    <t>Total Other Utility Plant (Vehicles)</t>
  </si>
  <si>
    <t>12/31/2019 - Vehicles in 118 Other Utility Plant</t>
  </si>
  <si>
    <t>Other Utility Plant-BHSC  (less Vehicles)</t>
  </si>
  <si>
    <t>2019 Depreciation Exp</t>
  </si>
  <si>
    <t>880</t>
  </si>
  <si>
    <t>Debt Allocated to Black Hills Nebraska Gas</t>
  </si>
  <si>
    <t>Weighted Average Cost of BHC Debt</t>
  </si>
  <si>
    <t>Sched. G-1 Ln 58</t>
  </si>
  <si>
    <t>PSC order related to the early termination and settlement of a gas supply contract (the Noble contract).</t>
  </si>
  <si>
    <t>Proceeds from this term loan were used to finance the early termination of the gas supply contract,</t>
  </si>
  <si>
    <t>resulting in a regulatory asset.  This term loan is excluded from capital structures or cost of debt calculations.</t>
  </si>
  <si>
    <t>Other Utility Plant (Corporate Shared Assets - Note 1a)</t>
  </si>
  <si>
    <t xml:space="preserve">(Note 1a) Figure represents Other Utility Plant, Corporate Shared Assets allocated on customer count of all regulated utilities per CAM.  </t>
  </si>
  <si>
    <t>Other Utility Plant (Corporate Shared Assets - Note 1b)</t>
  </si>
  <si>
    <t xml:space="preserve">(Note 1b) Figure represents Other Utility Plant, Corporate Shared Assets allocated on customer count of all regulated gas utilities per CAM.  </t>
  </si>
  <si>
    <t>Other Utility Plant (Corporate Shared Assets - Note 2a)</t>
  </si>
  <si>
    <t xml:space="preserve">(Note 2a) Figure represents Other Utility Plant, Corporate Shared Assets allocated on the blended ratio to all entities per CAM.  </t>
  </si>
  <si>
    <t>Other Utility Plant (Corporate Shared Assets - Note 2b)</t>
  </si>
  <si>
    <t xml:space="preserve">(Note 2b) Figure represents Other Utility Plant, Corporate Shared Assets allocated on the blended ratio to all regulated utilities per CAM.  </t>
  </si>
  <si>
    <t>Other Utility Plant (Corporate Shared Assets - Note 2c)</t>
  </si>
  <si>
    <t xml:space="preserve">(Note 2c) Figure represents Other Utility Plant, Corporate Shared Assets allocated on the blended ratio to all regulated gas utilities per CAM.  </t>
  </si>
  <si>
    <t>(Note 3) Adjustment to include BHSC plant assets that will be allocated to Black Hills Nebraska Gas, LLC. As discussed in the Direct Testimony of Michael Clevinger.</t>
  </si>
  <si>
    <t>(Note 4) Adjustment to remove the accumulated depreciation associated to the assets removed on Schedule D-3.</t>
  </si>
  <si>
    <t xml:space="preserve">(Note 5) Adjustment to remove the accumulated depreciation on Gathering and Processing, which has no related assets.  </t>
  </si>
  <si>
    <t>Gathering and Processing (Note 5)</t>
  </si>
  <si>
    <t>(Note 4) Annual depreciation expense related to pro forma capital additions and adjustments.</t>
  </si>
  <si>
    <t>(Note 3) Composite depreciation rates as recommended in the depreciation study by Gannett Fleming, as found on Schedule J-1.</t>
  </si>
  <si>
    <t>1 Year Depreciation Rate (Note 3)</t>
  </si>
  <si>
    <t>Other Utility Plant (Corporate Shared Assets - Allocated on Customer Count)</t>
  </si>
  <si>
    <t>Other Utility Plant (Corporate Shared Assets - Allocated on Blended Ratio)</t>
  </si>
  <si>
    <t>Agriculture</t>
  </si>
  <si>
    <t>LINE LOCATE ADJUSTMENT</t>
  </si>
  <si>
    <t>874</t>
  </si>
  <si>
    <t>External Locates Moving to Internal</t>
  </si>
  <si>
    <t>External Locates Price Increase</t>
  </si>
  <si>
    <t>External LL to Internal</t>
  </si>
  <si>
    <t>External Price Incr</t>
  </si>
  <si>
    <t>Test Year Expense</t>
  </si>
  <si>
    <t>(Note 1) Reduction in expense due to line locates in Columbus, Norfolk, and York performed by employees instead of external contractor.</t>
  </si>
  <si>
    <t>903</t>
  </si>
  <si>
    <t>870</t>
  </si>
  <si>
    <t>861</t>
  </si>
  <si>
    <t>850</t>
  </si>
  <si>
    <t>908</t>
  </si>
  <si>
    <t>893</t>
  </si>
  <si>
    <t>Customer</t>
  </si>
  <si>
    <t>Total Sales &amp; Use Tax adjustment</t>
  </si>
  <si>
    <t>NE Advantage Act tax reduction in base period</t>
  </si>
  <si>
    <t>Current Income Taxes-Federal and State</t>
  </si>
  <si>
    <t>(Note 1): The 114 account contains the acquisition adjustment for Black Hills Nebraska Gas Utility.</t>
  </si>
  <si>
    <t>PLANT IN SERVICE SUMMARY</t>
  </si>
  <si>
    <t>PLANT IN SERVICE ADJUSTMENTS DETAIL</t>
  </si>
  <si>
    <t>PLANNED PLANT ADDITIONS FROM JANUARY 1, 2020 TO DECEMBER 31, 2020</t>
  </si>
  <si>
    <t>PLANNED PLANT RETIREMENTS FROM JANUARY 1, 2020 TO DECEMBER 31, 2020</t>
  </si>
  <si>
    <t>ACCUMULATED PROVISION FOR DEPRECIATION ROLL FORWARD TO DECEMBER 31, 2020</t>
  </si>
  <si>
    <t>(Note 2) Increase in expense due to price increase from external contractor for the Lincoln service area.</t>
  </si>
  <si>
    <t xml:space="preserve">Accounts Recovered </t>
  </si>
  <si>
    <t>Through the PGA</t>
  </si>
  <si>
    <t>(Note 2) This schedule reflects expenses charged to Operations &amp; Maintenance for a construction damages, which are removed to reflect a normal base year.</t>
  </si>
  <si>
    <t>REMOVAL OF EXPENSES NOT APPROPRIATE FOR RECOVERY</t>
  </si>
  <si>
    <t>Gas Purchases - PGA - NEG</t>
  </si>
  <si>
    <t>Gas Purchases (ChoiceGas Supplier Payments) - NEGD</t>
  </si>
  <si>
    <t>Stmt G Ln.9</t>
  </si>
  <si>
    <t>Change in Equity in calendar 2020</t>
  </si>
  <si>
    <t>Balance as of December 31, 2019</t>
  </si>
  <si>
    <t>CAM Change</t>
  </si>
  <si>
    <t>CAM changes on Corp Shared Assets</t>
  </si>
  <si>
    <t>Fleet Depreciation Expense adjustment from Statement J (Line 22 &amp; 23)</t>
  </si>
  <si>
    <t xml:space="preserve">  Total Revenue Under Existing Rates</t>
  </si>
  <si>
    <t>(Note 2): Includes $1,234,246 allocated from a corporate term loan due 2021, issued in accordance with a</t>
  </si>
  <si>
    <t>101; 108; 121-122</t>
  </si>
  <si>
    <t>check figures (A vs D-1)</t>
  </si>
  <si>
    <t>check figures (A vs E)</t>
  </si>
  <si>
    <t>Other Utility Plant (Allocated on Customer Count)</t>
  </si>
  <si>
    <t>Other Utility Plant (Allocated on Blended Ratio)</t>
  </si>
  <si>
    <t>Allocated on Customer Count</t>
  </si>
  <si>
    <t>Allocated on Blended Ratio</t>
  </si>
  <si>
    <t>Other Utility Plant (Model Line 16)</t>
  </si>
  <si>
    <t xml:space="preserve">Rate of Return </t>
  </si>
  <si>
    <t>Common Equity (Note 1)</t>
  </si>
  <si>
    <t>480-482, 489</t>
  </si>
  <si>
    <t>Sales of Gas</t>
  </si>
  <si>
    <t>Class</t>
  </si>
  <si>
    <t>Note 1</t>
  </si>
  <si>
    <t>Stmt G, Line 19 Column c</t>
  </si>
  <si>
    <t>Stmt M, Line 27 Column c</t>
  </si>
  <si>
    <t>Stmt M, Line 15 Column c</t>
  </si>
  <si>
    <t>Stmt M, Ln.2 Col. c + Stmt M, Ln.3 Col. c</t>
  </si>
  <si>
    <t>Stmt N, Line 342 Column c</t>
  </si>
  <si>
    <t>(Line 10 - Line 12 - Line 13)</t>
  </si>
  <si>
    <t>Revenue Under Existing Base Rates</t>
  </si>
  <si>
    <t>Stmt I Ln.6</t>
  </si>
  <si>
    <t>Stmt I Ln.13</t>
  </si>
  <si>
    <t>Stmt I Ln.23</t>
  </si>
  <si>
    <t>Stmt J Ln.20(b)</t>
  </si>
  <si>
    <t>Stmt K Ln.70</t>
  </si>
  <si>
    <t>Stmt E, Ln.21</t>
  </si>
  <si>
    <t>Sched M-1 Ln.74</t>
  </si>
  <si>
    <t>Stmt N Ln. 61</t>
  </si>
  <si>
    <t>Stmt N Ln. 72</t>
  </si>
  <si>
    <t>Sect III: 004.04A</t>
  </si>
  <si>
    <t>Sect III: 004.04B, C, D, E</t>
  </si>
  <si>
    <t>Sect IV: 004.05A, B</t>
  </si>
  <si>
    <t>Sect IV: 004.03A</t>
  </si>
  <si>
    <t>Sect II: 004.03A</t>
  </si>
  <si>
    <t>Sect II: 004.03A3</t>
  </si>
  <si>
    <t>Sect II: 004.03A2</t>
  </si>
  <si>
    <t>Sect II: 004.03A1, B</t>
  </si>
  <si>
    <t>Sect II: 004.03A3, B</t>
  </si>
  <si>
    <t>Accum. Prov. For Depreciation - RWIP</t>
  </si>
  <si>
    <t xml:space="preserve">  Accumulated Deferred Income Taxes</t>
  </si>
  <si>
    <t xml:space="preserve">  Excess/Deficient Deferred Income Taxes (Jurisdictional Only)</t>
  </si>
  <si>
    <t>Retirements by 12/31/2020</t>
  </si>
  <si>
    <t>12/31/19 Accumulated Depreciation ------------------------/</t>
  </si>
  <si>
    <t>12/31/18 Accumulated Depreciation -----------------------/</t>
  </si>
  <si>
    <t>Vehicles</t>
  </si>
  <si>
    <t>Base</t>
  </si>
  <si>
    <t>403, 408.2, 409.2, 415-426</t>
  </si>
  <si>
    <t>Miscellaneous Other Taxes</t>
  </si>
  <si>
    <t>Page 1 of 1</t>
  </si>
  <si>
    <t>A</t>
  </si>
  <si>
    <t>D</t>
  </si>
  <si>
    <t>E</t>
  </si>
  <si>
    <t>F</t>
  </si>
  <si>
    <t>G</t>
  </si>
  <si>
    <t>H</t>
  </si>
  <si>
    <t>Total State</t>
  </si>
  <si>
    <t>Non-Jurisdictional</t>
  </si>
  <si>
    <t>Juris</t>
  </si>
  <si>
    <t>Non-Juris</t>
  </si>
  <si>
    <t>1. Base Rate Revenue</t>
  </si>
  <si>
    <t>Base Year Revenue - $</t>
  </si>
  <si>
    <t>Customer Revenue Adjustments - $</t>
  </si>
  <si>
    <t>Customer Class Realignment - $</t>
  </si>
  <si>
    <t>Adjusted Revenue - $</t>
  </si>
  <si>
    <t xml:space="preserve">Weather Normalization - $ </t>
  </si>
  <si>
    <t>Growth - $</t>
  </si>
  <si>
    <t>Pipeline Replacement Adjustment - $</t>
  </si>
  <si>
    <t>2020 Safety and Integrity (SSIR) Adjustment - $</t>
  </si>
  <si>
    <t>Fuel Line Replacement Adjustment - $</t>
  </si>
  <si>
    <t>Agricultural Adjustment - $</t>
  </si>
  <si>
    <t>Total Adjusted Revenue - $</t>
  </si>
  <si>
    <t>Model Inputs to I:</t>
  </si>
  <si>
    <t>Stmt N Ln. 292</t>
  </si>
  <si>
    <t>Stmt N Ln. 289</t>
  </si>
  <si>
    <t>Stmt N Ln. 260</t>
  </si>
  <si>
    <t>Stmt N Ln. 270</t>
  </si>
  <si>
    <t>Stmt N Ln. 279</t>
  </si>
  <si>
    <t>Stmt N Ln. 302</t>
  </si>
  <si>
    <t>Stmt N Ln. 82</t>
  </si>
  <si>
    <t>Stmt N Ln. 89</t>
  </si>
  <si>
    <t>Stmt F Ln.7</t>
  </si>
  <si>
    <t>BH Gas Utility</t>
  </si>
  <si>
    <t>BH Gas Distribution</t>
  </si>
  <si>
    <t>Federal Income Tax Withheld (Note 1)</t>
  </si>
  <si>
    <t>2019 Federal Inc Tax Withheld</t>
  </si>
  <si>
    <t>2019 Per Book Wages &amp; Salaries Expense</t>
  </si>
  <si>
    <t>2020 Annualized Payroll</t>
  </si>
  <si>
    <t xml:space="preserve">Pro Forma FIT Withheld </t>
  </si>
  <si>
    <t>Calculation for line 2 column (b):</t>
  </si>
  <si>
    <t>Calendar 2020</t>
  </si>
  <si>
    <t>Book Depreciation Expense Period</t>
  </si>
  <si>
    <t>Tax Depreciation Expense</t>
  </si>
  <si>
    <t>Accumulated Depreciation Activity</t>
  </si>
  <si>
    <t>(Note 1) - This was a one-time reduction in 2019 relating to 2008-2009.</t>
  </si>
  <si>
    <t>Sched L-1 Ln. 13</t>
  </si>
  <si>
    <t>Schedule I-2 Pg. 2</t>
  </si>
  <si>
    <t xml:space="preserve">Pipeline </t>
  </si>
  <si>
    <t>Replacement</t>
  </si>
  <si>
    <t>Integrity (SSIR)</t>
  </si>
  <si>
    <t>Fuel Line</t>
  </si>
  <si>
    <t>Adj. I-1 (Ln. 10)</t>
  </si>
  <si>
    <t>Adj. I-1 (Ln. 6)</t>
  </si>
  <si>
    <t>Adj. I-1 (Ln. 5)</t>
  </si>
  <si>
    <t>Adj. I-1 (Ln. 3)</t>
  </si>
  <si>
    <t>Adj. I-1 (Ln. 2)</t>
  </si>
  <si>
    <t>Adj. I-1 (Ln. 7)</t>
  </si>
  <si>
    <t>Adj. I-1 (Ln. 8)</t>
  </si>
  <si>
    <t>Adj. I-1 (Ln. 9)</t>
  </si>
  <si>
    <t>Credit I-2</t>
  </si>
  <si>
    <t>Stmt I col (d)</t>
  </si>
  <si>
    <t>Stmt I col (e)</t>
  </si>
  <si>
    <t>Stmt I col (f)</t>
  </si>
  <si>
    <t>Stmt I col (h)</t>
  </si>
  <si>
    <t>Stmt I col (i)</t>
  </si>
  <si>
    <t>Stmt I col (k)</t>
  </si>
  <si>
    <t>Stmt I col (l)</t>
  </si>
  <si>
    <t>Stmt I col (m)</t>
  </si>
  <si>
    <t>Stmt I col (j)</t>
  </si>
  <si>
    <t>I</t>
  </si>
  <si>
    <t>Scenario 3</t>
  </si>
  <si>
    <t>Sched D-1 Ln.66</t>
  </si>
  <si>
    <t>(Note 2) There was no plant in service in this category in the base year, and no subsequent additions anticipated in the test year.</t>
  </si>
  <si>
    <t>Stmt H Ln. 29 (a)</t>
  </si>
  <si>
    <t>Stmt H Ln. 30 (a)</t>
  </si>
  <si>
    <t>Stmt H Ln. 31 (a)</t>
  </si>
  <si>
    <t>Stmt H Ln. 32 (a)</t>
  </si>
  <si>
    <t>Stmt H Ln. 34 (a)</t>
  </si>
  <si>
    <t>Stmt H Ln. 35 (a)</t>
  </si>
  <si>
    <t>Stmt H Ln. 37 (a)</t>
  </si>
  <si>
    <t>(Note 1) Removed pro forma adjusted balances in accounts 930.1 and 913 related to advertising.</t>
  </si>
  <si>
    <t>Schedule I-1, Line 1</t>
  </si>
  <si>
    <t>Schedule I-1, Line 2</t>
  </si>
  <si>
    <t>Schedule I-1, Line 3</t>
  </si>
  <si>
    <t>Schedule I-1, Line 5</t>
  </si>
  <si>
    <t>Schedule I-1, Line 6</t>
  </si>
  <si>
    <t>Schedule I-1, Line 10</t>
  </si>
  <si>
    <t>Schedule I-1, Line 7</t>
  </si>
  <si>
    <t>Schedule I-1, Line 8</t>
  </si>
  <si>
    <t>Schedule I-1, Line 9</t>
  </si>
  <si>
    <t>Sched I-2 Pg 1</t>
  </si>
  <si>
    <t>Sched I-2 Pg 2</t>
  </si>
  <si>
    <t>Section 3, Exhibit B</t>
  </si>
  <si>
    <t>Jurisdictional -----------------------------------------/</t>
  </si>
  <si>
    <t>Non-Jurisdictional ----------------------------------/</t>
  </si>
  <si>
    <t>(Notes 1, 2)</t>
  </si>
  <si>
    <t>(Note 1) Base Year Advertising Expense of $67,912 is included as it is related to Human Resource Hiring, Regulatory Notices, or Safety.</t>
  </si>
  <si>
    <t>Ln. 11 x Ln. 12</t>
  </si>
  <si>
    <t>Stmt D Ln. 17 (c) - Ln. 15 (c)</t>
  </si>
  <si>
    <t>Sched L-1 Ln. 7</t>
  </si>
  <si>
    <t>SUMMARY OF REVENUE ADJUSTMENTS</t>
  </si>
  <si>
    <t>Sched F-2 pg1 Ln.21</t>
  </si>
  <si>
    <t>Sched I-2 Pg. 2 Ln. 24 + 40 (a)</t>
  </si>
  <si>
    <t>Sched I-2 Pg. 2 Ln. 24 + 40 (d)</t>
  </si>
  <si>
    <t>Sched I-2 Pg. 2 Ln. 24 + 40 (g)</t>
  </si>
  <si>
    <t>Sched I-2 Pg. 2 Ln. 24 + 40 (c)</t>
  </si>
  <si>
    <t>Ln 2 x Property Tax Rate (Note 2)</t>
  </si>
  <si>
    <t>(Note 2) Property Tax Rate is the calculation of 2019 property taxes divided by 2019 plant in service.</t>
  </si>
  <si>
    <t>Ln 8 x (((1-0.0781) x (0.21)) + 0.0781)</t>
  </si>
  <si>
    <t>Sched. J-1 Ln. 13 (e)</t>
  </si>
  <si>
    <t>Sched. J-1 Ln. 33 (e)</t>
  </si>
  <si>
    <t>Sched. J-1  Ln. 59 (e) - Ln.22 (a)</t>
  </si>
  <si>
    <t>Sched J-1 Ln. 69 (e)</t>
  </si>
  <si>
    <t>Sched J-1 Ln. 46 to 51 (e) + Sched J-1 Ln. 55 (e) + Sched J-1 Ln 72-76 (e)</t>
  </si>
  <si>
    <t>Sched J-1 Ln. 77 (e)</t>
  </si>
  <si>
    <t>Ln. 20 + Ln.22 + Ln.23</t>
  </si>
  <si>
    <t>Sched H-4 Ln.129</t>
  </si>
  <si>
    <t xml:space="preserve">(c) - (g) </t>
  </si>
  <si>
    <t>Payroll &amp; Benefit Annualization</t>
  </si>
  <si>
    <t>Non-Protected Plant - (EDFIT)</t>
  </si>
  <si>
    <t xml:space="preserve">Stmt M Ln. 5 (e) </t>
  </si>
  <si>
    <t>Existing Depr Rates (Jan - Aug 2020)</t>
  </si>
  <si>
    <t>Depr Expense Jan - Aug (8mos)</t>
  </si>
  <si>
    <t>Future Depr Rates (Sep - Dec 2020)</t>
  </si>
  <si>
    <t>Depr Expense Sep - Dec (4mos)</t>
  </si>
  <si>
    <t xml:space="preserve">  Tax Adjusted Amount Needed (line 346 x line 349)</t>
  </si>
  <si>
    <t>(Federal Income Taxes)/Benefit</t>
  </si>
  <si>
    <t>Property retirements</t>
  </si>
  <si>
    <t xml:space="preserve">BHSC retirements </t>
  </si>
  <si>
    <t>Add 2021 CAM Factors Update from 2020 Capital Expenditures</t>
  </si>
  <si>
    <t>Schedule F-2 Pg 2, cell C28</t>
  </si>
  <si>
    <t>Schedule H-7, cell F22 (Bad Debt calc)</t>
  </si>
  <si>
    <t>None</t>
  </si>
  <si>
    <t>39 Year</t>
  </si>
  <si>
    <t>3 Yr SL</t>
  </si>
  <si>
    <t>Ln. 5 x Stmt G Ln. 16 (d)</t>
  </si>
  <si>
    <t>Ln. 5 x Stmt G Ln. 18 (d)</t>
  </si>
  <si>
    <t>Attachment MCC-4 Black Hills Nebraska Gas, LLC Depreciation Study - ($1,060,862 / 5 yrs)</t>
  </si>
  <si>
    <t>(Note 3) Depreciation rates as recommended in the depreciation studies by Gannett Fleming, presented in attachments MCC-4 and MCC-5.</t>
  </si>
  <si>
    <t>Other Utility Plant (Corporate Unrecovered Reserve - Note 1c)</t>
  </si>
  <si>
    <t>Other Utility Plant (Corporate Unrecovered Reserve - Note 2d)</t>
  </si>
  <si>
    <t xml:space="preserve">Property Tax Rate = </t>
  </si>
  <si>
    <t>Net Book Value</t>
  </si>
  <si>
    <t>Adjusted Tax Basis</t>
  </si>
  <si>
    <t>State Tax Items</t>
  </si>
  <si>
    <t>DT1500 - NON-PROTECTED STATE TAXES (DDIT):</t>
  </si>
  <si>
    <t xml:space="preserve"> Total State Taxes</t>
  </si>
  <si>
    <t>DT1059 - ACCUMULATED DEPRECIATION-ST</t>
  </si>
  <si>
    <t xml:space="preserve">(Note 6) Roll forward of the 12/31/2019 balances to reflect the 2020 year end balances. </t>
  </si>
  <si>
    <t>2019 Gross Plant
Adjustment</t>
  </si>
  <si>
    <t>282000/254015</t>
  </si>
  <si>
    <t xml:space="preserve">  Federal and State Income Tax</t>
  </si>
  <si>
    <t>(Note 3) Includes depreciation expenses for subsequent additions and adjustments for the pro forma period based on depreciation rates provided on Statement J. This amount is then divided by two to reflect the Test Year.</t>
  </si>
  <si>
    <t>(Note 2d) Figure represents Other Utility Plant, Corporate Unrecovered Reserve allocated on general ratio per CAM.</t>
  </si>
  <si>
    <t>(Note 1c) Figure represents Other Utility Plant, Corporate Unrecovered Reserve allocated on customer count per CAM.</t>
  </si>
  <si>
    <t>CASH WORKING CAPITAL - PER BOOKS</t>
  </si>
  <si>
    <t>CASH WORKING CAPITAL - AS ADJUSTED</t>
  </si>
  <si>
    <t>(Note 1) Prior year return on equity percentage is adjusted to reflect the rate proposed in this proceeding.</t>
  </si>
  <si>
    <t>-(a) - (b) - (c) - (d) - (e)</t>
  </si>
  <si>
    <t>Construction Damages</t>
  </si>
  <si>
    <t>Flood Costs</t>
  </si>
  <si>
    <t>Odorant Disposal</t>
  </si>
  <si>
    <t>Office Moves</t>
  </si>
  <si>
    <t>Paint Town Border Station</t>
  </si>
  <si>
    <t>Base Year Advertising Expenses</t>
  </si>
  <si>
    <t>Base Year Dues Expense</t>
  </si>
  <si>
    <t>Base Year Charitable Contributions Expense</t>
  </si>
  <si>
    <t>Base Year Rebates &amp; Promotional Item Expense</t>
  </si>
  <si>
    <t>Base Year Sponsorship Expense</t>
  </si>
  <si>
    <t>Exhibit No. MCC-2 NEG</t>
  </si>
  <si>
    <t>Exhibit No. MCC-2 NEGD</t>
  </si>
  <si>
    <t>under existing rates since new rates were effective March 1, 2020.</t>
  </si>
  <si>
    <t xml:space="preserve">(Note 3) Calculation of 2020 depreciation under existing rates for 8 months (January - August), except account 118 Other Utility Plant, which calculates 2 months </t>
  </si>
  <si>
    <t xml:space="preserve"> which calculates 10 months under the new rates effective March 1, 2020.</t>
  </si>
  <si>
    <t>(Note 4) Calculation of 2020 depreciation under new rates for 4 months (September - December) when interim rates go into effect except account 118 Other Utility Plant,</t>
  </si>
  <si>
    <t xml:space="preserve">(Note 1) Pro Forma expenses in column (b) are calculated by dividing 2019 Federal Income Tax Withheld by 2019 Per Book Wages &amp; Salaries Expense, </t>
  </si>
  <si>
    <t>and multiplying that percentage by the 2020 Annualized Payroll on Sched H-4.</t>
  </si>
  <si>
    <t>(Note 2) The removal of expenses not appropriate for recovery is discussed in the direct testimony of Mr. Clevinger.</t>
  </si>
  <si>
    <t xml:space="preserve">     The allocation methods for indirect charges are described in the Cost Allocation Manual. </t>
  </si>
  <si>
    <t xml:space="preserve">(Note 1) The alternative forms of payment adjustment extends the convenience of customers paying their bills by credit card to all customers. </t>
  </si>
  <si>
    <t>SYNERGY REGULAORY ASSETS AMORTIZATION ADJUSTMENT</t>
  </si>
  <si>
    <t>Synergy Regulatory Asset balance</t>
  </si>
  <si>
    <t>NON-REGULATED USE OF ASSETS ADJUSTMENT</t>
  </si>
  <si>
    <t>Check to Schedule D-1 less unrecovered reserve</t>
  </si>
  <si>
    <t>Adj. to I-1 (Ln. 1)</t>
  </si>
  <si>
    <t>2020 Safety &amp;</t>
  </si>
  <si>
    <t>Total Depreciation and Amortization Expense</t>
  </si>
  <si>
    <t xml:space="preserve">charges to Black Hills Nebraska Gas Utility Company and Black Hills Nebraska Gas Distribution </t>
  </si>
  <si>
    <t xml:space="preserve">(Note 2) These expenses are a combination of Assigned, Distributed and and indirect allocated </t>
  </si>
  <si>
    <t xml:space="preserve">Nebraska as the costs are incurred by Black Hills Service Company. </t>
  </si>
  <si>
    <t xml:space="preserve">      from Black Hills Service Company without any additional fees.  All costs are charged to Black Hills </t>
  </si>
  <si>
    <t>CALC</t>
  </si>
  <si>
    <t>Note: In column (d), the Jurisdictional %, 'CALC' denotes lines with calculated values.  Inputting hard-coded figures on these lines will create inaccurate model results.</t>
  </si>
  <si>
    <t>Sched I-2</t>
  </si>
  <si>
    <t>Y</t>
  </si>
  <si>
    <t>BHC $400M Notes Due 2030</t>
  </si>
  <si>
    <t>Filed Position 6/1</t>
  </si>
  <si>
    <t>Interest Synchronization (Cost of Debt only)</t>
  </si>
  <si>
    <t>Cost of Debt - update to 3.91%</t>
  </si>
  <si>
    <t>Revenue Adjustments</t>
  </si>
  <si>
    <t>Revenue Adjustments (Sched I-3)</t>
  </si>
  <si>
    <t xml:space="preserve">Revenue </t>
  </si>
  <si>
    <t>I-3</t>
  </si>
  <si>
    <t>Schedule I-3</t>
  </si>
  <si>
    <t>REVENUE ADJUSTMENTS</t>
  </si>
  <si>
    <t>Base Rate Revenue Adjustment</t>
  </si>
  <si>
    <t>Weather Normalization Correction</t>
  </si>
  <si>
    <t>Miscellaneous Fees Revenue</t>
  </si>
  <si>
    <t>Late Payment Charges</t>
  </si>
  <si>
    <t>Total Base Rate Revenue Adjustment</t>
  </si>
  <si>
    <t>Company Response to PA-217</t>
  </si>
  <si>
    <t>Mr. Frost's Rebuttal Testimony</t>
  </si>
  <si>
    <t>Ms. Mullinax's Schedule 3.6 Ln 8</t>
  </si>
  <si>
    <t>(p)</t>
  </si>
  <si>
    <t>Sum (a - o)</t>
  </si>
  <si>
    <t>Depreciation Formula Correction</t>
  </si>
  <si>
    <t>Correct Depreciation formula (remove duplicated amount)</t>
  </si>
  <si>
    <t>Advertising Expense Formula Correction</t>
  </si>
  <si>
    <t>Advertising Expense formula correction</t>
  </si>
  <si>
    <t>Dues Expense duplication removal</t>
  </si>
  <si>
    <t>Dues Expense Duplicates Removed</t>
  </si>
  <si>
    <t>Remove 2019 Allo Line Locates</t>
  </si>
  <si>
    <t>Allo Line Locates</t>
  </si>
  <si>
    <t>-(a) - (b) - (c) - (d) - (e) - (f)</t>
  </si>
  <si>
    <t>(Note 6) This schedule reflects expenses charged to Operations &amp; Maintenance for line locates for the Allo Fiberoptic Installation Project, which are removed to reflect a normal base year.</t>
  </si>
  <si>
    <t>Remove 2019 Allo line locates</t>
  </si>
  <si>
    <t>Updated NOL</t>
  </si>
  <si>
    <t>Adjustment Description</t>
  </si>
  <si>
    <t>Interest Synchronization - Cost of Debt</t>
  </si>
  <si>
    <t>Stmt G, Sched G-1</t>
  </si>
  <si>
    <t>Stmt I, Sched I-3</t>
  </si>
  <si>
    <t>Depreciation Expense Formula Correction</t>
  </si>
  <si>
    <t>Dues Expense Adjustment</t>
  </si>
  <si>
    <t>Labor Costs updated (Direct Labor)</t>
  </si>
  <si>
    <t>BHSC Costs (Headcount update)</t>
  </si>
  <si>
    <t>FICA Tax on Benefits</t>
  </si>
  <si>
    <t>Direct Labor Adjustment</t>
  </si>
  <si>
    <t>BHSC Labor Adjustment</t>
  </si>
  <si>
    <t>FICA Tax on Benefits Calculation (vs. Original Filing)</t>
  </si>
  <si>
    <t>REVISED FICA Tax Adjustment</t>
  </si>
  <si>
    <t>2020 Total Base Pay, Lump Sum, Premium Pay, &amp; AIP/STIP</t>
  </si>
  <si>
    <t>2019 Average FICA Tax Rate</t>
  </si>
  <si>
    <t>2020 FICA Tax Expense (direct only)</t>
  </si>
  <si>
    <t>2019 FICA Tax Expense (direct only)</t>
  </si>
  <si>
    <t>Sched L-1 Ln. 23</t>
  </si>
  <si>
    <t>Rebuttal Figures (Total Co.)</t>
  </si>
  <si>
    <t>Annualized Payroll for (b)</t>
  </si>
  <si>
    <t>Account 920</t>
  </si>
  <si>
    <t>Account 926</t>
  </si>
  <si>
    <t>NOL Adjustment Update</t>
  </si>
  <si>
    <t>Remove Construction Inspectors on H-4</t>
  </si>
  <si>
    <t>Correction</t>
  </si>
  <si>
    <t>COD</t>
  </si>
  <si>
    <t>Direct labor</t>
  </si>
  <si>
    <t>BHSC Labor</t>
  </si>
  <si>
    <t>Update NOL in Rebuttal</t>
  </si>
  <si>
    <t>Line 49 - Fed Eff of State NOL</t>
  </si>
  <si>
    <t>NOL</t>
  </si>
  <si>
    <t>Jurisdictional  Revenue Requirement</t>
  </si>
  <si>
    <t xml:space="preserve">Jurisdictional </t>
  </si>
  <si>
    <t>Revenue Deficiency from Exhibit No. MCC-2</t>
  </si>
  <si>
    <t>Revenue Deficiency from Exhibit No. MCC-9</t>
  </si>
  <si>
    <t>Remove Benefits from FICA Tax Calculation</t>
  </si>
  <si>
    <t>Summary of Adjustments to Revenue Requirement</t>
  </si>
  <si>
    <t>Line Locate Expense  (Remove ALLO costs recorded in 2019)</t>
  </si>
  <si>
    <t>Revenue Adjustments (WN, Misc. Service Fees, and Late Pmt Fees)</t>
  </si>
  <si>
    <t>Sched H-1, Sched H-11</t>
  </si>
  <si>
    <t>Remove Open Positions (BHSC Labor)</t>
  </si>
  <si>
    <t xml:space="preserve">Remove $225K for Consolidation </t>
  </si>
  <si>
    <t>Remove 50% of D&amp;O insurance costs</t>
  </si>
  <si>
    <t>Allow ARAM to reduce Tax Expense and remove Protected NOL DDFIT</t>
  </si>
  <si>
    <t>Remove 50% of LTIP</t>
  </si>
  <si>
    <t>Remove 50% of D&amp;O insurance</t>
  </si>
  <si>
    <t>Allow ARAM to Reduce Tax Exp &amp; Remove Protected LOL DDIT (also reduce Protected Plant EDFIT by ARAM)</t>
  </si>
  <si>
    <t>Remove Open Positions (Direct Labor)</t>
  </si>
  <si>
    <t>Remove $225K for Consolidation</t>
  </si>
  <si>
    <t>Remove 50% D&amp;O insurane costs</t>
  </si>
  <si>
    <t>ARAM to reduce tax expense</t>
  </si>
  <si>
    <t>EDFIT to reduce Tax Expense</t>
  </si>
  <si>
    <t>Settlement Position without Open Positions</t>
  </si>
  <si>
    <t>Settlement No Open Positions</t>
  </si>
  <si>
    <t>Rebttal Position</t>
  </si>
  <si>
    <t>Rebuttal Position</t>
  </si>
  <si>
    <t>Settle Position</t>
  </si>
  <si>
    <t>Remove 50% LTIP</t>
  </si>
  <si>
    <t>LTIP</t>
  </si>
  <si>
    <t xml:space="preserve">Consolidation Savings </t>
  </si>
  <si>
    <t xml:space="preserve">Remove $225k </t>
  </si>
  <si>
    <t>Change Depreciation rates to match PA proposal</t>
  </si>
  <si>
    <t>Use Depreciation Rates proposed by PA</t>
  </si>
  <si>
    <t>Update Depr Rates</t>
  </si>
  <si>
    <t>Remove Open Positions from Direct Labor (Through Sept - To be Updated at time of Tech conf.)</t>
  </si>
  <si>
    <t>Remove Open Positions BHSC Labor (Through Sept - To be Updated at time of Tech conf.)</t>
  </si>
  <si>
    <t>BH Proposed</t>
  </si>
  <si>
    <t>PA Proposed</t>
  </si>
  <si>
    <t>Stmt K &amp; Sched M-1</t>
  </si>
  <si>
    <t>Sched H-4 &amp; L-1</t>
  </si>
  <si>
    <t>Sched H-6 &amp; L-1</t>
  </si>
  <si>
    <t>Revenue Requirement For Settlement</t>
  </si>
  <si>
    <t>Remove Portions of Non-Plant ADIT</t>
  </si>
  <si>
    <t>Compromize on the Non-Plant ADIT issue</t>
  </si>
  <si>
    <t>Amortization of Non-Plant DDFIT</t>
  </si>
  <si>
    <t>Amortize the Non-Plant DDFIT</t>
  </si>
  <si>
    <t>Amortize the Non-Plant DDFIT over 20 Years</t>
  </si>
  <si>
    <t>Update Plant additions to reflect projected Spend as of 12/31/2020</t>
  </si>
  <si>
    <t>n</t>
  </si>
  <si>
    <t>ROE to 9.5%</t>
  </si>
  <si>
    <t>Plant Additions Update</t>
  </si>
  <si>
    <t>Update for Plant Additions</t>
  </si>
  <si>
    <t>Line 19 - NOL Carryforward</t>
  </si>
  <si>
    <t>Line 40 - State NOL</t>
  </si>
  <si>
    <t>Update NOL</t>
  </si>
  <si>
    <t>Rebuttal</t>
  </si>
  <si>
    <t>Settlement</t>
  </si>
  <si>
    <t>Compromise on the Non-Plant ADIT issue</t>
  </si>
  <si>
    <t>Change ROE</t>
  </si>
  <si>
    <t>Update the $225K to be Jurisdictional only</t>
  </si>
  <si>
    <t>Technical Conference Headcount as of 11/30/2020</t>
  </si>
  <si>
    <t>Direct Labor Adjustment (settlement)</t>
  </si>
  <si>
    <t>Direct Labor Adjustment (Technical Conference)</t>
  </si>
  <si>
    <t>N</t>
  </si>
  <si>
    <t>Amount agreed to in settlement</t>
  </si>
  <si>
    <t>Jurisdictional Alloaction %</t>
  </si>
  <si>
    <t>Gross Up factor</t>
  </si>
  <si>
    <t>Gross up Amount agreed to.</t>
  </si>
  <si>
    <t>Update BHSC Allocations of Expenses</t>
  </si>
  <si>
    <t>Plant Additions Settlement Conf</t>
  </si>
  <si>
    <t>Update for Plant Additions Settlemnt Conference</t>
  </si>
  <si>
    <t>Technical Conf Update</t>
  </si>
  <si>
    <t>Technical Conference Update</t>
  </si>
  <si>
    <t>2021 Service Company Allocation Changes</t>
  </si>
  <si>
    <t>Total Co</t>
  </si>
  <si>
    <t>November Update</t>
  </si>
  <si>
    <t>(Note 1) The Company calculated its annual pro forma period costs (including benefits, incentives and base pay) for each of the 357 direct employees.</t>
  </si>
  <si>
    <t>Update Plant additions to reflect Actual Additions through Dec 31, 2020</t>
  </si>
  <si>
    <t>Update NE Gas Headcount to reflect actual Headcount as of Dec 31, 2020</t>
  </si>
  <si>
    <t>Update BHSC Headcount to reflect actual Headcount as of Dec 30, 2020</t>
  </si>
  <si>
    <t>Update BHSC Headcount to reflect actual Headcount as of Dec 31, 2020</t>
  </si>
  <si>
    <t>Final Revenue Deficiency</t>
  </si>
  <si>
    <t>Reversal of non-protected State tax DDIT amort</t>
  </si>
  <si>
    <t>Reverse non-protected State Tax DDIT Amort</t>
  </si>
  <si>
    <t>Remove Non-protected State DDIT and Amortization</t>
  </si>
  <si>
    <t>Line 9</t>
  </si>
  <si>
    <t>Line 41</t>
  </si>
  <si>
    <t>Line 42</t>
  </si>
  <si>
    <t>Update for State Tax DDIT</t>
  </si>
  <si>
    <t>Sched M-1 &amp; Stmt K</t>
  </si>
  <si>
    <t>Settlement Results With Updates through 12-31-2020</t>
  </si>
  <si>
    <t>FINAL - BH January 15, 2021 Rev. Req.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</si>
</sst>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yyyy"/>
    <numFmt numFmtId="167" formatCode="[$-409]mmmm\ d\,\ yyyy;@"/>
    <numFmt numFmtId="168" formatCode="0.0000"/>
    <numFmt numFmtId="169" formatCode="_(* #,##0.00000_);_(* \(#,##0.00000\);_(* &quot;-&quot;??_);_(@_)"/>
    <numFmt numFmtId="170" formatCode="[$-409]mmm\-yy;@"/>
    <numFmt numFmtId="171" formatCode="m/d/yy\ h:mm\ AM/PM"/>
    <numFmt numFmtId="172" formatCode="#,##0.0000_);[Red]\(#,##0.0000\)"/>
    <numFmt numFmtId="173" formatCode="#,##0.00000_);[Red]\(#,##0.00000\)"/>
    <numFmt numFmtId="174" formatCode="_(* #,##0.0000_);_(* \(#,##0.0000\);_(* &quot;-&quot;??_);_(@_)"/>
    <numFmt numFmtId="175" formatCode="_(* #,##0.000_);_(* \(#,##0.000\);_(* &quot;-&quot;??_);_(@_)"/>
    <numFmt numFmtId="176" formatCode="0.000%"/>
    <numFmt numFmtId="177" formatCode="0.0000000000"/>
    <numFmt numFmtId="178" formatCode="0.0000%"/>
    <numFmt numFmtId="179" formatCode="0.00000%"/>
    <numFmt numFmtId="180" formatCode="#,##0.0000_);\(#,##0.0000\)"/>
    <numFmt numFmtId="181" formatCode="0.0000_);\(0.0000\)"/>
    <numFmt numFmtId="182" formatCode="0.0"/>
    <numFmt numFmtId="183" formatCode="_([$$-409]* #,##0_);_([$$-409]* \(#,##0\);_([$$-409]* &quot;-&quot;_);_(@_)"/>
    <numFmt numFmtId="184" formatCode="0.000000"/>
    <numFmt numFmtId="185" formatCode="_(&quot;$&quot;* #,##0.0_);_(&quot;$&quot;* \(#,##0.0\);_(&quot;$&quot;* &quot;-&quot;??_);_(@_)"/>
    <numFmt numFmtId="186" formatCode="0.0000000000000"/>
    <numFmt numFmtId="187" formatCode="0.000"/>
    <numFmt numFmtId="188" formatCode="_(* #,##0.0000_);_(* \(#,##0.0000\);_(* &quot;-&quot;????_);_(@_)"/>
    <numFmt numFmtId="189" formatCode="#,##0.000_);\(#,##0.000\)"/>
  </numFmts>
  <fonts count="69">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sz val="8"/>
      <name val="Times New Roman"/>
      <family val="1"/>
    </font>
    <font>
      <sz val="8"/>
      <name val="Courier"/>
      <family val="3"/>
    </font>
    <font>
      <sz val="10"/>
      <name val="Arial"/>
      <family val="2"/>
    </font>
    <font>
      <sz val="8"/>
      <name val="Arial"/>
      <family val="2"/>
    </font>
    <font>
      <b/>
      <u/>
      <sz val="10"/>
      <name val="Times New Roman"/>
      <family val="1"/>
    </font>
    <font>
      <b/>
      <sz val="11"/>
      <name val="Times New Roman"/>
      <family val="1"/>
    </font>
    <font>
      <u/>
      <sz val="10"/>
      <name val="Times New Roman"/>
      <family val="1"/>
    </font>
    <font>
      <sz val="10"/>
      <color indexed="12"/>
      <name val="Times New Roman"/>
      <family val="1"/>
    </font>
    <font>
      <sz val="10"/>
      <color indexed="8"/>
      <name val="Times New Roman"/>
      <family val="1"/>
    </font>
    <font>
      <b/>
      <sz val="10"/>
      <color indexed="8"/>
      <name val="Times New Roman"/>
      <family val="1"/>
    </font>
    <font>
      <b/>
      <sz val="10"/>
      <color indexed="12"/>
      <name val="Times New Roman"/>
      <family val="1"/>
    </font>
    <font>
      <sz val="9"/>
      <name val="Times New Roman"/>
      <family val="1"/>
    </font>
    <font>
      <sz val="10"/>
      <color indexed="48"/>
      <name val="Times New Roman"/>
      <family val="1"/>
    </font>
    <font>
      <sz val="10"/>
      <color indexed="10"/>
      <name val="Times New Roman"/>
      <family val="1"/>
    </font>
    <font>
      <b/>
      <i/>
      <sz val="10"/>
      <name val="Times New Roman"/>
      <family val="1"/>
    </font>
    <font>
      <b/>
      <sz val="10"/>
      <color indexed="10"/>
      <name val="Times New Roman"/>
      <family val="1"/>
    </font>
    <font>
      <b/>
      <sz val="13"/>
      <color theme="3"/>
      <name val="Calibri"/>
      <family val="2"/>
      <scheme val="minor"/>
    </font>
    <font>
      <b/>
      <sz val="11"/>
      <color theme="3"/>
      <name val="Calibri"/>
      <family val="2"/>
      <scheme val="minor"/>
    </font>
    <font>
      <b/>
      <sz val="10"/>
      <color theme="1"/>
      <name val="Times New Roman"/>
      <family val="1"/>
    </font>
    <font>
      <sz val="10"/>
      <color theme="1"/>
      <name val="Times New Roman"/>
      <family val="1"/>
    </font>
    <font>
      <sz val="11"/>
      <color theme="0"/>
      <name val="Calibri"/>
      <family val="2"/>
      <scheme val="minor"/>
    </font>
    <font>
      <sz val="10"/>
      <color rgb="FFFF0000"/>
      <name val="Times New Roman"/>
      <family val="1"/>
    </font>
    <font>
      <sz val="10"/>
      <name val="Times New Roman"/>
      <family val="1"/>
    </font>
    <font>
      <sz val="11"/>
      <color rgb="FF0061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0"/>
      <name val="Arial Unicode MS"/>
      <family val="2"/>
    </font>
    <font>
      <sz val="10"/>
      <name val="Courier"/>
      <family val="3"/>
    </font>
    <font>
      <b/>
      <sz val="11"/>
      <color rgb="FF3F3F3F"/>
      <name val="Calibri"/>
      <family val="2"/>
      <scheme val="minor"/>
    </font>
    <font>
      <sz val="10"/>
      <color theme="1"/>
      <name val="Arial"/>
      <family val="2"/>
    </font>
    <font>
      <sz val="10"/>
      <name val="Times New Roman"/>
      <family val="1"/>
    </font>
    <font>
      <sz val="22"/>
      <name val="Times New Roman"/>
      <family val="1"/>
    </font>
    <font>
      <b/>
      <sz val="10"/>
      <name val="Arial Unicode MS"/>
      <family val="2"/>
    </font>
    <font>
      <sz val="12"/>
      <name val="Arial"/>
      <family val="2"/>
    </font>
    <font>
      <sz val="10"/>
      <color rgb="FFCC00FF"/>
      <name val="Times New Roman"/>
      <family val="1"/>
    </font>
    <font>
      <b/>
      <sz val="10"/>
      <color rgb="FF00B050"/>
      <name val="Times New Roman"/>
      <family val="1"/>
    </font>
    <font>
      <sz val="10"/>
      <color rgb="FF00B050"/>
      <name val="Times New Roman"/>
      <family val="1"/>
    </font>
    <font>
      <sz val="9"/>
      <color indexed="81"/>
      <name val="Tahoma"/>
      <family val="2"/>
    </font>
    <font>
      <b/>
      <sz val="9"/>
      <color indexed="81"/>
      <name val="Tahoma"/>
      <family val="2"/>
    </font>
    <font>
      <sz val="10"/>
      <color rgb="FF0000FF"/>
      <name val="Times New Roman"/>
      <family val="1"/>
    </font>
    <font>
      <b/>
      <sz val="10"/>
      <color rgb="FFCC00FF"/>
      <name val="Times New Roman"/>
      <family val="1"/>
    </font>
    <font>
      <i/>
      <sz val="10"/>
      <name val="Times New Roman"/>
      <family val="1"/>
    </font>
    <font>
      <sz val="12"/>
      <name val="Times New Roman"/>
      <family val="1"/>
    </font>
    <font>
      <b/>
      <sz val="10"/>
      <color rgb="FFFF0000"/>
      <name val="Times New Roman"/>
      <family val="1"/>
    </font>
    <font>
      <sz val="10"/>
      <color rgb="FF9900FF"/>
      <name val="Times New Roman"/>
      <family val="1"/>
    </font>
    <font>
      <i/>
      <sz val="10"/>
      <color rgb="FFCC00FF"/>
      <name val="Times New Roman"/>
      <family val="1"/>
    </font>
    <font>
      <i/>
      <sz val="10"/>
      <color theme="1"/>
      <name val="Times New Roman"/>
      <family val="1"/>
    </font>
    <font>
      <sz val="10"/>
      <color theme="9" tint="-0.249977111117893"/>
      <name val="Times New Roman"/>
      <family val="1"/>
    </font>
    <font>
      <sz val="10"/>
      <color rgb="FF9933FF"/>
      <name val="Times New Roman"/>
      <family val="1"/>
    </font>
    <font>
      <sz val="11"/>
      <color theme="1"/>
      <name val="Times New Roman"/>
      <family val="2"/>
    </font>
    <font>
      <sz val="10"/>
      <color theme="1"/>
      <name val="Rockwell"/>
      <family val="1"/>
    </font>
    <font>
      <b/>
      <u/>
      <sz val="10"/>
      <color theme="1"/>
      <name val="Times New Roman"/>
      <family val="1"/>
    </font>
    <font>
      <u/>
      <sz val="10"/>
      <color theme="1"/>
      <name val="Times New Roman"/>
      <family val="1"/>
    </font>
    <font>
      <sz val="11"/>
      <color rgb="FFFF0000"/>
      <name val="Calibri"/>
      <family val="2"/>
    </font>
    <font>
      <b/>
      <u/>
      <sz val="12"/>
      <name val="Times New Roman"/>
      <family val="1"/>
    </font>
    <font>
      <b/>
      <sz val="12"/>
      <name val="Times New Roman"/>
      <family val="1"/>
    </font>
  </fonts>
  <fills count="42">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patternFill>
    </fill>
    <fill>
      <patternFill patternType="solid">
        <fgColor theme="6"/>
      </patternFill>
    </fill>
    <fill>
      <patternFill patternType="solid">
        <fgColor rgb="FFC6EFCE"/>
      </patternFill>
    </fill>
    <fill>
      <patternFill patternType="solid">
        <fgColor theme="6" tint="0.39997558519241921"/>
        <bgColor indexed="65"/>
      </patternFill>
    </fill>
    <fill>
      <patternFill patternType="solid">
        <fgColor theme="9" tint="0.79998168889431442"/>
        <bgColor indexed="65"/>
      </patternFill>
    </fill>
    <fill>
      <patternFill patternType="solid">
        <fgColor theme="8"/>
      </patternFill>
    </fill>
    <fill>
      <patternFill patternType="solid">
        <fgColor theme="8" tint="0.39997558519241921"/>
        <bgColor indexed="65"/>
      </patternFill>
    </fill>
    <fill>
      <patternFill patternType="solid">
        <fgColor rgb="FF92D05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C00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CC99FF"/>
        <bgColor indexed="64"/>
      </patternFill>
    </fill>
  </fills>
  <borders count="43">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auto="1"/>
      </top>
      <bottom/>
      <diagonal/>
    </border>
    <border>
      <left/>
      <right/>
      <top style="thin">
        <color auto="1"/>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medium">
        <color auto="1"/>
      </left>
      <right style="medium">
        <color auto="1"/>
      </right>
      <top style="thin">
        <color theme="0"/>
      </top>
      <bottom style="thin">
        <color theme="0"/>
      </bottom>
      <diagonal/>
    </border>
    <border>
      <left/>
      <right style="thin">
        <color auto="1"/>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style="thin">
        <color theme="0"/>
      </top>
      <bottom style="thin">
        <color theme="0"/>
      </bottom>
      <diagonal/>
    </border>
    <border>
      <left style="medium">
        <color indexed="64"/>
      </left>
      <right style="medium">
        <color indexed="64"/>
      </right>
      <top/>
      <bottom/>
      <diagonal/>
    </border>
    <border>
      <left/>
      <right style="thin">
        <color indexed="64"/>
      </right>
      <top/>
      <bottom/>
      <diagonal/>
    </border>
    <border>
      <left/>
      <right style="thin">
        <color theme="0"/>
      </right>
      <top/>
      <bottom/>
      <diagonal/>
    </border>
    <border>
      <left style="thin">
        <color theme="0"/>
      </left>
      <right/>
      <top/>
      <bottom/>
      <diagonal/>
    </border>
    <border>
      <left style="thin">
        <color indexed="64"/>
      </left>
      <right style="thin">
        <color indexed="64"/>
      </right>
      <top/>
      <bottom/>
      <diagonal/>
    </border>
    <border>
      <left style="thin">
        <color theme="0"/>
      </left>
      <right style="thin">
        <color theme="0"/>
      </right>
      <top/>
      <bottom/>
      <diagonal/>
    </border>
    <border>
      <left style="medium">
        <color auto="1"/>
      </left>
      <right style="medium">
        <color auto="1"/>
      </right>
      <top style="thin">
        <color indexed="64"/>
      </top>
      <bottom style="thin">
        <color theme="0"/>
      </bottom>
      <diagonal/>
    </border>
    <border>
      <left/>
      <right style="thin">
        <color auto="1"/>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auto="1"/>
      </left>
      <right style="thin">
        <color auto="1"/>
      </right>
      <top style="thin">
        <color indexed="64"/>
      </top>
      <bottom style="thin">
        <color theme="0"/>
      </bottom>
      <diagonal/>
    </border>
    <border>
      <left style="thin">
        <color theme="0"/>
      </left>
      <right style="thin">
        <color theme="0"/>
      </right>
      <top style="thin">
        <color indexed="64"/>
      </top>
      <bottom style="thin">
        <color theme="0"/>
      </bottom>
      <diagonal/>
    </border>
    <border>
      <left style="medium">
        <color auto="1"/>
      </left>
      <right style="medium">
        <color auto="1"/>
      </right>
      <top style="thin">
        <color theme="0"/>
      </top>
      <bottom/>
      <diagonal/>
    </border>
    <border>
      <left/>
      <right style="thin">
        <color auto="1"/>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auto="1"/>
      </left>
      <right style="thin">
        <color auto="1"/>
      </right>
      <top style="thin">
        <color theme="0"/>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11">
    <xf numFmtId="0" fontId="0" fillId="0" borderId="0"/>
    <xf numFmtId="0" fontId="32" fillId="17"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32" fillId="13" borderId="0" applyNumberFormat="0" applyBorder="0" applyAlignment="0" applyProtection="0"/>
    <xf numFmtId="0" fontId="32" fillId="20"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32" fillId="18" borderId="0" applyNumberFormat="0" applyBorder="0" applyAlignment="0" applyProtection="0"/>
    <xf numFmtId="0" fontId="32" fillId="10"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32" fillId="7" borderId="0" applyNumberFormat="0" applyBorder="0" applyAlignment="0" applyProtection="0"/>
    <xf numFmtId="0" fontId="32" fillId="6" borderId="0" applyNumberFormat="0" applyBorder="0" applyAlignment="0" applyProtection="0"/>
    <xf numFmtId="0" fontId="9" fillId="5" borderId="0" applyNumberFormat="0" applyBorder="0" applyAlignment="0" applyProtection="0"/>
    <xf numFmtId="0" fontId="32" fillId="4" borderId="0" applyNumberFormat="0" applyBorder="0" applyAlignment="0" applyProtection="0"/>
    <xf numFmtId="0" fontId="38" fillId="0" borderId="8"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5" fillId="19" borderId="0" applyNumberFormat="0" applyBorder="0" applyAlignment="0" applyProtection="0"/>
    <xf numFmtId="0" fontId="29" fillId="0" borderId="0" applyNumberFormat="0" applyFill="0" applyBorder="0" applyAlignment="0" applyProtection="0"/>
    <xf numFmtId="0" fontId="29" fillId="0" borderId="7" applyNumberFormat="0" applyFill="0" applyAlignment="0" applyProtection="0"/>
    <xf numFmtId="9" fontId="34" fillId="0" borderId="0" applyFont="0" applyFill="0" applyBorder="0" applyAlignment="0" applyProtection="0"/>
    <xf numFmtId="44" fontId="34"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0" fontId="8" fillId="21" borderId="0" applyNumberFormat="0" applyBorder="0" applyAlignment="0" applyProtection="0"/>
    <xf numFmtId="0" fontId="32" fillId="22" borderId="0" applyNumberFormat="0" applyBorder="0" applyAlignment="0" applyProtection="0"/>
    <xf numFmtId="0" fontId="41" fillId="3" borderId="11" applyNumberFormat="0" applyAlignment="0" applyProtection="0"/>
    <xf numFmtId="0" fontId="32" fillId="23" borderId="0" applyNumberFormat="0" applyBorder="0" applyAlignment="0" applyProtection="0"/>
    <xf numFmtId="42" fontId="43" fillId="0" borderId="0" applyFont="0" applyFill="0" applyBorder="0" applyAlignment="0" applyProtection="0"/>
    <xf numFmtId="44" fontId="10" fillId="0" borderId="0" applyFont="0" applyFill="0" applyBorder="0" applyAlignment="0" applyProtection="0"/>
    <xf numFmtId="0" fontId="14" fillId="0" borderId="0"/>
    <xf numFmtId="0" fontId="10" fillId="0" borderId="0"/>
    <xf numFmtId="0" fontId="14" fillId="0" borderId="0"/>
    <xf numFmtId="0" fontId="14" fillId="0" borderId="0"/>
    <xf numFmtId="0" fontId="10" fillId="0" borderId="0"/>
    <xf numFmtId="0" fontId="39" fillId="0" borderId="0"/>
    <xf numFmtId="0" fontId="14" fillId="0" borderId="0"/>
    <xf numFmtId="39" fontId="40" fillId="0" borderId="0"/>
    <xf numFmtId="0" fontId="39" fillId="0" borderId="0"/>
    <xf numFmtId="0" fontId="39" fillId="0" borderId="0"/>
    <xf numFmtId="0" fontId="10" fillId="0" borderId="0"/>
    <xf numFmtId="41" fontId="10" fillId="0" borderId="0" applyFont="0" applyFill="0" applyBorder="0" applyAlignment="0" applyProtection="0"/>
    <xf numFmtId="0" fontId="7" fillId="16" borderId="0" applyNumberFormat="0" applyBorder="0" applyAlignment="0" applyProtection="0"/>
    <xf numFmtId="42" fontId="10" fillId="0" borderId="0" applyFont="0" applyFill="0" applyBorder="0" applyAlignment="0" applyProtection="0"/>
    <xf numFmtId="0" fontId="6" fillId="16" borderId="0" applyNumberFormat="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10" fillId="0" borderId="0"/>
    <xf numFmtId="0" fontId="42" fillId="15" borderId="0" applyNumberFormat="0" applyBorder="0" applyAlignment="0" applyProtection="0"/>
    <xf numFmtId="0" fontId="10" fillId="0" borderId="0"/>
    <xf numFmtId="0" fontId="10" fillId="0" borderId="0"/>
    <xf numFmtId="0" fontId="14" fillId="0" borderId="0"/>
    <xf numFmtId="0" fontId="39" fillId="0" borderId="0"/>
    <xf numFmtId="184" fontId="14" fillId="0" borderId="0">
      <alignment horizontal="left" wrapText="1"/>
    </xf>
    <xf numFmtId="43" fontId="10" fillId="0" borderId="0" applyFont="0" applyFill="0" applyBorder="0" applyAlignment="0" applyProtection="0"/>
    <xf numFmtId="0" fontId="10" fillId="0" borderId="0"/>
    <xf numFmtId="43" fontId="5" fillId="0" borderId="0" applyFont="0" applyFill="0" applyBorder="0" applyAlignment="0" applyProtection="0"/>
    <xf numFmtId="43" fontId="5" fillId="0" borderId="0" applyFont="0" applyFill="0" applyBorder="0" applyAlignment="0" applyProtection="0"/>
    <xf numFmtId="0" fontId="32" fillId="17" borderId="0" applyNumberFormat="0" applyBorder="0" applyAlignment="0" applyProtection="0"/>
    <xf numFmtId="44" fontId="10" fillId="0" borderId="0" applyFont="0" applyFill="0" applyBorder="0" applyAlignment="0" applyProtection="0"/>
    <xf numFmtId="0" fontId="38" fillId="0" borderId="8" applyNumberFormat="0" applyFill="0" applyAlignment="0" applyProtection="0"/>
    <xf numFmtId="0" fontId="28" fillId="0" borderId="6" applyNumberFormat="0" applyFill="0" applyAlignment="0" applyProtection="0"/>
    <xf numFmtId="43" fontId="10" fillId="0" borderId="0" applyFont="0" applyFill="0" applyBorder="0" applyAlignment="0" applyProtection="0"/>
    <xf numFmtId="43" fontId="39" fillId="0" borderId="0" applyFont="0" applyFill="0" applyBorder="0" applyAlignment="0" applyProtection="0"/>
    <xf numFmtId="0" fontId="36" fillId="0" borderId="0" applyNumberFormat="0" applyFill="0" applyBorder="0" applyAlignment="0" applyProtection="0"/>
    <xf numFmtId="0" fontId="5" fillId="16" borderId="0" applyNumberFormat="0" applyBorder="0" applyAlignment="0" applyProtection="0"/>
    <xf numFmtId="43" fontId="45" fillId="0" borderId="0" applyFont="0" applyFill="0" applyBorder="0" applyAlignment="0" applyProtection="0"/>
    <xf numFmtId="0" fontId="37" fillId="0" borderId="0" applyNumberFormat="0" applyFill="0" applyBorder="0" applyAlignment="0" applyProtection="0"/>
    <xf numFmtId="0" fontId="14" fillId="0" borderId="0"/>
    <xf numFmtId="0" fontId="4" fillId="0" borderId="0"/>
    <xf numFmtId="43" fontId="4" fillId="0" borderId="0" applyFont="0" applyFill="0" applyBorder="0" applyAlignment="0" applyProtection="0"/>
    <xf numFmtId="0" fontId="46" fillId="0" borderId="0"/>
    <xf numFmtId="167" fontId="46"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2" fillId="0" borderId="0" applyFont="0" applyFill="0" applyBorder="0" applyAlignment="0" applyProtection="0"/>
    <xf numFmtId="43" fontId="14" fillId="0" borderId="0" applyFont="0" applyFill="0" applyBorder="0" applyAlignment="0" applyProtection="0"/>
    <xf numFmtId="9" fontId="10" fillId="0" borderId="0" applyFont="0" applyFill="0" applyBorder="0" applyAlignment="0" applyProtection="0"/>
    <xf numFmtId="0" fontId="62" fillId="0" borderId="0"/>
    <xf numFmtId="43" fontId="62" fillId="0" borderId="0" applyFont="0" applyFill="0" applyBorder="0" applyAlignment="0" applyProtection="0"/>
    <xf numFmtId="44" fontId="6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791">
    <xf numFmtId="0" fontId="0" fillId="0" borderId="0" xfId="0"/>
    <xf numFmtId="0" fontId="11" fillId="0" borderId="0" xfId="0" applyFont="1"/>
    <xf numFmtId="0" fontId="0" fillId="0" borderId="0" xfId="0" applyAlignment="1">
      <alignment horizontal="center"/>
    </xf>
    <xf numFmtId="165" fontId="0" fillId="0" borderId="0" xfId="0" applyNumberFormat="1"/>
    <xf numFmtId="0" fontId="18" fillId="0" borderId="0" xfId="20" applyNumberFormat="1" applyFont="1" applyFill="1" applyAlignment="1" applyProtection="1">
      <alignment horizontal="center"/>
    </xf>
    <xf numFmtId="0" fontId="11" fillId="0" borderId="0" xfId="0" applyFont="1" applyAlignment="1">
      <alignment horizontal="center"/>
    </xf>
    <xf numFmtId="15" fontId="17" fillId="0" borderId="0" xfId="0" quotePrefix="1" applyNumberFormat="1" applyFont="1" applyAlignment="1">
      <alignment horizontal="center"/>
    </xf>
    <xf numFmtId="0" fontId="10" fillId="0" borderId="0" xfId="0" applyFont="1" applyAlignment="1">
      <alignment horizontal="center"/>
    </xf>
    <xf numFmtId="0" fontId="10" fillId="0" borderId="0" xfId="0" applyFont="1"/>
    <xf numFmtId="37" fontId="11" fillId="0" borderId="0" xfId="17" applyNumberFormat="1" applyFont="1" applyFill="1" applyBorder="1" applyAlignment="1">
      <alignment horizontal="center"/>
    </xf>
    <xf numFmtId="0" fontId="11" fillId="0" borderId="0" xfId="17" quotePrefix="1" applyNumberFormat="1" applyFont="1" applyFill="1" applyBorder="1" applyAlignment="1">
      <alignment horizontal="left"/>
    </xf>
    <xf numFmtId="0" fontId="11" fillId="0" borderId="0" xfId="17" applyNumberFormat="1" applyFont="1" applyFill="1" applyBorder="1" applyAlignment="1">
      <alignment horizontal="left"/>
    </xf>
    <xf numFmtId="0" fontId="0" fillId="0" borderId="0" xfId="0" applyFill="1" applyBorder="1"/>
    <xf numFmtId="0" fontId="11" fillId="0" borderId="0" xfId="0" applyFont="1" applyBorder="1"/>
    <xf numFmtId="0" fontId="0" fillId="0" borderId="0" xfId="0" applyFill="1"/>
    <xf numFmtId="0" fontId="11" fillId="0" borderId="0" xfId="0" applyFont="1" applyFill="1" applyAlignment="1">
      <alignment horizontal="center"/>
    </xf>
    <xf numFmtId="164" fontId="24" fillId="0" borderId="0" xfId="2" applyNumberFormat="1" applyFont="1" applyFill="1"/>
    <xf numFmtId="165" fontId="24" fillId="0" borderId="0" xfId="1" applyNumberFormat="1" applyFont="1" applyFill="1" applyBorder="1"/>
    <xf numFmtId="0" fontId="24" fillId="0" borderId="0" xfId="19" applyFont="1" applyFill="1" applyBorder="1" applyAlignment="1">
      <alignment horizontal="center"/>
    </xf>
    <xf numFmtId="165" fontId="19" fillId="0" borderId="0" xfId="1" applyNumberFormat="1" applyFont="1" applyFill="1" applyBorder="1"/>
    <xf numFmtId="0" fontId="11" fillId="0" borderId="0" xfId="0" applyFont="1" applyFill="1"/>
    <xf numFmtId="165" fontId="19" fillId="0" borderId="0" xfId="1" applyNumberFormat="1" applyFont="1" applyFill="1" applyBorder="1" applyAlignment="1">
      <alignment horizontal="right"/>
    </xf>
    <xf numFmtId="164" fontId="10" fillId="0" borderId="0" xfId="0" applyNumberFormat="1" applyFont="1"/>
    <xf numFmtId="0" fontId="10" fillId="0" borderId="0" xfId="0" applyFont="1" applyFill="1"/>
    <xf numFmtId="165" fontId="10" fillId="0" borderId="0" xfId="1" applyNumberFormat="1" applyFont="1" applyFill="1" applyBorder="1" applyAlignment="1">
      <alignment horizontal="center"/>
    </xf>
    <xf numFmtId="0" fontId="11" fillId="0" borderId="0" xfId="0" applyFont="1" applyFill="1" applyAlignment="1"/>
    <xf numFmtId="10" fontId="10" fillId="0" borderId="0" xfId="25" applyNumberFormat="1" applyFont="1" applyFill="1" applyBorder="1" applyAlignment="1"/>
    <xf numFmtId="164" fontId="10" fillId="0" borderId="0" xfId="2" applyNumberFormat="1" applyFont="1" applyFill="1"/>
    <xf numFmtId="49" fontId="11" fillId="0" borderId="0" xfId="17" applyNumberFormat="1" applyFont="1" applyFill="1" applyBorder="1" applyAlignment="1">
      <alignment horizontal="center"/>
    </xf>
    <xf numFmtId="165" fontId="25" fillId="0" borderId="0" xfId="1" applyNumberFormat="1" applyFont="1" applyFill="1" applyBorder="1"/>
    <xf numFmtId="0" fontId="11" fillId="0" borderId="0" xfId="19" applyFont="1" applyFill="1" applyBorder="1" applyAlignment="1"/>
    <xf numFmtId="0" fontId="11" fillId="0" borderId="0" xfId="0" applyFont="1" applyFill="1" applyBorder="1"/>
    <xf numFmtId="165" fontId="27" fillId="0" borderId="0" xfId="1" applyNumberFormat="1" applyFont="1" applyFill="1" applyBorder="1"/>
    <xf numFmtId="0" fontId="10" fillId="0" borderId="0" xfId="0" applyFont="1" applyFill="1" applyAlignment="1">
      <alignment horizontal="left"/>
    </xf>
    <xf numFmtId="0" fontId="11" fillId="0" borderId="0" xfId="17" applyNumberFormat="1" applyFont="1" applyFill="1" applyBorder="1" applyAlignment="1"/>
    <xf numFmtId="0" fontId="11" fillId="0" borderId="0" xfId="17" applyNumberFormat="1" applyFont="1" applyBorder="1" applyAlignment="1"/>
    <xf numFmtId="165" fontId="10" fillId="0" borderId="0" xfId="1" quotePrefix="1" applyNumberFormat="1" applyFont="1" applyFill="1" applyBorder="1"/>
    <xf numFmtId="165" fontId="22" fillId="0" borderId="0" xfId="1" applyNumberFormat="1" applyFont="1" applyFill="1" applyBorder="1"/>
    <xf numFmtId="0" fontId="11" fillId="0" borderId="0" xfId="0" applyFont="1" applyBorder="1" applyAlignment="1">
      <alignment horizontal="center"/>
    </xf>
    <xf numFmtId="43" fontId="25" fillId="0" borderId="0" xfId="1" applyNumberFormat="1" applyFont="1" applyFill="1" applyBorder="1"/>
    <xf numFmtId="0" fontId="10" fillId="0" borderId="0" xfId="0" applyFont="1" applyFill="1" applyBorder="1" applyAlignment="1">
      <alignment horizontal="center"/>
    </xf>
    <xf numFmtId="0" fontId="10" fillId="0" borderId="0" xfId="0" applyFont="1" applyFill="1" applyBorder="1"/>
    <xf numFmtId="1" fontId="11" fillId="0" borderId="0" xfId="22" applyNumberFormat="1" applyFont="1" applyFill="1" applyBorder="1" applyAlignment="1">
      <alignment horizontal="center"/>
    </xf>
    <xf numFmtId="1" fontId="11" fillId="0" borderId="0" xfId="22" applyNumberFormat="1" applyFont="1" applyFill="1" applyBorder="1" applyAlignment="1">
      <alignment horizontal="left"/>
    </xf>
    <xf numFmtId="37" fontId="11" fillId="0" borderId="0" xfId="26" applyNumberFormat="1" applyFont="1" applyFill="1" applyBorder="1" applyAlignment="1"/>
    <xf numFmtId="43" fontId="11" fillId="0" borderId="0" xfId="1" applyNumberFormat="1" applyFont="1" applyFill="1" applyBorder="1" applyAlignment="1">
      <alignment horizontal="center" wrapText="1"/>
    </xf>
    <xf numFmtId="169" fontId="0" fillId="0" borderId="0" xfId="1" applyNumberFormat="1" applyFont="1" applyFill="1" applyBorder="1"/>
    <xf numFmtId="165" fontId="11" fillId="0" borderId="0" xfId="1" applyNumberFormat="1" applyFont="1" applyFill="1" applyBorder="1" applyAlignment="1">
      <alignment horizontal="center"/>
    </xf>
    <xf numFmtId="164" fontId="10" fillId="0" borderId="0" xfId="1" quotePrefix="1" applyNumberFormat="1" applyFont="1" applyFill="1" applyBorder="1"/>
    <xf numFmtId="164" fontId="10" fillId="0" borderId="0" xfId="1" applyNumberFormat="1" applyFont="1" applyFill="1" applyBorder="1"/>
    <xf numFmtId="164" fontId="11" fillId="0" borderId="0" xfId="1" applyNumberFormat="1" applyFont="1" applyFill="1" applyBorder="1"/>
    <xf numFmtId="37" fontId="11" fillId="0" borderId="4" xfId="26" applyNumberFormat="1" applyFont="1" applyFill="1" applyBorder="1" applyAlignment="1"/>
    <xf numFmtId="37" fontId="16" fillId="0" borderId="0" xfId="26" applyNumberFormat="1" applyFont="1" applyFill="1" applyBorder="1" applyAlignment="1"/>
    <xf numFmtId="37" fontId="11" fillId="0" borderId="5" xfId="26" applyNumberFormat="1" applyFont="1" applyFill="1" applyBorder="1" applyAlignment="1"/>
    <xf numFmtId="165" fontId="10" fillId="0" borderId="0" xfId="1" applyNumberFormat="1" applyFont="1" applyFill="1" applyBorder="1"/>
    <xf numFmtId="164" fontId="10" fillId="0" borderId="0" xfId="2" applyNumberFormat="1" applyFont="1" applyFill="1" applyBorder="1"/>
    <xf numFmtId="0" fontId="11" fillId="0" borderId="0" xfId="0" applyFont="1" applyBorder="1" applyAlignment="1">
      <alignment horizontal="right"/>
    </xf>
    <xf numFmtId="0" fontId="11" fillId="2" borderId="0" xfId="19" applyFont="1" applyFill="1" applyBorder="1" applyAlignment="1">
      <alignment horizontal="center"/>
    </xf>
    <xf numFmtId="165" fontId="10" fillId="0" borderId="2" xfId="1" applyNumberFormat="1" applyFont="1" applyFill="1" applyBorder="1"/>
    <xf numFmtId="0" fontId="11" fillId="0" borderId="0" xfId="17" applyNumberFormat="1" applyFont="1" applyFill="1" applyBorder="1" applyAlignment="1">
      <alignment horizontal="center"/>
    </xf>
    <xf numFmtId="0" fontId="11" fillId="0" borderId="0" xfId="0" applyFont="1" applyFill="1" applyBorder="1" applyAlignment="1">
      <alignment horizontal="left"/>
    </xf>
    <xf numFmtId="165" fontId="11" fillId="0" borderId="1" xfId="1" applyNumberFormat="1" applyFont="1" applyFill="1" applyBorder="1" applyAlignment="1">
      <alignment horizontal="center"/>
    </xf>
    <xf numFmtId="0" fontId="0" fillId="0" borderId="0" xfId="0"/>
    <xf numFmtId="165" fontId="10" fillId="0" borderId="1" xfId="1" applyNumberFormat="1" applyFont="1" applyFill="1" applyBorder="1"/>
    <xf numFmtId="37" fontId="10" fillId="0" borderId="0" xfId="26" applyNumberFormat="1" applyFont="1" applyFill="1" applyBorder="1" applyAlignment="1"/>
    <xf numFmtId="0" fontId="11" fillId="0" borderId="0" xfId="21" applyNumberFormat="1" applyFont="1" applyFill="1" applyBorder="1" applyAlignment="1" applyProtection="1">
      <alignment horizontal="center"/>
    </xf>
    <xf numFmtId="0" fontId="10" fillId="0" borderId="0" xfId="0" applyFont="1" applyAlignment="1"/>
    <xf numFmtId="0" fontId="11" fillId="0" borderId="0" xfId="17" applyNumberFormat="1" applyFont="1" applyFill="1" applyBorder="1" applyAlignment="1"/>
    <xf numFmtId="0" fontId="11" fillId="0" borderId="0" xfId="19" applyFont="1" applyFill="1" applyBorder="1" applyAlignment="1">
      <alignment horizontal="center"/>
    </xf>
    <xf numFmtId="0" fontId="11" fillId="0" borderId="0" xfId="0" applyFont="1" applyAlignment="1"/>
    <xf numFmtId="0" fontId="11" fillId="0" borderId="0" xfId="19" applyFont="1" applyFill="1" applyBorder="1" applyAlignment="1">
      <alignment horizontal="left"/>
    </xf>
    <xf numFmtId="0" fontId="11" fillId="2" borderId="0" xfId="0" applyFont="1" applyFill="1" applyAlignment="1"/>
    <xf numFmtId="0" fontId="11" fillId="0" borderId="0" xfId="0" applyFont="1" applyAlignment="1">
      <alignment horizontal="right"/>
    </xf>
    <xf numFmtId="0" fontId="11" fillId="0" borderId="0" xfId="19" applyFont="1" applyFill="1" applyBorder="1" applyAlignment="1">
      <alignment horizontal="right"/>
    </xf>
    <xf numFmtId="0" fontId="30" fillId="0" borderId="0" xfId="0" applyFont="1" applyAlignment="1"/>
    <xf numFmtId="0" fontId="31" fillId="0" borderId="0" xfId="0" applyFont="1"/>
    <xf numFmtId="0" fontId="31" fillId="0" borderId="0" xfId="0" applyFont="1" applyAlignment="1">
      <alignment horizontal="center"/>
    </xf>
    <xf numFmtId="41" fontId="31" fillId="0" borderId="0" xfId="0" applyNumberFormat="1" applyFont="1"/>
    <xf numFmtId="0" fontId="31" fillId="0" borderId="0" xfId="0" applyFont="1" applyAlignment="1">
      <alignment horizontal="left" indent="2"/>
    </xf>
    <xf numFmtId="41" fontId="31" fillId="0" borderId="0" xfId="0" applyNumberFormat="1" applyFont="1" applyFill="1" applyBorder="1"/>
    <xf numFmtId="0" fontId="30" fillId="0" borderId="0" xfId="0" applyFont="1"/>
    <xf numFmtId="0" fontId="31" fillId="0" borderId="0" xfId="0" applyFont="1" applyFill="1" applyBorder="1"/>
    <xf numFmtId="0" fontId="31" fillId="0" borderId="0" xfId="0" applyFont="1" applyFill="1"/>
    <xf numFmtId="0" fontId="31" fillId="0" borderId="0" xfId="0" applyFont="1" applyAlignment="1">
      <alignment horizontal="left" indent="5"/>
    </xf>
    <xf numFmtId="0" fontId="30" fillId="0" borderId="0" xfId="0" applyFont="1" applyAlignment="1">
      <alignment horizontal="right"/>
    </xf>
    <xf numFmtId="0" fontId="10" fillId="0" borderId="0" xfId="19" applyFont="1" applyFill="1" applyBorder="1" applyAlignment="1"/>
    <xf numFmtId="0" fontId="10" fillId="0" borderId="0" xfId="19" applyFont="1" applyFill="1" applyBorder="1" applyAlignment="1">
      <alignment horizontal="center"/>
    </xf>
    <xf numFmtId="165" fontId="10" fillId="2" borderId="0" xfId="1" applyNumberFormat="1" applyFont="1" applyFill="1" applyBorder="1"/>
    <xf numFmtId="0" fontId="11" fillId="0" borderId="0" xfId="0" applyFont="1" applyAlignment="1" applyProtection="1">
      <alignment horizontal="left"/>
    </xf>
    <xf numFmtId="0" fontId="10" fillId="0" borderId="0" xfId="20" applyNumberFormat="1" applyFont="1" applyFill="1" applyAlignment="1">
      <alignment horizontal="center"/>
    </xf>
    <xf numFmtId="171" fontId="11" fillId="0" borderId="0" xfId="22" applyNumberFormat="1" applyFont="1" applyFill="1" applyBorder="1" applyAlignment="1"/>
    <xf numFmtId="0" fontId="11" fillId="0" borderId="0" xfId="20" applyNumberFormat="1" applyFont="1" applyFill="1" applyAlignment="1" applyProtection="1"/>
    <xf numFmtId="171" fontId="11" fillId="0" borderId="0" xfId="22" applyNumberFormat="1" applyFont="1" applyFill="1" applyBorder="1" applyAlignment="1">
      <alignment horizontal="left"/>
    </xf>
    <xf numFmtId="0" fontId="11" fillId="0" borderId="0" xfId="20" applyNumberFormat="1" applyFont="1" applyFill="1" applyAlignment="1" applyProtection="1">
      <alignment horizontal="left"/>
    </xf>
    <xf numFmtId="0" fontId="11" fillId="0" borderId="0" xfId="20" applyNumberFormat="1" applyFont="1" applyFill="1" applyAlignment="1" applyProtection="1">
      <alignment horizontal="right"/>
    </xf>
    <xf numFmtId="15" fontId="11" fillId="0" borderId="0" xfId="0" quotePrefix="1" applyNumberFormat="1" applyFont="1" applyAlignment="1"/>
    <xf numFmtId="49" fontId="10" fillId="0" borderId="0" xfId="17" applyNumberFormat="1" applyFont="1" applyFill="1" applyBorder="1" applyAlignment="1">
      <alignment horizontal="center"/>
    </xf>
    <xf numFmtId="0" fontId="10" fillId="0" borderId="0" xfId="17" applyNumberFormat="1" applyFont="1" applyFill="1" applyBorder="1" applyAlignment="1"/>
    <xf numFmtId="0" fontId="10" fillId="0" borderId="0" xfId="17" applyNumberFormat="1" applyFont="1" applyFill="1" applyBorder="1" applyAlignment="1"/>
    <xf numFmtId="0" fontId="11" fillId="0" borderId="0" xfId="0" applyFont="1" applyFill="1" applyAlignment="1" applyProtection="1">
      <alignment horizontal="left"/>
    </xf>
    <xf numFmtId="0" fontId="18" fillId="0" borderId="0" xfId="20" applyNumberFormat="1" applyFont="1" applyFill="1" applyAlignment="1">
      <alignment horizontal="center"/>
    </xf>
    <xf numFmtId="0" fontId="19" fillId="0" borderId="0" xfId="20" applyNumberFormat="1" applyFont="1" applyFill="1" applyAlignment="1"/>
    <xf numFmtId="0" fontId="10" fillId="0" borderId="0" xfId="19" quotePrefix="1" applyFont="1" applyFill="1" applyBorder="1" applyAlignment="1">
      <alignment horizontal="center"/>
    </xf>
    <xf numFmtId="0" fontId="10" fillId="0" borderId="0" xfId="0" applyFont="1" applyFill="1" applyAlignment="1">
      <alignment horizontal="center"/>
    </xf>
    <xf numFmtId="0" fontId="10" fillId="0" borderId="0" xfId="21" applyNumberFormat="1" applyFont="1" applyFill="1" applyBorder="1" applyAlignment="1"/>
    <xf numFmtId="49" fontId="10" fillId="0" borderId="0" xfId="17" applyNumberFormat="1" applyFont="1" applyFill="1" applyBorder="1" applyAlignment="1"/>
    <xf numFmtId="0" fontId="10" fillId="0" borderId="0" xfId="17" applyNumberFormat="1" applyFont="1" applyFill="1" applyBorder="1" applyAlignment="1">
      <alignment horizontal="left"/>
    </xf>
    <xf numFmtId="0" fontId="10" fillId="0" borderId="0" xfId="17" applyNumberFormat="1" applyFont="1" applyFill="1" applyBorder="1" applyAlignment="1">
      <alignment horizontal="center"/>
    </xf>
    <xf numFmtId="0" fontId="23" fillId="0" borderId="0" xfId="0" applyFont="1"/>
    <xf numFmtId="0" fontId="10" fillId="0" borderId="0" xfId="19" applyFont="1" applyFill="1" applyBorder="1" applyAlignment="1">
      <alignment horizontal="left" indent="1"/>
    </xf>
    <xf numFmtId="0" fontId="10" fillId="2" borderId="0" xfId="19" applyFont="1" applyFill="1" applyBorder="1" applyAlignment="1">
      <alignment horizontal="left" indent="1"/>
    </xf>
    <xf numFmtId="0" fontId="10" fillId="0" borderId="0" xfId="20" applyNumberFormat="1" applyFont="1" applyFill="1" applyAlignment="1" applyProtection="1">
      <alignment horizontal="center"/>
    </xf>
    <xf numFmtId="0" fontId="10" fillId="0" borderId="0" xfId="20" applyNumberFormat="1" applyFont="1" applyFill="1" applyAlignment="1"/>
    <xf numFmtId="164" fontId="10" fillId="0" borderId="5" xfId="2" applyNumberFormat="1" applyFont="1" applyFill="1" applyBorder="1"/>
    <xf numFmtId="164" fontId="10" fillId="0" borderId="0" xfId="20" applyNumberFormat="1" applyFont="1" applyFill="1" applyBorder="1" applyAlignment="1"/>
    <xf numFmtId="0" fontId="19" fillId="0" borderId="0" xfId="20" applyNumberFormat="1" applyFont="1" applyFill="1" applyBorder="1" applyAlignment="1"/>
    <xf numFmtId="0" fontId="11" fillId="0" borderId="0" xfId="17" applyNumberFormat="1" applyFont="1" applyBorder="1" applyAlignment="1">
      <alignment horizontal="right"/>
    </xf>
    <xf numFmtId="0" fontId="10" fillId="0" borderId="0" xfId="0" applyFont="1" applyFill="1" applyBorder="1" applyAlignment="1">
      <alignment horizontal="left" indent="1"/>
    </xf>
    <xf numFmtId="0" fontId="10" fillId="0" borderId="1" xfId="0" applyFont="1" applyBorder="1"/>
    <xf numFmtId="165" fontId="10" fillId="0" borderId="0" xfId="1" applyNumberFormat="1" applyFont="1" applyFill="1" applyBorder="1" applyAlignment="1"/>
    <xf numFmtId="0" fontId="10" fillId="0" borderId="0" xfId="0" applyFont="1" applyFill="1" applyBorder="1" applyAlignment="1">
      <alignment horizontal="center" wrapText="1"/>
    </xf>
    <xf numFmtId="165" fontId="31" fillId="0" borderId="0" xfId="9" applyNumberFormat="1" applyFont="1" applyFill="1"/>
    <xf numFmtId="41" fontId="31" fillId="0" borderId="9" xfId="0" applyNumberFormat="1" applyFont="1" applyFill="1" applyBorder="1"/>
    <xf numFmtId="0" fontId="10" fillId="0" borderId="0" xfId="0" applyFont="1" applyFill="1" applyAlignment="1"/>
    <xf numFmtId="165" fontId="31" fillId="0" borderId="9" xfId="9" applyNumberFormat="1" applyFont="1" applyFill="1" applyBorder="1"/>
    <xf numFmtId="0" fontId="11" fillId="0" borderId="1" xfId="0" applyFont="1" applyBorder="1" applyAlignment="1">
      <alignment horizontal="center"/>
    </xf>
    <xf numFmtId="0" fontId="10" fillId="0" borderId="0" xfId="0" applyFont="1" applyBorder="1"/>
    <xf numFmtId="0" fontId="10" fillId="0" borderId="0" xfId="17" applyNumberFormat="1" applyFont="1" applyFill="1" applyBorder="1" applyAlignment="1">
      <alignment horizontal="right"/>
    </xf>
    <xf numFmtId="166" fontId="11" fillId="0" borderId="0" xfId="19" applyNumberFormat="1" applyFont="1" applyFill="1" applyBorder="1" applyAlignment="1"/>
    <xf numFmtId="164" fontId="10" fillId="0" borderId="9" xfId="7" applyNumberFormat="1" applyFont="1" applyFill="1" applyBorder="1"/>
    <xf numFmtId="0" fontId="10" fillId="0" borderId="0" xfId="19" applyFont="1" applyFill="1" applyBorder="1" applyAlignment="1">
      <alignment horizontal="right"/>
    </xf>
    <xf numFmtId="165" fontId="10" fillId="0" borderId="0" xfId="19" applyNumberFormat="1" applyFont="1" applyFill="1" applyBorder="1" applyAlignment="1"/>
    <xf numFmtId="165" fontId="10" fillId="0" borderId="0" xfId="19" applyNumberFormat="1" applyFont="1" applyFill="1" applyBorder="1" applyAlignment="1">
      <alignment horizontal="right"/>
    </xf>
    <xf numFmtId="165" fontId="10" fillId="0" borderId="0" xfId="1" applyNumberFormat="1" applyFont="1" applyFill="1" applyBorder="1" applyAlignment="1">
      <alignment horizontal="right"/>
    </xf>
    <xf numFmtId="164" fontId="10" fillId="0" borderId="3" xfId="2" applyNumberFormat="1" applyFont="1" applyFill="1" applyBorder="1"/>
    <xf numFmtId="43" fontId="10" fillId="0" borderId="0" xfId="1" applyNumberFormat="1" applyFont="1" applyFill="1" applyBorder="1"/>
    <xf numFmtId="43" fontId="10" fillId="0" borderId="0" xfId="19" applyNumberFormat="1" applyFont="1" applyFill="1" applyBorder="1" applyAlignment="1"/>
    <xf numFmtId="164" fontId="10" fillId="0" borderId="0" xfId="19" applyNumberFormat="1" applyFont="1" applyFill="1" applyBorder="1" applyAlignment="1"/>
    <xf numFmtId="49" fontId="10" fillId="0" borderId="0" xfId="16" applyNumberFormat="1" applyFont="1" applyFill="1" applyBorder="1" applyAlignment="1">
      <alignment horizontal="center"/>
    </xf>
    <xf numFmtId="170" fontId="10" fillId="0" borderId="0" xfId="0" applyNumberFormat="1" applyFont="1" applyFill="1" applyBorder="1" applyAlignment="1">
      <alignment horizontal="center"/>
    </xf>
    <xf numFmtId="165" fontId="10" fillId="0" borderId="0" xfId="0" applyNumberFormat="1" applyFont="1" applyFill="1"/>
    <xf numFmtId="0" fontId="10" fillId="0" borderId="0" xfId="21" applyNumberFormat="1" applyFont="1" applyFill="1" applyBorder="1" applyAlignment="1" applyProtection="1">
      <alignment horizontal="center"/>
    </xf>
    <xf numFmtId="0" fontId="10" fillId="0" borderId="0" xfId="0" applyFont="1" applyBorder="1" applyAlignment="1">
      <alignment horizontal="center"/>
    </xf>
    <xf numFmtId="10" fontId="10" fillId="0" borderId="0" xfId="1" applyNumberFormat="1" applyFont="1" applyFill="1" applyBorder="1"/>
    <xf numFmtId="164" fontId="10" fillId="0" borderId="0" xfId="7" applyNumberFormat="1" applyFont="1" applyFill="1" applyBorder="1"/>
    <xf numFmtId="0" fontId="10" fillId="0" borderId="0" xfId="21" applyNumberFormat="1" applyFont="1" applyFill="1" applyBorder="1" applyAlignment="1" applyProtection="1">
      <alignment horizontal="left"/>
    </xf>
    <xf numFmtId="0" fontId="10" fillId="0" borderId="0" xfId="21" applyNumberFormat="1" applyFont="1" applyFill="1" applyBorder="1" applyAlignment="1">
      <alignment horizontal="left"/>
    </xf>
    <xf numFmtId="164" fontId="10" fillId="0" borderId="0" xfId="2" quotePrefix="1" applyNumberFormat="1" applyFont="1" applyFill="1" applyAlignment="1">
      <alignment horizontal="center"/>
    </xf>
    <xf numFmtId="38" fontId="10" fillId="0" borderId="0" xfId="26" applyNumberFormat="1" applyFont="1" applyFill="1" applyBorder="1" applyAlignment="1"/>
    <xf numFmtId="42" fontId="10" fillId="0" borderId="0" xfId="0" applyNumberFormat="1" applyFont="1" applyFill="1"/>
    <xf numFmtId="165" fontId="10" fillId="0" borderId="0" xfId="28" applyNumberFormat="1" applyFont="1" applyFill="1" applyBorder="1" applyAlignment="1"/>
    <xf numFmtId="165" fontId="10" fillId="0" borderId="0" xfId="28" applyNumberFormat="1" applyFont="1" applyFill="1" applyBorder="1" applyAlignment="1"/>
    <xf numFmtId="165" fontId="25" fillId="0" borderId="0" xfId="28" applyNumberFormat="1" applyFont="1" applyFill="1" applyBorder="1" applyAlignment="1"/>
    <xf numFmtId="10" fontId="10" fillId="0" borderId="0" xfId="29" applyNumberFormat="1" applyFont="1" applyFill="1" applyBorder="1" applyAlignment="1"/>
    <xf numFmtId="0" fontId="10" fillId="0" borderId="1" xfId="0" applyFont="1" applyBorder="1" applyAlignment="1"/>
    <xf numFmtId="0" fontId="10" fillId="0" borderId="0" xfId="0" applyFont="1" applyBorder="1" applyAlignment="1"/>
    <xf numFmtId="165" fontId="10" fillId="0" borderId="0" xfId="0" applyNumberFormat="1" applyFont="1" applyFill="1" applyBorder="1"/>
    <xf numFmtId="41" fontId="10" fillId="0" borderId="0" xfId="0" applyNumberFormat="1" applyFont="1"/>
    <xf numFmtId="165" fontId="10" fillId="0" borderId="0" xfId="1" applyNumberFormat="1" applyFont="1" applyFill="1" applyBorder="1" applyAlignment="1">
      <alignment horizontal="left"/>
    </xf>
    <xf numFmtId="0" fontId="10" fillId="0" borderId="0" xfId="0" applyFont="1" applyAlignment="1">
      <alignment horizontal="left"/>
    </xf>
    <xf numFmtId="164" fontId="10" fillId="0" borderId="0" xfId="0" applyNumberFormat="1" applyFont="1" applyFill="1"/>
    <xf numFmtId="10" fontId="10" fillId="0" borderId="0" xfId="5" applyNumberFormat="1" applyFont="1" applyFill="1" applyBorder="1"/>
    <xf numFmtId="0" fontId="10" fillId="0" borderId="0" xfId="18" applyFont="1" applyFill="1" applyBorder="1" applyAlignment="1"/>
    <xf numFmtId="43" fontId="10" fillId="0" borderId="0" xfId="18" applyNumberFormat="1" applyFont="1" applyFill="1" applyBorder="1" applyAlignment="1"/>
    <xf numFmtId="0" fontId="10" fillId="0" borderId="0" xfId="17" applyNumberFormat="1" applyFont="1" applyBorder="1" applyAlignment="1"/>
    <xf numFmtId="37" fontId="10" fillId="0" borderId="0" xfId="17" applyNumberFormat="1" applyFont="1" applyFill="1" applyBorder="1" applyAlignment="1">
      <alignment horizontal="right"/>
    </xf>
    <xf numFmtId="37" fontId="10" fillId="0" borderId="0" xfId="17" applyNumberFormat="1" applyFont="1" applyFill="1" applyBorder="1" applyAlignment="1">
      <alignment horizontal="left"/>
    </xf>
    <xf numFmtId="37" fontId="10" fillId="0" borderId="0" xfId="17" applyNumberFormat="1" applyFont="1" applyBorder="1" applyAlignment="1">
      <alignment horizontal="right"/>
    </xf>
    <xf numFmtId="49" fontId="10" fillId="0" borderId="0" xfId="17" quotePrefix="1" applyNumberFormat="1" applyFont="1" applyFill="1" applyBorder="1" applyAlignment="1">
      <alignment horizontal="center"/>
    </xf>
    <xf numFmtId="49" fontId="10" fillId="0" borderId="0" xfId="17" applyNumberFormat="1" applyFont="1" applyFill="1" applyBorder="1" applyAlignment="1"/>
    <xf numFmtId="0" fontId="10" fillId="0" borderId="0" xfId="17" applyNumberFormat="1" applyFont="1" applyFill="1" applyBorder="1" applyAlignment="1">
      <alignment horizontal="center"/>
    </xf>
    <xf numFmtId="49" fontId="10" fillId="0" borderId="0" xfId="17" quotePrefix="1" applyNumberFormat="1" applyFont="1" applyFill="1" applyBorder="1" applyAlignment="1">
      <alignment horizontal="center"/>
    </xf>
    <xf numFmtId="165" fontId="10" fillId="0" borderId="0" xfId="9" applyNumberFormat="1" applyFont="1" applyFill="1" applyAlignment="1"/>
    <xf numFmtId="37" fontId="10" fillId="0" borderId="0" xfId="17" applyNumberFormat="1" applyFont="1" applyFill="1" applyBorder="1" applyAlignment="1"/>
    <xf numFmtId="0" fontId="10" fillId="0" borderId="0" xfId="0" applyFont="1" applyAlignment="1">
      <alignment horizontal="center" wrapText="1"/>
    </xf>
    <xf numFmtId="0" fontId="10" fillId="0" borderId="0" xfId="0" applyFont="1" applyAlignment="1">
      <alignment wrapText="1"/>
    </xf>
    <xf numFmtId="37" fontId="10" fillId="0" borderId="0" xfId="26" applyNumberFormat="1" applyFont="1" applyFill="1" applyBorder="1" applyAlignment="1">
      <alignment horizontal="center"/>
    </xf>
    <xf numFmtId="168" fontId="10" fillId="0" borderId="0" xfId="26" applyNumberFormat="1" applyFont="1" applyFill="1" applyBorder="1" applyAlignment="1"/>
    <xf numFmtId="164" fontId="10" fillId="0" borderId="0" xfId="26" applyNumberFormat="1" applyFont="1" applyFill="1" applyBorder="1" applyAlignment="1"/>
    <xf numFmtId="40" fontId="10" fillId="0" borderId="0" xfId="26" applyNumberFormat="1" applyFont="1" applyFill="1" applyBorder="1" applyAlignment="1"/>
    <xf numFmtId="172" fontId="10" fillId="0" borderId="4" xfId="2" applyNumberFormat="1" applyFont="1" applyFill="1" applyBorder="1"/>
    <xf numFmtId="40" fontId="10" fillId="0" borderId="4" xfId="2" applyNumberFormat="1" applyFont="1" applyFill="1" applyBorder="1"/>
    <xf numFmtId="172" fontId="10" fillId="0" borderId="0" xfId="26" applyNumberFormat="1" applyFont="1" applyFill="1" applyBorder="1" applyAlignment="1"/>
    <xf numFmtId="164" fontId="10" fillId="0" borderId="4" xfId="2" applyNumberFormat="1" applyFont="1" applyFill="1" applyBorder="1"/>
    <xf numFmtId="37" fontId="10" fillId="0" borderId="5" xfId="26" applyNumberFormat="1" applyFont="1" applyFill="1" applyBorder="1" applyAlignment="1"/>
    <xf numFmtId="38" fontId="10" fillId="0" borderId="0" xfId="2" applyNumberFormat="1" applyFont="1" applyFill="1" applyBorder="1"/>
    <xf numFmtId="0" fontId="10" fillId="0" borderId="0" xfId="20" applyNumberFormat="1" applyFont="1" applyFill="1" applyBorder="1" applyAlignment="1"/>
    <xf numFmtId="49" fontId="10" fillId="0" borderId="0" xfId="20" applyNumberFormat="1" applyFont="1" applyFill="1" applyAlignment="1" applyProtection="1">
      <alignment horizontal="center"/>
    </xf>
    <xf numFmtId="49" fontId="10" fillId="0" borderId="0" xfId="20" applyNumberFormat="1" applyFont="1" applyFill="1" applyAlignment="1">
      <alignment horizontal="center"/>
    </xf>
    <xf numFmtId="49" fontId="10" fillId="0" borderId="0" xfId="20" applyNumberFormat="1" applyFont="1" applyFill="1" applyBorder="1" applyAlignment="1">
      <alignment horizontal="center"/>
    </xf>
    <xf numFmtId="0" fontId="10" fillId="0" borderId="0" xfId="20" applyNumberFormat="1" applyFont="1" applyFill="1" applyAlignment="1">
      <alignment horizontal="left"/>
    </xf>
    <xf numFmtId="0" fontId="10" fillId="0" borderId="0" xfId="20" quotePrefix="1" applyNumberFormat="1" applyFont="1" applyFill="1" applyAlignment="1"/>
    <xf numFmtId="0" fontId="10" fillId="0" borderId="0" xfId="0" applyFont="1" applyFill="1" applyBorder="1" applyAlignment="1"/>
    <xf numFmtId="165" fontId="10" fillId="0" borderId="0" xfId="0" applyNumberFormat="1" applyFont="1" applyFill="1" applyAlignment="1"/>
    <xf numFmtId="37" fontId="10" fillId="0" borderId="0" xfId="0" applyNumberFormat="1" applyFont="1" applyFill="1" applyAlignment="1"/>
    <xf numFmtId="0" fontId="10" fillId="2" borderId="0" xfId="19" applyFont="1" applyFill="1" applyBorder="1" applyAlignment="1"/>
    <xf numFmtId="0" fontId="10" fillId="2" borderId="0" xfId="19" applyFont="1" applyFill="1" applyBorder="1" applyAlignment="1">
      <alignment horizontal="center"/>
    </xf>
    <xf numFmtId="0" fontId="10" fillId="2" borderId="0" xfId="19" applyFont="1" applyFill="1" applyBorder="1" applyAlignment="1">
      <alignment horizontal="left"/>
    </xf>
    <xf numFmtId="164" fontId="10" fillId="2" borderId="3" xfId="2" applyNumberFormat="1" applyFont="1" applyFill="1" applyBorder="1"/>
    <xf numFmtId="165" fontId="10" fillId="0" borderId="0" xfId="9" applyNumberFormat="1" applyFont="1" applyFill="1" applyBorder="1"/>
    <xf numFmtId="165" fontId="10" fillId="0" borderId="0" xfId="9" applyNumberFormat="1" applyFont="1" applyFill="1" applyAlignment="1"/>
    <xf numFmtId="0" fontId="11" fillId="0" borderId="0" xfId="21" applyNumberFormat="1" applyFont="1" applyFill="1" applyBorder="1" applyAlignment="1"/>
    <xf numFmtId="0" fontId="21" fillId="0" borderId="0" xfId="17" applyNumberFormat="1" applyFont="1" applyFill="1" applyBorder="1" applyAlignment="1">
      <alignment horizontal="center"/>
    </xf>
    <xf numFmtId="41" fontId="10" fillId="0" borderId="0" xfId="1" applyNumberFormat="1" applyFont="1" applyFill="1" applyBorder="1"/>
    <xf numFmtId="0" fontId="10" fillId="0" borderId="0" xfId="33" applyFont="1" applyFill="1" applyBorder="1" applyAlignment="1">
      <alignment horizontal="left" wrapText="1" indent="1"/>
    </xf>
    <xf numFmtId="0" fontId="10" fillId="0" borderId="0" xfId="33" applyFont="1" applyAlignment="1">
      <alignment horizontal="left" indent="1"/>
    </xf>
    <xf numFmtId="165" fontId="31" fillId="0" borderId="0" xfId="9" applyNumberFormat="1" applyFont="1" applyFill="1" applyBorder="1"/>
    <xf numFmtId="165" fontId="10" fillId="0" borderId="0" xfId="26" applyNumberFormat="1" applyFont="1" applyFill="1"/>
    <xf numFmtId="43" fontId="0" fillId="0" borderId="0" xfId="26" applyFont="1"/>
    <xf numFmtId="165" fontId="10" fillId="0" borderId="0" xfId="26" applyNumberFormat="1" applyFont="1" applyFill="1" applyBorder="1"/>
    <xf numFmtId="15" fontId="11" fillId="0" borderId="0" xfId="0" quotePrefix="1" applyNumberFormat="1" applyFont="1" applyFill="1" applyAlignment="1"/>
    <xf numFmtId="10" fontId="10" fillId="0" borderId="0" xfId="23" applyNumberFormat="1" applyFont="1" applyFill="1" applyBorder="1"/>
    <xf numFmtId="2" fontId="10" fillId="0" borderId="0" xfId="0" applyNumberFormat="1" applyFont="1" applyFill="1"/>
    <xf numFmtId="0" fontId="10" fillId="0" borderId="0" xfId="35" applyFont="1"/>
    <xf numFmtId="0" fontId="10" fillId="0" borderId="0" xfId="35" applyFont="1" applyAlignment="1">
      <alignment horizontal="center"/>
    </xf>
    <xf numFmtId="0" fontId="10" fillId="0" borderId="1" xfId="35" applyFont="1" applyBorder="1" applyAlignment="1">
      <alignment horizontal="center"/>
    </xf>
    <xf numFmtId="0" fontId="10" fillId="0" borderId="0" xfId="35" applyFont="1" applyAlignment="1" applyProtection="1">
      <alignment horizontal="center"/>
    </xf>
    <xf numFmtId="0" fontId="10" fillId="0" borderId="0" xfId="35" applyFont="1" applyBorder="1"/>
    <xf numFmtId="0" fontId="10" fillId="0" borderId="0" xfId="35" applyFont="1" applyBorder="1" applyAlignment="1">
      <alignment horizontal="center" wrapText="1"/>
    </xf>
    <xf numFmtId="0" fontId="10" fillId="0" borderId="0" xfId="38" applyFont="1" applyFill="1" applyBorder="1"/>
    <xf numFmtId="0" fontId="10" fillId="0" borderId="0" xfId="33" applyFont="1" applyFill="1" applyBorder="1" applyAlignment="1">
      <alignment horizontal="left" indent="1"/>
    </xf>
    <xf numFmtId="39" fontId="11" fillId="0" borderId="0" xfId="40" applyFont="1" applyAlignment="1">
      <alignment horizontal="center"/>
    </xf>
    <xf numFmtId="39" fontId="10" fillId="0" borderId="0" xfId="40" applyFont="1" applyBorder="1" applyAlignment="1">
      <alignment horizontal="center"/>
    </xf>
    <xf numFmtId="39" fontId="10" fillId="0" borderId="0" xfId="40" applyFont="1"/>
    <xf numFmtId="39" fontId="10" fillId="0" borderId="0" xfId="40" applyFont="1" applyAlignment="1">
      <alignment horizontal="center"/>
    </xf>
    <xf numFmtId="39" fontId="10" fillId="0" borderId="0" xfId="40" applyFont="1" applyBorder="1"/>
    <xf numFmtId="39" fontId="10" fillId="0" borderId="0" xfId="40" applyFont="1" applyBorder="1" applyAlignment="1">
      <alignment horizontal="left"/>
    </xf>
    <xf numFmtId="0" fontId="10" fillId="0" borderId="0" xfId="40" applyNumberFormat="1" applyFont="1" applyAlignment="1">
      <alignment horizontal="center"/>
    </xf>
    <xf numFmtId="39" fontId="26" fillId="0" borderId="0" xfId="40" applyFont="1"/>
    <xf numFmtId="165" fontId="10" fillId="0" borderId="0" xfId="40" applyNumberFormat="1" applyFont="1" applyBorder="1"/>
    <xf numFmtId="37" fontId="10" fillId="0" borderId="0" xfId="40" applyNumberFormat="1" applyFont="1" applyBorder="1"/>
    <xf numFmtId="0" fontId="10" fillId="0" borderId="0" xfId="41" applyFont="1" applyBorder="1" applyAlignment="1">
      <alignment horizontal="center" wrapText="1"/>
    </xf>
    <xf numFmtId="0" fontId="11" fillId="0" borderId="0" xfId="41" applyFont="1" applyBorder="1" applyAlignment="1">
      <alignment horizontal="left" wrapText="1"/>
    </xf>
    <xf numFmtId="49"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left" wrapText="1"/>
    </xf>
    <xf numFmtId="0" fontId="10" fillId="0" borderId="0" xfId="42" applyFont="1" applyBorder="1" applyAlignment="1">
      <alignment horizontal="center"/>
    </xf>
    <xf numFmtId="49" fontId="11" fillId="0" borderId="0" xfId="36" applyNumberFormat="1" applyFont="1" applyFill="1" applyBorder="1" applyAlignment="1">
      <alignment horizontal="left" wrapText="1"/>
    </xf>
    <xf numFmtId="0" fontId="10" fillId="0" borderId="0" xfId="42" applyFont="1" applyBorder="1" applyAlignment="1">
      <alignment horizontal="left"/>
    </xf>
    <xf numFmtId="0" fontId="10" fillId="0" borderId="0" xfId="42" applyFont="1"/>
    <xf numFmtId="39" fontId="10" fillId="0" borderId="0" xfId="40" applyFont="1" applyFill="1" applyBorder="1" applyAlignment="1">
      <alignment horizontal="left"/>
    </xf>
    <xf numFmtId="39" fontId="10" fillId="0" borderId="0" xfId="40" applyFont="1" applyFill="1"/>
    <xf numFmtId="39" fontId="26" fillId="0" borderId="0" xfId="40" applyFont="1" applyFill="1"/>
    <xf numFmtId="39" fontId="10" fillId="0" borderId="0" xfId="40" applyFont="1" applyFill="1" applyBorder="1"/>
    <xf numFmtId="37" fontId="10" fillId="0" borderId="0" xfId="40" applyNumberFormat="1" applyFont="1" applyAlignment="1">
      <alignment horizontal="center"/>
    </xf>
    <xf numFmtId="164" fontId="0" fillId="0" borderId="0" xfId="0" applyNumberFormat="1"/>
    <xf numFmtId="0" fontId="10" fillId="0" borderId="0" xfId="19" applyNumberFormat="1" applyFont="1" applyFill="1" applyAlignment="1"/>
    <xf numFmtId="0" fontId="31" fillId="0" borderId="0" xfId="0" applyFont="1" applyFill="1" applyBorder="1" applyAlignment="1">
      <alignment wrapText="1"/>
    </xf>
    <xf numFmtId="0" fontId="18" fillId="0" borderId="0" xfId="35" applyFont="1" applyAlignment="1" applyProtection="1">
      <alignment horizontal="center"/>
    </xf>
    <xf numFmtId="0" fontId="10" fillId="0" borderId="0" xfId="35" applyFont="1" applyBorder="1" applyAlignment="1">
      <alignment horizontal="center"/>
    </xf>
    <xf numFmtId="0" fontId="18" fillId="0" borderId="0" xfId="35" applyFont="1" applyAlignment="1">
      <alignment horizontal="left"/>
    </xf>
    <xf numFmtId="0" fontId="18" fillId="0" borderId="0" xfId="35" applyFont="1" applyBorder="1" applyAlignment="1">
      <alignment horizontal="center"/>
    </xf>
    <xf numFmtId="0" fontId="10" fillId="0" borderId="0" xfId="35" applyFont="1" applyBorder="1" applyAlignment="1" applyProtection="1">
      <alignment horizontal="center"/>
    </xf>
    <xf numFmtId="0" fontId="10" fillId="0" borderId="0" xfId="35" applyFont="1" applyAlignment="1">
      <alignment horizontal="left"/>
    </xf>
    <xf numFmtId="0" fontId="10" fillId="0" borderId="0" xfId="35" applyFont="1" applyBorder="1" applyAlignment="1">
      <alignment horizontal="left"/>
    </xf>
    <xf numFmtId="0" fontId="10" fillId="0" borderId="0" xfId="43" applyAlignment="1"/>
    <xf numFmtId="0" fontId="10" fillId="0" borderId="0" xfId="43" applyFill="1"/>
    <xf numFmtId="0" fontId="10" fillId="0" borderId="0" xfId="43"/>
    <xf numFmtId="0" fontId="10" fillId="0" borderId="0" xfId="43" applyFont="1" applyAlignment="1">
      <alignment horizontal="center"/>
    </xf>
    <xf numFmtId="0" fontId="10" fillId="0" borderId="0" xfId="43" applyFont="1"/>
    <xf numFmtId="165" fontId="10" fillId="0" borderId="0" xfId="43" applyNumberFormat="1" applyFill="1"/>
    <xf numFmtId="0" fontId="10" fillId="0" borderId="0" xfId="43" applyNumberFormat="1" applyFont="1" applyAlignment="1" applyProtection="1">
      <alignment horizontal="center"/>
    </xf>
    <xf numFmtId="0" fontId="10" fillId="0" borderId="0" xfId="43" applyFont="1" applyFill="1" applyAlignment="1">
      <alignment horizontal="center"/>
    </xf>
    <xf numFmtId="169" fontId="10" fillId="0" borderId="0" xfId="43" applyNumberFormat="1" applyFill="1" applyBorder="1"/>
    <xf numFmtId="169" fontId="10" fillId="0" borderId="0" xfId="43" applyNumberFormat="1" applyFont="1" applyFill="1" applyBorder="1" applyAlignment="1">
      <alignment horizontal="center"/>
    </xf>
    <xf numFmtId="0" fontId="25" fillId="0" borderId="0" xfId="43" applyFont="1" applyFill="1" applyBorder="1" applyAlignment="1">
      <alignment horizontal="center"/>
    </xf>
    <xf numFmtId="0" fontId="10" fillId="0" borderId="0" xfId="43" applyFont="1" applyBorder="1" applyAlignment="1">
      <alignment horizontal="center"/>
    </xf>
    <xf numFmtId="0" fontId="25" fillId="0" borderId="0" xfId="43" applyFont="1" applyBorder="1" applyAlignment="1">
      <alignment horizontal="center"/>
    </xf>
    <xf numFmtId="0" fontId="25" fillId="0" borderId="0" xfId="43" applyFont="1" applyFill="1" applyBorder="1"/>
    <xf numFmtId="0" fontId="10" fillId="0" borderId="0" xfId="43" applyFont="1" applyFill="1" applyBorder="1" applyAlignment="1">
      <alignment horizontal="center"/>
    </xf>
    <xf numFmtId="10" fontId="10" fillId="0" borderId="0" xfId="44" applyNumberFormat="1" applyFont="1" applyFill="1" applyBorder="1" applyAlignment="1"/>
    <xf numFmtId="10" fontId="25" fillId="0" borderId="0" xfId="44" applyNumberFormat="1" applyFont="1" applyFill="1" applyBorder="1" applyAlignment="1"/>
    <xf numFmtId="10" fontId="10" fillId="0" borderId="0" xfId="44" applyNumberFormat="1" applyFont="1" applyFill="1" applyBorder="1" applyAlignment="1">
      <alignment horizontal="center"/>
    </xf>
    <xf numFmtId="0" fontId="10" fillId="0" borderId="0" xfId="43" quotePrefix="1"/>
    <xf numFmtId="165" fontId="25" fillId="0" borderId="0" xfId="43" applyNumberFormat="1" applyFont="1" applyFill="1" applyBorder="1"/>
    <xf numFmtId="165" fontId="10" fillId="0" borderId="0" xfId="43" applyNumberFormat="1" applyFont="1" applyFill="1" applyBorder="1" applyAlignment="1">
      <alignment horizontal="center"/>
    </xf>
    <xf numFmtId="0" fontId="11" fillId="0" borderId="0" xfId="43" applyFont="1"/>
    <xf numFmtId="165" fontId="25" fillId="0" borderId="0" xfId="44" applyNumberFormat="1" applyFont="1" applyFill="1" applyBorder="1" applyAlignment="1"/>
    <xf numFmtId="165" fontId="10" fillId="0" borderId="0" xfId="44" applyNumberFormat="1" applyFont="1" applyFill="1" applyBorder="1" applyAlignment="1">
      <alignment horizontal="center"/>
    </xf>
    <xf numFmtId="10" fontId="25" fillId="0" borderId="0" xfId="43" applyNumberFormat="1" applyFont="1" applyFill="1" applyBorder="1"/>
    <xf numFmtId="10" fontId="10" fillId="0" borderId="0" xfId="43" applyNumberFormat="1" applyFont="1" applyFill="1" applyBorder="1" applyAlignment="1">
      <alignment horizontal="center"/>
    </xf>
    <xf numFmtId="164" fontId="10" fillId="0" borderId="0" xfId="44" applyNumberFormat="1" applyFont="1" applyFill="1" applyBorder="1" applyAlignment="1"/>
    <xf numFmtId="10" fontId="10" fillId="0" borderId="1" xfId="44" applyNumberFormat="1" applyFont="1" applyFill="1" applyBorder="1" applyAlignment="1"/>
    <xf numFmtId="164" fontId="10" fillId="0" borderId="9" xfId="44" applyNumberFormat="1" applyFont="1" applyFill="1" applyBorder="1" applyAlignment="1"/>
    <xf numFmtId="165" fontId="10" fillId="0" borderId="0" xfId="43" applyNumberFormat="1" applyFont="1" applyBorder="1"/>
    <xf numFmtId="165" fontId="25" fillId="0" borderId="0" xfId="43" applyNumberFormat="1" applyFont="1" applyBorder="1"/>
    <xf numFmtId="0" fontId="25" fillId="0" borderId="0" xfId="43" applyNumberFormat="1" applyFont="1" applyFill="1" applyBorder="1" applyAlignment="1" applyProtection="1">
      <alignment horizontal="center"/>
    </xf>
    <xf numFmtId="0" fontId="25" fillId="0" borderId="0" xfId="43" applyNumberFormat="1" applyFont="1" applyBorder="1" applyAlignment="1" applyProtection="1">
      <alignment horizontal="center"/>
    </xf>
    <xf numFmtId="0" fontId="10" fillId="0" borderId="1" xfId="43" applyBorder="1"/>
    <xf numFmtId="0" fontId="10" fillId="0" borderId="0" xfId="43" applyBorder="1"/>
    <xf numFmtId="0" fontId="10" fillId="0" borderId="0" xfId="43" applyNumberFormat="1" applyFont="1" applyBorder="1" applyAlignment="1" applyProtection="1">
      <alignment horizontal="center"/>
    </xf>
    <xf numFmtId="0" fontId="27" fillId="0" borderId="0" xfId="43" applyFont="1" applyFill="1" applyBorder="1" applyAlignment="1">
      <alignment horizontal="center"/>
    </xf>
    <xf numFmtId="0" fontId="11" fillId="0" borderId="0" xfId="43" applyFont="1" applyBorder="1" applyAlignment="1">
      <alignment horizontal="center"/>
    </xf>
    <xf numFmtId="0" fontId="27" fillId="0" borderId="0" xfId="43" applyFont="1" applyBorder="1" applyAlignment="1">
      <alignment horizontal="center"/>
    </xf>
    <xf numFmtId="0" fontId="10" fillId="0" borderId="0" xfId="43" applyFill="1" applyBorder="1"/>
    <xf numFmtId="0" fontId="10" fillId="0" borderId="0" xfId="46" applyNumberFormat="1" applyFont="1" applyFill="1" applyAlignment="1"/>
    <xf numFmtId="0" fontId="26" fillId="0" borderId="0" xfId="43" applyFont="1"/>
    <xf numFmtId="0" fontId="10" fillId="0" borderId="1" xfId="46" applyNumberFormat="1" applyFont="1" applyFill="1" applyBorder="1" applyAlignment="1"/>
    <xf numFmtId="164" fontId="10" fillId="0" borderId="0" xfId="43" applyNumberFormat="1" applyFont="1" applyFill="1"/>
    <xf numFmtId="165" fontId="27" fillId="0" borderId="0" xfId="43" applyNumberFormat="1" applyFont="1" applyFill="1" applyBorder="1"/>
    <xf numFmtId="0" fontId="10" fillId="0" borderId="0" xfId="43" applyFont="1" applyFill="1"/>
    <xf numFmtId="0" fontId="25" fillId="0" borderId="0" xfId="43" applyNumberFormat="1" applyFont="1" applyFill="1" applyBorder="1" applyAlignment="1">
      <alignment horizontal="center"/>
    </xf>
    <xf numFmtId="0" fontId="10" fillId="0" borderId="0" xfId="43" applyNumberFormat="1" applyFont="1" applyBorder="1" applyAlignment="1">
      <alignment horizontal="center"/>
    </xf>
    <xf numFmtId="0" fontId="25" fillId="0" borderId="0" xfId="43" applyNumberFormat="1" applyFont="1" applyBorder="1" applyAlignment="1">
      <alignment horizontal="center"/>
    </xf>
    <xf numFmtId="0" fontId="27" fillId="0" borderId="0" xfId="43" applyFont="1" applyFill="1" applyBorder="1" applyAlignment="1">
      <alignment horizontal="center" wrapText="1"/>
    </xf>
    <xf numFmtId="0" fontId="11" fillId="0" borderId="0" xfId="43" applyFont="1" applyFill="1" applyBorder="1" applyAlignment="1">
      <alignment horizontal="center" wrapText="1"/>
    </xf>
    <xf numFmtId="0" fontId="11" fillId="0" borderId="0" xfId="43" applyFont="1" applyBorder="1" applyAlignment="1">
      <alignment horizontal="center" wrapText="1"/>
    </xf>
    <xf numFmtId="0" fontId="27" fillId="0" borderId="0" xfId="43" applyFont="1" applyBorder="1" applyAlignment="1">
      <alignment horizontal="center" wrapText="1"/>
    </xf>
    <xf numFmtId="0" fontId="11" fillId="0" borderId="0" xfId="43" applyFont="1" applyAlignment="1">
      <alignment horizontal="center"/>
    </xf>
    <xf numFmtId="0" fontId="11" fillId="0" borderId="0" xfId="43" applyFont="1" applyFill="1" applyAlignment="1">
      <alignment horizontal="center"/>
    </xf>
    <xf numFmtId="0" fontId="11" fillId="0" borderId="0" xfId="43" applyFont="1" applyFill="1" applyAlignment="1"/>
    <xf numFmtId="164" fontId="10" fillId="0" borderId="0" xfId="47" applyNumberFormat="1" applyFont="1" applyFill="1"/>
    <xf numFmtId="164" fontId="25" fillId="0" borderId="0" xfId="47" applyNumberFormat="1" applyFont="1" applyFill="1" applyBorder="1"/>
    <xf numFmtId="164" fontId="10" fillId="0" borderId="0" xfId="47" applyNumberFormat="1" applyFont="1" applyFill="1" applyBorder="1" applyAlignment="1">
      <alignment horizontal="center"/>
    </xf>
    <xf numFmtId="164" fontId="11" fillId="0" borderId="0" xfId="47" applyNumberFormat="1" applyFont="1" applyFill="1"/>
    <xf numFmtId="164" fontId="27" fillId="0" borderId="0" xfId="47" applyNumberFormat="1" applyFont="1" applyFill="1" applyBorder="1"/>
    <xf numFmtId="164" fontId="11" fillId="0" borderId="0" xfId="47" applyNumberFormat="1" applyFont="1" applyFill="1" applyBorder="1" applyAlignment="1">
      <alignment horizontal="center"/>
    </xf>
    <xf numFmtId="164" fontId="10" fillId="0" borderId="0" xfId="47" applyNumberFormat="1" applyFont="1" applyFill="1" applyBorder="1" applyAlignment="1" applyProtection="1">
      <alignment horizontal="center"/>
    </xf>
    <xf numFmtId="164" fontId="11" fillId="0" borderId="0" xfId="47" quotePrefix="1" applyNumberFormat="1" applyFont="1" applyFill="1"/>
    <xf numFmtId="0" fontId="26" fillId="0" borderId="0" xfId="17" applyNumberFormat="1" applyFont="1" applyFill="1" applyBorder="1" applyAlignment="1"/>
    <xf numFmtId="44" fontId="27" fillId="0" borderId="0" xfId="47" applyNumberFormat="1" applyFont="1" applyFill="1" applyBorder="1"/>
    <xf numFmtId="44" fontId="11" fillId="0" borderId="0" xfId="47" applyNumberFormat="1" applyFont="1" applyFill="1" applyBorder="1" applyAlignment="1">
      <alignment horizontal="center"/>
    </xf>
    <xf numFmtId="0" fontId="10" fillId="0" borderId="0" xfId="43" applyAlignment="1">
      <alignment horizontal="left" indent="1"/>
    </xf>
    <xf numFmtId="179" fontId="10" fillId="0" borderId="0" xfId="23" applyNumberFormat="1" applyFont="1" applyBorder="1" applyAlignment="1">
      <alignment horizontal="center"/>
    </xf>
    <xf numFmtId="0" fontId="18" fillId="0" borderId="0" xfId="21" applyNumberFormat="1" applyFont="1" applyFill="1" applyBorder="1" applyAlignment="1"/>
    <xf numFmtId="164" fontId="23" fillId="0" borderId="0" xfId="0" applyNumberFormat="1" applyFont="1"/>
    <xf numFmtId="37" fontId="23" fillId="0" borderId="0" xfId="0" applyNumberFormat="1" applyFont="1"/>
    <xf numFmtId="165" fontId="0" fillId="0" borderId="0" xfId="26" applyNumberFormat="1" applyFont="1"/>
    <xf numFmtId="165" fontId="0" fillId="0" borderId="0" xfId="0" applyNumberFormat="1" applyBorder="1"/>
    <xf numFmtId="37" fontId="0" fillId="0" borderId="0" xfId="0" applyNumberFormat="1"/>
    <xf numFmtId="41" fontId="10" fillId="0" borderId="0" xfId="18" applyNumberFormat="1" applyFont="1" applyFill="1" applyBorder="1" applyAlignment="1"/>
    <xf numFmtId="41" fontId="10" fillId="0" borderId="0" xfId="0" applyNumberFormat="1" applyFont="1" applyFill="1" applyBorder="1"/>
    <xf numFmtId="41" fontId="0" fillId="0" borderId="0" xfId="0" applyNumberFormat="1" applyFill="1" applyBorder="1"/>
    <xf numFmtId="41" fontId="0" fillId="0" borderId="0" xfId="5" applyNumberFormat="1" applyFont="1" applyFill="1" applyBorder="1"/>
    <xf numFmtId="164" fontId="10" fillId="0" borderId="0" xfId="32" applyNumberFormat="1" applyFont="1" applyFill="1" applyBorder="1"/>
    <xf numFmtId="10" fontId="10" fillId="0" borderId="1" xfId="23" applyNumberFormat="1" applyFont="1" applyFill="1" applyBorder="1"/>
    <xf numFmtId="0" fontId="10" fillId="0" borderId="0" xfId="17" quotePrefix="1" applyNumberFormat="1" applyFont="1" applyFill="1" applyBorder="1" applyAlignment="1">
      <alignment horizontal="center"/>
    </xf>
    <xf numFmtId="0" fontId="10" fillId="0" borderId="0" xfId="36" applyNumberFormat="1" applyFont="1" applyFill="1" applyBorder="1" applyAlignment="1">
      <alignment horizontal="center" wrapText="1"/>
    </xf>
    <xf numFmtId="0" fontId="10" fillId="0" borderId="0" xfId="36" applyFont="1" applyFill="1" applyBorder="1" applyAlignment="1">
      <alignment horizontal="center" wrapText="1"/>
    </xf>
    <xf numFmtId="0" fontId="10" fillId="0" borderId="0" xfId="36" applyFont="1" applyFill="1" applyBorder="1" applyAlignment="1">
      <alignment horizontal="centerContinuous" wrapText="1"/>
    </xf>
    <xf numFmtId="0" fontId="11" fillId="0" borderId="0" xfId="35" applyFont="1"/>
    <xf numFmtId="0" fontId="10" fillId="0" borderId="0" xfId="50" applyFont="1" applyAlignment="1"/>
    <xf numFmtId="165" fontId="10" fillId="0" borderId="0" xfId="26" applyNumberFormat="1" applyFont="1" applyBorder="1" applyAlignment="1"/>
    <xf numFmtId="0" fontId="30" fillId="0" borderId="0" xfId="0" applyFont="1" applyFill="1" applyAlignment="1"/>
    <xf numFmtId="0" fontId="11" fillId="0" borderId="0" xfId="0" applyFont="1" applyFill="1" applyBorder="1" applyAlignment="1">
      <alignment horizontal="right"/>
    </xf>
    <xf numFmtId="0" fontId="11" fillId="0" borderId="0" xfId="0" applyFont="1" applyFill="1" applyBorder="1" applyAlignment="1"/>
    <xf numFmtId="165" fontId="10" fillId="0" borderId="0" xfId="17" applyNumberFormat="1" applyFont="1" applyBorder="1" applyAlignment="1">
      <alignment horizontal="right"/>
    </xf>
    <xf numFmtId="164" fontId="10" fillId="0" borderId="0" xfId="24" applyNumberFormat="1" applyFont="1" applyFill="1" applyAlignment="1"/>
    <xf numFmtId="164" fontId="0" fillId="0" borderId="0" xfId="24" applyNumberFormat="1" applyFont="1"/>
    <xf numFmtId="0" fontId="10" fillId="0" borderId="0" xfId="52" applyFont="1" applyBorder="1" applyAlignment="1">
      <alignment horizontal="center"/>
    </xf>
    <xf numFmtId="170" fontId="11" fillId="0" borderId="0" xfId="0" applyNumberFormat="1" applyFont="1" applyFill="1" applyBorder="1" applyAlignment="1">
      <alignment horizontal="center" wrapText="1"/>
    </xf>
    <xf numFmtId="170" fontId="11" fillId="0" borderId="1" xfId="0" applyNumberFormat="1" applyFont="1" applyFill="1" applyBorder="1" applyAlignment="1">
      <alignment horizontal="center" wrapText="1"/>
    </xf>
    <xf numFmtId="0" fontId="11" fillId="0" borderId="0" xfId="0" applyFont="1" applyFill="1" applyBorder="1" applyAlignment="1">
      <alignment horizontal="center" wrapText="1"/>
    </xf>
    <xf numFmtId="164" fontId="10" fillId="0" borderId="0" xfId="35" applyNumberFormat="1" applyFont="1" applyFill="1" applyBorder="1"/>
    <xf numFmtId="164" fontId="10" fillId="0" borderId="0" xfId="24" applyNumberFormat="1" applyFont="1" applyFill="1"/>
    <xf numFmtId="43" fontId="11" fillId="0" borderId="0" xfId="26" applyFont="1" applyFill="1" applyBorder="1" applyAlignment="1"/>
    <xf numFmtId="164" fontId="10" fillId="0" borderId="5" xfId="24" applyNumberFormat="1" applyFont="1" applyFill="1" applyBorder="1"/>
    <xf numFmtId="0" fontId="18" fillId="0" borderId="0" xfId="21" applyNumberFormat="1" applyFont="1" applyFill="1" applyBorder="1" applyAlignment="1">
      <alignment horizontal="left"/>
    </xf>
    <xf numFmtId="42" fontId="20" fillId="0" borderId="3" xfId="17" applyNumberFormat="1" applyFont="1" applyFill="1" applyBorder="1" applyAlignment="1">
      <alignment horizontal="right"/>
    </xf>
    <xf numFmtId="164" fontId="10" fillId="0" borderId="3" xfId="24" applyNumberFormat="1" applyFont="1" applyFill="1" applyBorder="1"/>
    <xf numFmtId="164" fontId="11" fillId="0" borderId="1" xfId="47" applyNumberFormat="1" applyFont="1" applyFill="1" applyBorder="1"/>
    <xf numFmtId="10" fontId="10" fillId="0" borderId="0" xfId="48" applyNumberFormat="1" applyFont="1" applyFill="1" applyBorder="1" applyAlignment="1"/>
    <xf numFmtId="164" fontId="10" fillId="0" borderId="0" xfId="24" applyNumberFormat="1" applyFont="1" applyFill="1" applyBorder="1"/>
    <xf numFmtId="0" fontId="11" fillId="0" borderId="1" xfId="0" applyFont="1" applyFill="1" applyBorder="1" applyAlignment="1">
      <alignment horizontal="center"/>
    </xf>
    <xf numFmtId="0" fontId="11" fillId="0" borderId="1" xfId="0" applyFont="1" applyBorder="1" applyAlignment="1"/>
    <xf numFmtId="0" fontId="11" fillId="0" borderId="0" xfId="0" applyFont="1" applyFill="1" applyBorder="1" applyAlignment="1">
      <alignment horizontal="center"/>
    </xf>
    <xf numFmtId="0" fontId="11" fillId="0" borderId="1" xfId="0" applyFont="1" applyBorder="1"/>
    <xf numFmtId="0" fontId="11" fillId="0" borderId="1" xfId="0" applyFont="1" applyFill="1" applyBorder="1"/>
    <xf numFmtId="0" fontId="11" fillId="0" borderId="0" xfId="21" applyNumberFormat="1" applyFont="1" applyFill="1" applyBorder="1" applyAlignment="1">
      <alignment horizontal="center"/>
    </xf>
    <xf numFmtId="0" fontId="11" fillId="0" borderId="0" xfId="51" applyNumberFormat="1" applyFont="1" applyFill="1" applyBorder="1" applyAlignment="1">
      <alignment horizontal="center"/>
    </xf>
    <xf numFmtId="0" fontId="11" fillId="0" borderId="1" xfId="21" applyNumberFormat="1" applyFont="1" applyFill="1" applyBorder="1" applyAlignment="1" applyProtection="1">
      <alignment horizontal="center"/>
    </xf>
    <xf numFmtId="0" fontId="11" fillId="0" borderId="1" xfId="21" applyNumberFormat="1" applyFont="1" applyFill="1" applyBorder="1" applyAlignment="1"/>
    <xf numFmtId="49" fontId="11" fillId="0" borderId="1" xfId="21" applyNumberFormat="1" applyFont="1" applyFill="1" applyBorder="1" applyAlignment="1">
      <alignment horizontal="center"/>
    </xf>
    <xf numFmtId="0" fontId="16" fillId="0" borderId="1" xfId="21" applyNumberFormat="1" applyFont="1" applyFill="1" applyBorder="1" applyAlignment="1">
      <alignment horizontal="center"/>
    </xf>
    <xf numFmtId="49" fontId="11" fillId="0" borderId="1" xfId="51" applyNumberFormat="1" applyFont="1" applyFill="1" applyBorder="1" applyAlignment="1">
      <alignment horizontal="center"/>
    </xf>
    <xf numFmtId="49" fontId="11" fillId="0" borderId="0" xfId="21" applyNumberFormat="1" applyFont="1" applyFill="1" applyBorder="1" applyAlignment="1">
      <alignment horizontal="center"/>
    </xf>
    <xf numFmtId="0" fontId="11" fillId="0" borderId="0" xfId="35" applyFont="1" applyAlignment="1">
      <alignment horizontal="center"/>
    </xf>
    <xf numFmtId="0" fontId="11" fillId="0" borderId="1" xfId="35" applyFont="1" applyBorder="1" applyAlignment="1" applyProtection="1">
      <alignment horizontal="center"/>
    </xf>
    <xf numFmtId="0" fontId="16" fillId="0" borderId="1" xfId="35" applyFont="1" applyBorder="1" applyAlignment="1" applyProtection="1">
      <alignment horizontal="center"/>
    </xf>
    <xf numFmtId="0" fontId="11" fillId="0" borderId="1" xfId="35" applyFont="1" applyBorder="1" applyAlignment="1">
      <alignment horizontal="center"/>
    </xf>
    <xf numFmtId="49" fontId="11" fillId="0" borderId="1" xfId="35" applyNumberFormat="1" applyFont="1" applyBorder="1" applyAlignment="1">
      <alignment horizontal="center"/>
    </xf>
    <xf numFmtId="0" fontId="11" fillId="0" borderId="0" xfId="21" applyNumberFormat="1" applyFont="1" applyFill="1" applyBorder="1" applyAlignment="1" applyProtection="1"/>
    <xf numFmtId="0" fontId="11" fillId="0" borderId="1" xfId="0" applyFont="1" applyFill="1" applyBorder="1" applyAlignment="1">
      <alignment horizontal="center" wrapText="1"/>
    </xf>
    <xf numFmtId="170" fontId="11" fillId="0" borderId="1" xfId="0" applyNumberFormat="1" applyFont="1" applyFill="1" applyBorder="1" applyAlignment="1">
      <alignment horizontal="center"/>
    </xf>
    <xf numFmtId="49" fontId="11" fillId="0" borderId="0" xfId="16" applyNumberFormat="1" applyFont="1" applyFill="1" applyBorder="1" applyAlignment="1">
      <alignment horizontal="center"/>
    </xf>
    <xf numFmtId="0" fontId="11" fillId="0" borderId="1" xfId="43" applyFont="1" applyBorder="1" applyAlignment="1">
      <alignment horizontal="center" wrapText="1"/>
    </xf>
    <xf numFmtId="0" fontId="27" fillId="0" borderId="1" xfId="43" applyFont="1" applyBorder="1" applyAlignment="1">
      <alignment horizontal="center" wrapText="1"/>
    </xf>
    <xf numFmtId="0" fontId="27" fillId="0" borderId="1" xfId="43" applyFont="1" applyFill="1" applyBorder="1" applyAlignment="1">
      <alignment horizontal="center" wrapText="1"/>
    </xf>
    <xf numFmtId="0" fontId="11" fillId="0" borderId="1" xfId="43" applyFont="1" applyFill="1" applyBorder="1" applyAlignment="1">
      <alignment horizontal="center" wrapText="1"/>
    </xf>
    <xf numFmtId="43" fontId="11" fillId="0" borderId="1" xfId="1" applyNumberFormat="1" applyFont="1" applyFill="1" applyBorder="1" applyAlignment="1">
      <alignment horizontal="center" wrapText="1"/>
    </xf>
    <xf numFmtId="0" fontId="11" fillId="0" borderId="1" xfId="17" applyNumberFormat="1" applyFont="1" applyFill="1" applyBorder="1" applyAlignment="1">
      <alignment horizontal="center" wrapText="1"/>
    </xf>
    <xf numFmtId="49" fontId="11" fillId="0" borderId="1" xfId="17" applyNumberFormat="1" applyFont="1" applyFill="1" applyBorder="1" applyAlignment="1">
      <alignment horizontal="center" wrapText="1"/>
    </xf>
    <xf numFmtId="0" fontId="11" fillId="0" borderId="1" xfId="17" applyNumberFormat="1" applyFont="1" applyFill="1" applyBorder="1" applyAlignment="1">
      <alignment horizontal="centerContinuous" wrapText="1"/>
    </xf>
    <xf numFmtId="0" fontId="11" fillId="0" borderId="1" xfId="0" applyFont="1" applyBorder="1" applyAlignment="1">
      <alignment horizontal="center" wrapText="1"/>
    </xf>
    <xf numFmtId="0" fontId="11" fillId="0" borderId="0" xfId="18" applyFont="1" applyFill="1" applyBorder="1" applyAlignment="1"/>
    <xf numFmtId="39" fontId="11" fillId="0" borderId="0" xfId="40" applyFont="1" applyBorder="1" applyAlignment="1">
      <alignment horizontal="center"/>
    </xf>
    <xf numFmtId="39" fontId="11" fillId="0" borderId="0" xfId="40" applyFont="1"/>
    <xf numFmtId="39" fontId="11" fillId="0" borderId="1" xfId="40" applyFont="1" applyBorder="1" applyAlignment="1">
      <alignment horizontal="center"/>
    </xf>
    <xf numFmtId="0" fontId="11" fillId="0" borderId="1" xfId="36" applyFont="1" applyFill="1" applyBorder="1" applyAlignment="1">
      <alignment horizontal="center" wrapText="1"/>
    </xf>
    <xf numFmtId="49" fontId="11" fillId="0" borderId="1" xfId="36" applyNumberFormat="1" applyFont="1" applyFill="1" applyBorder="1" applyAlignment="1">
      <alignment horizontal="center" wrapText="1"/>
    </xf>
    <xf numFmtId="0" fontId="11" fillId="0" borderId="1" xfId="36" applyFont="1" applyFill="1" applyBorder="1" applyAlignment="1">
      <alignment horizontal="centerContinuous" wrapText="1"/>
    </xf>
    <xf numFmtId="0" fontId="11" fillId="0" borderId="1" xfId="35" applyFont="1" applyBorder="1" applyAlignment="1">
      <alignment horizontal="center" wrapText="1"/>
    </xf>
    <xf numFmtId="0" fontId="11" fillId="0" borderId="0" xfId="18" applyFont="1" applyFill="1" applyBorder="1" applyAlignment="1">
      <alignment horizontal="center"/>
    </xf>
    <xf numFmtId="0" fontId="11" fillId="0" borderId="1" xfId="18" applyFont="1" applyFill="1" applyBorder="1" applyAlignment="1"/>
    <xf numFmtId="0" fontId="11" fillId="0" borderId="1" xfId="41" applyFont="1" applyBorder="1" applyAlignment="1">
      <alignment horizontal="center" wrapText="1"/>
    </xf>
    <xf numFmtId="0" fontId="11" fillId="0" borderId="1" xfId="35" applyFont="1" applyBorder="1" applyAlignment="1">
      <alignment horizontal="center" vertical="center"/>
    </xf>
    <xf numFmtId="37" fontId="11" fillId="0" borderId="0" xfId="17" applyNumberFormat="1" applyFont="1" applyFill="1" applyBorder="1" applyAlignment="1">
      <alignment horizontal="right"/>
    </xf>
    <xf numFmtId="0" fontId="11" fillId="0" borderId="1" xfId="17" applyNumberFormat="1" applyFont="1" applyFill="1" applyBorder="1" applyAlignment="1">
      <alignment horizontal="center"/>
    </xf>
    <xf numFmtId="49" fontId="11" fillId="0" borderId="1" xfId="17" quotePrefix="1" applyNumberFormat="1" applyFont="1" applyFill="1" applyBorder="1" applyAlignment="1">
      <alignment horizontal="center"/>
    </xf>
    <xf numFmtId="0" fontId="11" fillId="0" borderId="1" xfId="17" quotePrefix="1" applyNumberFormat="1" applyFont="1" applyFill="1" applyBorder="1" applyAlignment="1">
      <alignment horizontal="centerContinuous"/>
    </xf>
    <xf numFmtId="37" fontId="11" fillId="0" borderId="1" xfId="17" applyNumberFormat="1" applyFont="1" applyFill="1" applyBorder="1" applyAlignment="1">
      <alignment horizontal="center"/>
    </xf>
    <xf numFmtId="49" fontId="11" fillId="0" borderId="1" xfId="17" applyNumberFormat="1" applyFont="1" applyFill="1" applyBorder="1" applyAlignment="1">
      <alignment horizontal="center"/>
    </xf>
    <xf numFmtId="37" fontId="11" fillId="0" borderId="0" xfId="26" applyNumberFormat="1" applyFont="1" applyFill="1" applyBorder="1" applyAlignment="1">
      <alignment horizontal="center"/>
    </xf>
    <xf numFmtId="1" fontId="11" fillId="0" borderId="1" xfId="22" applyNumberFormat="1" applyFont="1" applyFill="1" applyBorder="1" applyAlignment="1">
      <alignment horizontal="center"/>
    </xf>
    <xf numFmtId="0" fontId="11" fillId="0" borderId="0" xfId="20" applyNumberFormat="1" applyFont="1" applyFill="1" applyAlignment="1"/>
    <xf numFmtId="0" fontId="11" fillId="0" borderId="0" xfId="20" applyNumberFormat="1" applyFont="1" applyFill="1" applyAlignment="1">
      <alignment horizontal="center"/>
    </xf>
    <xf numFmtId="0" fontId="11" fillId="0" borderId="1" xfId="20" applyNumberFormat="1" applyFont="1" applyFill="1" applyBorder="1" applyAlignment="1" applyProtection="1">
      <alignment horizontal="center"/>
    </xf>
    <xf numFmtId="0" fontId="16" fillId="0" borderId="0" xfId="20" applyNumberFormat="1" applyFont="1" applyFill="1" applyAlignment="1">
      <alignment horizontal="center"/>
    </xf>
    <xf numFmtId="0" fontId="11" fillId="0" borderId="1" xfId="20" applyNumberFormat="1" applyFont="1" applyFill="1" applyBorder="1" applyAlignment="1">
      <alignment horizontal="center"/>
    </xf>
    <xf numFmtId="49" fontId="11" fillId="0" borderId="0" xfId="20" applyNumberFormat="1" applyFont="1" applyFill="1" applyAlignment="1">
      <alignment horizontal="center"/>
    </xf>
    <xf numFmtId="0" fontId="11" fillId="0" borderId="1" xfId="20" applyNumberFormat="1" applyFont="1" applyFill="1" applyBorder="1" applyAlignment="1">
      <alignment horizontal="left"/>
    </xf>
    <xf numFmtId="49" fontId="11" fillId="0" borderId="1" xfId="20" applyNumberFormat="1" applyFont="1" applyFill="1" applyBorder="1" applyAlignment="1">
      <alignment horizontal="center"/>
    </xf>
    <xf numFmtId="0" fontId="16" fillId="0" borderId="1" xfId="20" applyNumberFormat="1" applyFont="1" applyFill="1" applyBorder="1" applyAlignment="1">
      <alignment horizontal="center"/>
    </xf>
    <xf numFmtId="0" fontId="11" fillId="0" borderId="1" xfId="0" applyFont="1" applyFill="1" applyBorder="1" applyAlignment="1"/>
    <xf numFmtId="0" fontId="30" fillId="0" borderId="0" xfId="0" applyFont="1" applyAlignment="1">
      <alignment horizontal="center"/>
    </xf>
    <xf numFmtId="0" fontId="30" fillId="0" borderId="0" xfId="0" applyFont="1" applyFill="1" applyAlignment="1">
      <alignment horizontal="center"/>
    </xf>
    <xf numFmtId="0" fontId="30" fillId="0" borderId="1" xfId="0" applyFont="1" applyBorder="1" applyAlignment="1">
      <alignment horizontal="center"/>
    </xf>
    <xf numFmtId="0" fontId="30" fillId="0" borderId="1" xfId="0" applyFont="1" applyFill="1" applyBorder="1" applyAlignment="1">
      <alignment horizontal="center"/>
    </xf>
    <xf numFmtId="0" fontId="11" fillId="0" borderId="1" xfId="19" applyFont="1" applyFill="1" applyBorder="1" applyAlignment="1">
      <alignment horizontal="center"/>
    </xf>
    <xf numFmtId="0" fontId="11" fillId="0" borderId="1" xfId="19" applyFont="1" applyFill="1" applyBorder="1" applyAlignment="1">
      <alignment horizontal="left"/>
    </xf>
    <xf numFmtId="0" fontId="16" fillId="0" borderId="1" xfId="19" applyFont="1" applyFill="1" applyBorder="1" applyAlignment="1">
      <alignment horizontal="center"/>
    </xf>
    <xf numFmtId="167" fontId="11" fillId="0" borderId="1" xfId="19" quotePrefix="1" applyNumberFormat="1" applyFont="1" applyFill="1" applyBorder="1" applyAlignment="1">
      <alignment horizontal="center"/>
    </xf>
    <xf numFmtId="0" fontId="11" fillId="2" borderId="0" xfId="19" applyFont="1" applyFill="1" applyBorder="1" applyAlignment="1"/>
    <xf numFmtId="0" fontId="11" fillId="2" borderId="0" xfId="0" applyNumberFormat="1" applyFont="1" applyFill="1" applyBorder="1" applyAlignment="1">
      <alignment horizontal="center"/>
    </xf>
    <xf numFmtId="0" fontId="11" fillId="2" borderId="1" xfId="19" applyFont="1" applyFill="1" applyBorder="1" applyAlignment="1">
      <alignment horizontal="center"/>
    </xf>
    <xf numFmtId="49" fontId="11" fillId="0" borderId="0" xfId="0" applyNumberFormat="1" applyFont="1" applyFill="1" applyAlignment="1">
      <alignment horizontal="center"/>
    </xf>
    <xf numFmtId="167" fontId="11" fillId="0" borderId="1" xfId="19" applyNumberFormat="1" applyFont="1" applyFill="1" applyBorder="1" applyAlignment="1">
      <alignment horizontal="center"/>
    </xf>
    <xf numFmtId="49" fontId="11" fillId="0" borderId="0" xfId="54" applyNumberFormat="1" applyFont="1" applyFill="1" applyBorder="1" applyAlignment="1"/>
    <xf numFmtId="165" fontId="11" fillId="0" borderId="0" xfId="26" applyNumberFormat="1" applyFont="1" applyFill="1" applyBorder="1" applyAlignment="1">
      <alignment horizontal="center"/>
    </xf>
    <xf numFmtId="0" fontId="10" fillId="0" borderId="0" xfId="0" applyNumberFormat="1" applyFont="1" applyFill="1"/>
    <xf numFmtId="172" fontId="10" fillId="0" borderId="0" xfId="0" applyNumberFormat="1" applyFont="1" applyFill="1"/>
    <xf numFmtId="172" fontId="31" fillId="0" borderId="10" xfId="24" applyNumberFormat="1" applyFont="1" applyFill="1" applyBorder="1"/>
    <xf numFmtId="172" fontId="19" fillId="0" borderId="0" xfId="0" applyNumberFormat="1" applyFont="1" applyFill="1"/>
    <xf numFmtId="172" fontId="10" fillId="0" borderId="5" xfId="0" applyNumberFormat="1" applyFont="1" applyFill="1" applyBorder="1"/>
    <xf numFmtId="0" fontId="14" fillId="0" borderId="0" xfId="0" applyNumberFormat="1" applyFont="1" applyFill="1"/>
    <xf numFmtId="165" fontId="11" fillId="0" borderId="1" xfId="26" applyNumberFormat="1" applyFont="1" applyFill="1" applyBorder="1" applyAlignment="1">
      <alignment horizontal="center"/>
    </xf>
    <xf numFmtId="174" fontId="31" fillId="0" borderId="0" xfId="0" applyNumberFormat="1" applyFont="1" applyFill="1"/>
    <xf numFmtId="180" fontId="31" fillId="0" borderId="10" xfId="0" applyNumberFormat="1" applyFont="1" applyFill="1" applyBorder="1"/>
    <xf numFmtId="180" fontId="31" fillId="0" borderId="5" xfId="0" applyNumberFormat="1" applyFont="1" applyFill="1" applyBorder="1"/>
    <xf numFmtId="0" fontId="30" fillId="0" borderId="0" xfId="0" applyFont="1" applyFill="1" applyBorder="1" applyAlignment="1">
      <alignment horizontal="center"/>
    </xf>
    <xf numFmtId="180" fontId="10" fillId="0" borderId="5" xfId="26" applyNumberFormat="1" applyFont="1" applyFill="1" applyBorder="1" applyAlignment="1"/>
    <xf numFmtId="0" fontId="10" fillId="0" borderId="1" xfId="21" applyNumberFormat="1" applyFont="1" applyFill="1" applyBorder="1" applyAlignment="1"/>
    <xf numFmtId="172" fontId="10" fillId="0" borderId="1" xfId="0" applyNumberFormat="1" applyFont="1" applyFill="1" applyBorder="1"/>
    <xf numFmtId="180" fontId="10" fillId="0" borderId="1" xfId="26" applyNumberFormat="1" applyFont="1" applyFill="1" applyBorder="1" applyAlignment="1"/>
    <xf numFmtId="174" fontId="31" fillId="0" borderId="1" xfId="0" applyNumberFormat="1" applyFont="1" applyFill="1" applyBorder="1"/>
    <xf numFmtId="164" fontId="10" fillId="0" borderId="0" xfId="24" applyNumberFormat="1" applyFont="1" applyFill="1" applyBorder="1" applyAlignment="1"/>
    <xf numFmtId="182" fontId="10" fillId="0" borderId="0" xfId="40" applyNumberFormat="1" applyFont="1" applyAlignment="1">
      <alignment horizontal="center"/>
    </xf>
    <xf numFmtId="42" fontId="31" fillId="0" borderId="0" xfId="0" applyNumberFormat="1" applyFont="1"/>
    <xf numFmtId="183" fontId="10" fillId="0" borderId="0" xfId="1" applyNumberFormat="1" applyFont="1" applyFill="1" applyBorder="1"/>
    <xf numFmtId="183" fontId="10" fillId="0" borderId="0" xfId="20" applyNumberFormat="1" applyFont="1" applyFill="1" applyAlignment="1"/>
    <xf numFmtId="42" fontId="10" fillId="0" borderId="0" xfId="1" applyNumberFormat="1" applyFont="1" applyFill="1" applyBorder="1"/>
    <xf numFmtId="37" fontId="11" fillId="0" borderId="0" xfId="17" applyNumberFormat="1" applyFont="1" applyBorder="1" applyAlignment="1">
      <alignment horizontal="center"/>
    </xf>
    <xf numFmtId="37" fontId="10" fillId="0" borderId="0" xfId="20" applyNumberFormat="1" applyFont="1" applyFill="1" applyBorder="1" applyAlignment="1">
      <alignment horizontal="center"/>
    </xf>
    <xf numFmtId="10" fontId="10" fillId="0" borderId="0" xfId="23" applyNumberFormat="1" applyFont="1" applyAlignment="1"/>
    <xf numFmtId="164" fontId="11" fillId="0" borderId="0" xfId="2" applyNumberFormat="1" applyFont="1" applyFill="1" applyBorder="1"/>
    <xf numFmtId="178" fontId="0" fillId="0" borderId="0" xfId="23" applyNumberFormat="1" applyFont="1" applyFill="1"/>
    <xf numFmtId="165" fontId="10" fillId="0" borderId="0" xfId="0" applyNumberFormat="1" applyFont="1" applyFill="1" applyBorder="1" applyAlignment="1"/>
    <xf numFmtId="0" fontId="30" fillId="0" borderId="0" xfId="0" applyFont="1" applyBorder="1" applyAlignment="1">
      <alignment horizontal="center"/>
    </xf>
    <xf numFmtId="164" fontId="31" fillId="0" borderId="0" xfId="24" applyNumberFormat="1" applyFont="1" applyBorder="1"/>
    <xf numFmtId="0" fontId="44" fillId="0" borderId="0" xfId="0" applyFont="1"/>
    <xf numFmtId="0" fontId="31" fillId="0" borderId="0" xfId="0" applyFont="1" applyFill="1" applyAlignment="1">
      <alignment horizontal="center"/>
    </xf>
    <xf numFmtId="37" fontId="31" fillId="0" borderId="0" xfId="0" applyNumberFormat="1" applyFont="1"/>
    <xf numFmtId="10" fontId="10" fillId="0" borderId="0" xfId="23" applyNumberFormat="1" applyFont="1" applyFill="1" applyBorder="1" applyAlignment="1"/>
    <xf numFmtId="164" fontId="10" fillId="0" borderId="0" xfId="0" applyNumberFormat="1" applyFont="1" applyFill="1" applyBorder="1"/>
    <xf numFmtId="0" fontId="10" fillId="0" borderId="0" xfId="0" applyFont="1" applyAlignment="1">
      <alignment horizontal="center"/>
    </xf>
    <xf numFmtId="44" fontId="10" fillId="0" borderId="0" xfId="24" applyFont="1" applyFill="1" applyBorder="1" applyAlignment="1"/>
    <xf numFmtId="42" fontId="10" fillId="0" borderId="0" xfId="1" applyNumberFormat="1" applyFont="1" applyFill="1" applyBorder="1" applyAlignment="1">
      <alignment horizontal="right"/>
    </xf>
    <xf numFmtId="164" fontId="10" fillId="0" borderId="1" xfId="24" applyNumberFormat="1" applyFont="1" applyFill="1" applyBorder="1"/>
    <xf numFmtId="0" fontId="10" fillId="0" borderId="0" xfId="33" applyFont="1" applyFill="1" applyAlignment="1">
      <alignment horizontal="center"/>
    </xf>
    <xf numFmtId="0" fontId="10" fillId="0" borderId="0" xfId="33" applyFont="1" applyFill="1" applyAlignment="1"/>
    <xf numFmtId="0" fontId="10" fillId="0" borderId="0" xfId="33" applyFont="1" applyFill="1" applyAlignment="1">
      <alignment horizontal="left" indent="1"/>
    </xf>
    <xf numFmtId="0" fontId="10" fillId="0" borderId="0" xfId="33" applyFont="1" applyFill="1" applyBorder="1" applyAlignment="1">
      <alignment wrapText="1"/>
    </xf>
    <xf numFmtId="0" fontId="10" fillId="0" borderId="0" xfId="33" applyFont="1" applyFill="1" applyBorder="1" applyAlignment="1"/>
    <xf numFmtId="0" fontId="10" fillId="0" borderId="0" xfId="33" applyFont="1" applyFill="1" applyAlignment="1">
      <alignment horizontal="left" indent="2"/>
    </xf>
    <xf numFmtId="0" fontId="10" fillId="0" borderId="0" xfId="33" applyFont="1" applyFill="1" applyBorder="1" applyAlignment="1">
      <alignment horizontal="left"/>
    </xf>
    <xf numFmtId="0" fontId="10" fillId="0" borderId="0" xfId="33" applyFont="1" applyFill="1" applyAlignment="1">
      <alignment horizontal="left" indent="3"/>
    </xf>
    <xf numFmtId="0" fontId="10" fillId="0" borderId="0" xfId="33" applyFont="1" applyFill="1" applyBorder="1" applyAlignment="1">
      <alignment horizontal="center"/>
    </xf>
    <xf numFmtId="0" fontId="10" fillId="0" borderId="0" xfId="33" applyFont="1" applyFill="1" applyBorder="1"/>
    <xf numFmtId="164" fontId="10" fillId="2" borderId="0" xfId="24" applyNumberFormat="1" applyFont="1" applyFill="1" applyBorder="1" applyAlignment="1"/>
    <xf numFmtId="44" fontId="10" fillId="0" borderId="0" xfId="24" applyFont="1" applyAlignment="1"/>
    <xf numFmtId="44" fontId="31" fillId="0" borderId="0" xfId="24" applyFont="1"/>
    <xf numFmtId="42" fontId="31" fillId="0" borderId="0" xfId="3" applyNumberFormat="1" applyFont="1" applyFill="1" applyBorder="1"/>
    <xf numFmtId="0" fontId="10" fillId="0" borderId="0" xfId="26" applyNumberFormat="1" applyFont="1" applyFill="1" applyBorder="1" applyAlignment="1"/>
    <xf numFmtId="0" fontId="31" fillId="0" borderId="0" xfId="0" applyNumberFormat="1" applyFont="1"/>
    <xf numFmtId="164" fontId="10" fillId="0" borderId="0" xfId="24" applyNumberFormat="1" applyFont="1" applyAlignment="1"/>
    <xf numFmtId="44" fontId="10" fillId="0" borderId="0" xfId="24" applyFont="1" applyFill="1" applyAlignment="1"/>
    <xf numFmtId="0" fontId="10" fillId="0" borderId="0" xfId="1" applyNumberFormat="1" applyFont="1" applyFill="1" applyBorder="1" applyAlignment="1">
      <alignment horizontal="center"/>
    </xf>
    <xf numFmtId="44" fontId="10" fillId="0" borderId="0" xfId="24" applyFont="1" applyFill="1"/>
    <xf numFmtId="44" fontId="0" fillId="0" borderId="0" xfId="24" applyFont="1" applyFill="1"/>
    <xf numFmtId="42" fontId="10" fillId="0" borderId="0" xfId="26" applyNumberFormat="1" applyFont="1" applyFill="1" applyAlignment="1"/>
    <xf numFmtId="164" fontId="23" fillId="0" borderId="0" xfId="24" applyNumberFormat="1" applyFont="1" applyFill="1" applyBorder="1"/>
    <xf numFmtId="165" fontId="23" fillId="0" borderId="0" xfId="26" applyNumberFormat="1" applyFont="1" applyFill="1" applyBorder="1"/>
    <xf numFmtId="44" fontId="10" fillId="0" borderId="0" xfId="0" applyNumberFormat="1" applyFont="1" applyFill="1" applyAlignment="1"/>
    <xf numFmtId="44" fontId="10" fillId="0" borderId="0" xfId="0" applyNumberFormat="1" applyFont="1" applyFill="1"/>
    <xf numFmtId="0" fontId="16" fillId="0" borderId="0" xfId="19" applyFont="1" applyFill="1" applyBorder="1" applyAlignment="1"/>
    <xf numFmtId="0" fontId="26" fillId="0" borderId="0" xfId="0" applyFont="1" applyFill="1" applyAlignment="1"/>
    <xf numFmtId="0" fontId="16" fillId="0" borderId="0" xfId="0" applyFont="1" applyFill="1"/>
    <xf numFmtId="165" fontId="0" fillId="0" borderId="0" xfId="26" applyNumberFormat="1" applyFont="1" applyFill="1"/>
    <xf numFmtId="0" fontId="11" fillId="0" borderId="0" xfId="41" applyFont="1" applyBorder="1" applyAlignment="1">
      <alignment horizontal="center" wrapText="1"/>
    </xf>
    <xf numFmtId="0" fontId="10" fillId="0" borderId="0" xfId="0" applyFont="1" applyAlignment="1">
      <alignment horizontal="center"/>
    </xf>
    <xf numFmtId="0" fontId="10" fillId="0" borderId="0" xfId="0" applyFont="1" applyAlignment="1">
      <alignment horizontal="center"/>
    </xf>
    <xf numFmtId="165" fontId="11" fillId="0" borderId="0" xfId="61" applyNumberFormat="1" applyFont="1" applyFill="1" applyBorder="1" applyAlignment="1"/>
    <xf numFmtId="165" fontId="10" fillId="0" borderId="0" xfId="61" applyNumberFormat="1" applyFont="1" applyFill="1" applyBorder="1" applyAlignment="1"/>
    <xf numFmtId="0" fontId="11" fillId="0" borderId="0" xfId="50" applyFont="1" applyAlignment="1">
      <alignment horizontal="center"/>
    </xf>
    <xf numFmtId="0" fontId="11" fillId="0" borderId="0" xfId="50" applyFont="1" applyAlignment="1"/>
    <xf numFmtId="0" fontId="31" fillId="0" borderId="0" xfId="50" applyFont="1"/>
    <xf numFmtId="0" fontId="11" fillId="0" borderId="0" xfId="62" applyNumberFormat="1" applyFont="1" applyFill="1" applyBorder="1" applyAlignment="1">
      <alignment horizontal="center"/>
    </xf>
    <xf numFmtId="0" fontId="11" fillId="0" borderId="0" xfId="63" applyNumberFormat="1" applyFont="1" applyFill="1" applyBorder="1" applyAlignment="1">
      <alignment horizontal="center"/>
    </xf>
    <xf numFmtId="37" fontId="11" fillId="0" borderId="0" xfId="63" applyNumberFormat="1" applyFont="1" applyFill="1" applyBorder="1" applyAlignment="1">
      <alignment horizontal="center"/>
    </xf>
    <xf numFmtId="0" fontId="11" fillId="0" borderId="0" xfId="64" applyNumberFormat="1" applyFont="1" applyFill="1" applyBorder="1" applyAlignment="1"/>
    <xf numFmtId="0" fontId="30" fillId="0" borderId="0" xfId="50" applyFont="1"/>
    <xf numFmtId="49" fontId="11" fillId="0" borderId="1" xfId="63" quotePrefix="1" applyNumberFormat="1" applyFont="1" applyFill="1" applyBorder="1" applyAlignment="1">
      <alignment horizontal="center"/>
    </xf>
    <xf numFmtId="0" fontId="11" fillId="0" borderId="1" xfId="63" quotePrefix="1" applyNumberFormat="1" applyFont="1" applyFill="1" applyBorder="1" applyAlignment="1">
      <alignment horizontal="centerContinuous"/>
    </xf>
    <xf numFmtId="0" fontId="11" fillId="0" borderId="1" xfId="50" applyFont="1" applyBorder="1" applyAlignment="1">
      <alignment horizontal="center"/>
    </xf>
    <xf numFmtId="0" fontId="10" fillId="0" borderId="0" xfId="64" applyNumberFormat="1" applyFont="1" applyFill="1" applyBorder="1" applyAlignment="1">
      <alignment horizontal="center"/>
    </xf>
    <xf numFmtId="49" fontId="10" fillId="0" borderId="0" xfId="63" applyNumberFormat="1" applyFont="1" applyFill="1" applyBorder="1" applyAlignment="1">
      <alignment horizontal="center"/>
    </xf>
    <xf numFmtId="0" fontId="11" fillId="0" borderId="0" xfId="63" applyNumberFormat="1" applyFont="1" applyFill="1" applyBorder="1" applyAlignment="1"/>
    <xf numFmtId="165" fontId="10" fillId="0" borderId="0" xfId="61" applyNumberFormat="1" applyFont="1" applyFill="1" applyBorder="1"/>
    <xf numFmtId="43" fontId="10" fillId="0" borderId="0" xfId="50" applyNumberFormat="1" applyFont="1" applyAlignment="1"/>
    <xf numFmtId="0" fontId="10" fillId="0" borderId="0" xfId="63" applyNumberFormat="1" applyFont="1" applyFill="1" applyBorder="1" applyAlignment="1"/>
    <xf numFmtId="0" fontId="10" fillId="0" borderId="0" xfId="63" applyNumberFormat="1" applyFont="1" applyFill="1" applyBorder="1" applyAlignment="1">
      <alignment horizontal="center"/>
    </xf>
    <xf numFmtId="165" fontId="10" fillId="0" borderId="0" xfId="65" applyNumberFormat="1" applyFont="1" applyAlignment="1"/>
    <xf numFmtId="165" fontId="10" fillId="0" borderId="0" xfId="61" applyNumberFormat="1" applyFont="1" applyFill="1" applyBorder="1" applyAlignment="1">
      <alignment horizontal="right"/>
    </xf>
    <xf numFmtId="165" fontId="10" fillId="0" borderId="0" xfId="50" applyNumberFormat="1" applyFont="1" applyAlignment="1"/>
    <xf numFmtId="49" fontId="10" fillId="0" borderId="0" xfId="63" quotePrefix="1" applyNumberFormat="1" applyFont="1" applyFill="1" applyBorder="1" applyAlignment="1">
      <alignment horizontal="center"/>
    </xf>
    <xf numFmtId="0" fontId="11" fillId="0" borderId="0" xfId="63" applyNumberFormat="1" applyFont="1" applyFill="1" applyBorder="1" applyAlignment="1">
      <alignment horizontal="left"/>
    </xf>
    <xf numFmtId="0" fontId="10" fillId="0" borderId="0" xfId="63" quotePrefix="1" applyNumberFormat="1" applyFont="1" applyFill="1" applyBorder="1" applyAlignment="1">
      <alignment horizontal="center"/>
    </xf>
    <xf numFmtId="0" fontId="10" fillId="0" borderId="0" xfId="50" applyFont="1" applyBorder="1"/>
    <xf numFmtId="0" fontId="10" fillId="0" borderId="0" xfId="50" applyFont="1"/>
    <xf numFmtId="49" fontId="10" fillId="0" borderId="0" xfId="63" applyNumberFormat="1" applyFont="1" applyFill="1" applyBorder="1" applyAlignment="1"/>
    <xf numFmtId="0" fontId="10" fillId="0" borderId="0" xfId="63" applyNumberFormat="1" applyFont="1" applyFill="1" applyBorder="1" applyAlignment="1">
      <alignment horizontal="left"/>
    </xf>
    <xf numFmtId="0" fontId="11" fillId="0" borderId="0" xfId="63" quotePrefix="1" applyNumberFormat="1" applyFont="1" applyFill="1" applyBorder="1" applyAlignment="1">
      <alignment horizontal="left"/>
    </xf>
    <xf numFmtId="0" fontId="10" fillId="0" borderId="0" xfId="50" applyFont="1" applyAlignment="1">
      <alignment horizontal="center"/>
    </xf>
    <xf numFmtId="0" fontId="11" fillId="0" borderId="0" xfId="50" applyFont="1" applyAlignment="1">
      <alignment horizontal="right"/>
    </xf>
    <xf numFmtId="0" fontId="11" fillId="0" borderId="0" xfId="67" applyFont="1" applyFill="1" applyBorder="1" applyAlignment="1">
      <alignment horizontal="left"/>
    </xf>
    <xf numFmtId="0" fontId="11" fillId="0" borderId="0" xfId="63" applyNumberFormat="1" applyFont="1" applyBorder="1" applyAlignment="1">
      <alignment horizontal="right"/>
    </xf>
    <xf numFmtId="164" fontId="11" fillId="0" borderId="0" xfId="68" applyNumberFormat="1" applyFont="1" applyFill="1" applyBorder="1" applyAlignment="1">
      <alignment horizontal="left"/>
    </xf>
    <xf numFmtId="164" fontId="10" fillId="2" borderId="0" xfId="24" applyNumberFormat="1" applyFont="1" applyFill="1" applyBorder="1"/>
    <xf numFmtId="164" fontId="10" fillId="0" borderId="0" xfId="26" applyNumberFormat="1" applyFont="1" applyFill="1" applyAlignment="1"/>
    <xf numFmtId="164" fontId="10" fillId="0" borderId="0" xfId="9" applyNumberFormat="1" applyFont="1" applyFill="1" applyBorder="1"/>
    <xf numFmtId="164" fontId="10" fillId="0" borderId="9" xfId="1" applyNumberFormat="1" applyFont="1" applyFill="1" applyBorder="1"/>
    <xf numFmtId="164" fontId="10" fillId="0" borderId="0" xfId="1" applyNumberFormat="1" applyFont="1" applyFill="1" applyBorder="1" applyAlignment="1">
      <alignment horizontal="right"/>
    </xf>
    <xf numFmtId="164" fontId="20" fillId="0" borderId="3" xfId="1" applyNumberFormat="1" applyFont="1" applyFill="1" applyBorder="1" applyAlignment="1">
      <alignment horizontal="right"/>
    </xf>
    <xf numFmtId="164" fontId="10" fillId="0" borderId="1" xfId="1" applyNumberFormat="1" applyFont="1" applyFill="1" applyBorder="1"/>
    <xf numFmtId="164" fontId="10" fillId="0" borderId="0" xfId="18" applyNumberFormat="1" applyFont="1" applyFill="1" applyBorder="1" applyAlignment="1"/>
    <xf numFmtId="164" fontId="10" fillId="0" borderId="0" xfId="26" applyNumberFormat="1" applyFont="1" applyFill="1" applyBorder="1" applyAlignment="1">
      <alignment horizontal="left" wrapText="1"/>
    </xf>
    <xf numFmtId="164" fontId="10" fillId="0" borderId="0" xfId="26" applyNumberFormat="1" applyFont="1" applyFill="1" applyBorder="1" applyAlignment="1">
      <alignment horizontal="left"/>
    </xf>
    <xf numFmtId="164" fontId="10" fillId="0" borderId="0" xfId="61" quotePrefix="1" applyNumberFormat="1" applyFont="1" applyFill="1" applyBorder="1" applyAlignment="1">
      <alignment horizontal="right"/>
    </xf>
    <xf numFmtId="164" fontId="10" fillId="0" borderId="0" xfId="65" applyNumberFormat="1" applyFont="1" applyAlignment="1"/>
    <xf numFmtId="164" fontId="10" fillId="0" borderId="0" xfId="59" quotePrefix="1" applyNumberFormat="1" applyFont="1" applyFill="1" applyBorder="1" applyAlignment="1">
      <alignment horizontal="right"/>
    </xf>
    <xf numFmtId="164" fontId="10" fillId="0" borderId="9" xfId="61" quotePrefix="1" applyNumberFormat="1" applyFont="1" applyFill="1" applyBorder="1" applyAlignment="1">
      <alignment horizontal="right"/>
    </xf>
    <xf numFmtId="164" fontId="10" fillId="0" borderId="0" xfId="50" applyNumberFormat="1" applyFont="1" applyAlignment="1"/>
    <xf numFmtId="164" fontId="10" fillId="0" borderId="9" xfId="61" applyNumberFormat="1" applyFont="1" applyFill="1" applyBorder="1"/>
    <xf numFmtId="164" fontId="10" fillId="0" borderId="0" xfId="61" applyNumberFormat="1" applyFont="1" applyFill="1" applyBorder="1"/>
    <xf numFmtId="164" fontId="10" fillId="0" borderId="0" xfId="61" applyNumberFormat="1" applyFont="1" applyFill="1" applyBorder="1" applyAlignment="1">
      <alignment horizontal="right"/>
    </xf>
    <xf numFmtId="164" fontId="20" fillId="0" borderId="9" xfId="61" applyNumberFormat="1" applyFont="1" applyFill="1" applyBorder="1" applyAlignment="1">
      <alignment horizontal="right"/>
    </xf>
    <xf numFmtId="164" fontId="20" fillId="0" borderId="3" xfId="61" applyNumberFormat="1" applyFont="1" applyFill="1" applyBorder="1" applyAlignment="1">
      <alignment horizontal="right"/>
    </xf>
    <xf numFmtId="164" fontId="10" fillId="0" borderId="0" xfId="26" applyNumberFormat="1" applyFont="1" applyFill="1" applyBorder="1"/>
    <xf numFmtId="164" fontId="10" fillId="0" borderId="9" xfId="26" applyNumberFormat="1" applyFont="1" applyFill="1" applyBorder="1" applyAlignment="1">
      <alignment horizontal="center"/>
    </xf>
    <xf numFmtId="164" fontId="10" fillId="0" borderId="0" xfId="21" applyNumberFormat="1" applyFont="1" applyFill="1" applyBorder="1" applyAlignment="1"/>
    <xf numFmtId="44" fontId="10" fillId="0" borderId="0" xfId="24" applyFont="1"/>
    <xf numFmtId="164" fontId="10" fillId="0" borderId="0" xfId="24" applyNumberFormat="1" applyFont="1" applyFill="1" applyAlignment="1">
      <alignment horizontal="center"/>
    </xf>
    <xf numFmtId="164" fontId="10" fillId="0" borderId="0" xfId="24" quotePrefix="1" applyNumberFormat="1" applyFont="1" applyFill="1" applyAlignment="1">
      <alignment horizontal="center"/>
    </xf>
    <xf numFmtId="164" fontId="10" fillId="0" borderId="2" xfId="24" applyNumberFormat="1" applyFont="1" applyFill="1" applyBorder="1"/>
    <xf numFmtId="164" fontId="19" fillId="0" borderId="0" xfId="24" applyNumberFormat="1" applyFont="1" applyFill="1" applyBorder="1"/>
    <xf numFmtId="164" fontId="31" fillId="0" borderId="0" xfId="24" applyNumberFormat="1" applyFont="1" applyFill="1"/>
    <xf numFmtId="10" fontId="0" fillId="0" borderId="0" xfId="23" applyNumberFormat="1" applyFont="1" applyFill="1" applyBorder="1"/>
    <xf numFmtId="165" fontId="0" fillId="0" borderId="0" xfId="0" applyNumberFormat="1" applyFill="1" applyBorder="1"/>
    <xf numFmtId="42" fontId="0" fillId="0" borderId="0" xfId="0" applyNumberFormat="1" applyFill="1" applyBorder="1"/>
    <xf numFmtId="0" fontId="10" fillId="0" borderId="0" xfId="0" applyFont="1" applyAlignment="1">
      <alignment horizontal="center"/>
    </xf>
    <xf numFmtId="10" fontId="0" fillId="0" borderId="0" xfId="23" applyNumberFormat="1" applyFont="1" applyFill="1" applyAlignment="1">
      <alignment horizontal="center"/>
    </xf>
    <xf numFmtId="10" fontId="0" fillId="0" borderId="0" xfId="23" applyNumberFormat="1" applyFont="1" applyFill="1"/>
    <xf numFmtId="0" fontId="10" fillId="0" borderId="0" xfId="43" applyNumberFormat="1" applyFont="1" applyFill="1" applyAlignment="1" applyProtection="1">
      <alignment horizontal="center"/>
    </xf>
    <xf numFmtId="0" fontId="10" fillId="0" borderId="0" xfId="43" applyFill="1" applyAlignment="1"/>
    <xf numFmtId="0" fontId="10" fillId="0" borderId="0" xfId="43" applyNumberFormat="1" applyFont="1" applyFill="1" applyBorder="1" applyAlignment="1" applyProtection="1">
      <alignment horizontal="center"/>
    </xf>
    <xf numFmtId="0" fontId="11" fillId="0" borderId="0" xfId="43" applyFont="1" applyFill="1"/>
    <xf numFmtId="164" fontId="11" fillId="0" borderId="0" xfId="0" applyNumberFormat="1" applyFont="1" applyFill="1"/>
    <xf numFmtId="164" fontId="10" fillId="0" borderId="0" xfId="24" applyNumberFormat="1" applyFont="1"/>
    <xf numFmtId="165" fontId="10" fillId="0" borderId="0" xfId="1" applyNumberFormat="1" applyFont="1" applyFill="1" applyBorder="1" applyAlignment="1">
      <alignment horizontal="center"/>
    </xf>
    <xf numFmtId="0" fontId="10" fillId="0" borderId="1" xfId="43" applyFill="1" applyBorder="1"/>
    <xf numFmtId="0" fontId="11" fillId="0" borderId="0" xfId="43" applyFont="1" applyFill="1" applyBorder="1" applyAlignment="1">
      <alignment horizontal="center"/>
    </xf>
    <xf numFmtId="179" fontId="0" fillId="0" borderId="0" xfId="23" applyNumberFormat="1" applyFont="1"/>
    <xf numFmtId="164" fontId="10" fillId="2" borderId="0" xfId="2" applyNumberFormat="1" applyFont="1" applyFill="1" applyBorder="1"/>
    <xf numFmtId="164" fontId="10" fillId="0" borderId="1" xfId="24" applyNumberFormat="1" applyFont="1" applyFill="1" applyBorder="1" applyAlignment="1"/>
    <xf numFmtId="0" fontId="11" fillId="0" borderId="0" xfId="0" applyFont="1" applyFill="1" applyBorder="1" applyAlignment="1" applyProtection="1">
      <alignment horizontal="left"/>
    </xf>
    <xf numFmtId="0" fontId="10" fillId="0" borderId="0" xfId="20" applyNumberFormat="1" applyFont="1" applyFill="1" applyBorder="1" applyAlignment="1" applyProtection="1">
      <alignment horizontal="center"/>
    </xf>
    <xf numFmtId="49" fontId="10" fillId="0" borderId="0" xfId="20" applyNumberFormat="1" applyFont="1" applyFill="1" applyBorder="1" applyAlignment="1" applyProtection="1">
      <alignment horizontal="center"/>
    </xf>
    <xf numFmtId="0" fontId="11" fillId="0" borderId="0" xfId="20" applyNumberFormat="1" applyFont="1" applyFill="1" applyBorder="1" applyAlignment="1" applyProtection="1">
      <alignment horizontal="left"/>
    </xf>
    <xf numFmtId="0" fontId="11" fillId="0" borderId="0" xfId="20" applyNumberFormat="1" applyFont="1" applyFill="1" applyBorder="1" applyAlignment="1"/>
    <xf numFmtId="0" fontId="11" fillId="0" borderId="0" xfId="20" applyNumberFormat="1" applyFont="1" applyFill="1" applyBorder="1" applyAlignment="1">
      <alignment horizontal="center"/>
    </xf>
    <xf numFmtId="49" fontId="11" fillId="0" borderId="0" xfId="20" applyNumberFormat="1" applyFont="1" applyFill="1" applyBorder="1" applyAlignment="1">
      <alignment horizontal="center"/>
    </xf>
    <xf numFmtId="0" fontId="11" fillId="0" borderId="0" xfId="20" applyNumberFormat="1" applyFont="1" applyFill="1" applyBorder="1" applyAlignment="1" applyProtection="1">
      <alignment horizontal="center"/>
    </xf>
    <xf numFmtId="0" fontId="11" fillId="0" borderId="0" xfId="20" applyNumberFormat="1" applyFont="1" applyFill="1" applyBorder="1" applyAlignment="1">
      <alignment horizontal="left"/>
    </xf>
    <xf numFmtId="0" fontId="16" fillId="0" borderId="0" xfId="20" applyNumberFormat="1" applyFont="1" applyFill="1" applyBorder="1" applyAlignment="1">
      <alignment horizontal="center"/>
    </xf>
    <xf numFmtId="0" fontId="18" fillId="0" borderId="0" xfId="20" applyNumberFormat="1" applyFont="1" applyFill="1" applyBorder="1" applyAlignment="1" applyProtection="1">
      <alignment horizontal="center"/>
    </xf>
    <xf numFmtId="0" fontId="18" fillId="0" borderId="0" xfId="20" applyNumberFormat="1" applyFont="1" applyFill="1" applyBorder="1" applyAlignment="1">
      <alignment horizontal="center"/>
    </xf>
    <xf numFmtId="0" fontId="10" fillId="0" borderId="0" xfId="20" applyNumberFormat="1" applyFont="1" applyFill="1" applyBorder="1" applyAlignment="1">
      <alignment horizontal="center"/>
    </xf>
    <xf numFmtId="0" fontId="10" fillId="0" borderId="0" xfId="20" applyNumberFormat="1" applyFont="1" applyFill="1" applyBorder="1" applyAlignment="1">
      <alignment horizontal="left"/>
    </xf>
    <xf numFmtId="183" fontId="10" fillId="0" borderId="0" xfId="20" applyNumberFormat="1" applyFont="1" applyFill="1" applyBorder="1" applyAlignment="1"/>
    <xf numFmtId="164" fontId="10" fillId="0" borderId="0" xfId="24" applyNumberFormat="1" applyFont="1" applyFill="1" applyBorder="1" applyAlignment="1">
      <alignment horizontal="center"/>
    </xf>
    <xf numFmtId="164" fontId="10" fillId="0" borderId="0" xfId="24" quotePrefix="1" applyNumberFormat="1" applyFont="1" applyFill="1" applyBorder="1" applyAlignment="1">
      <alignment horizontal="center"/>
    </xf>
    <xf numFmtId="0" fontId="10" fillId="0" borderId="0" xfId="20" quotePrefix="1" applyNumberFormat="1" applyFont="1" applyFill="1" applyBorder="1" applyAlignment="1"/>
    <xf numFmtId="164" fontId="10" fillId="0" borderId="4" xfId="24" applyNumberFormat="1" applyFont="1" applyFill="1" applyBorder="1"/>
    <xf numFmtId="41" fontId="10" fillId="0" borderId="0" xfId="9" applyNumberFormat="1" applyFont="1" applyFill="1" applyBorder="1"/>
    <xf numFmtId="164" fontId="10" fillId="0" borderId="0" xfId="24" applyNumberFormat="1" applyFont="1" applyFill="1" applyBorder="1" applyAlignment="1">
      <alignment horizontal="right"/>
    </xf>
    <xf numFmtId="41" fontId="10" fillId="0" borderId="0" xfId="0" applyNumberFormat="1" applyFont="1" applyFill="1"/>
    <xf numFmtId="0" fontId="11" fillId="0" borderId="0" xfId="0" applyFont="1" applyFill="1" applyAlignment="1">
      <alignment horizontal="right"/>
    </xf>
    <xf numFmtId="0" fontId="11" fillId="0" borderId="0" xfId="0" applyFont="1" applyFill="1" applyAlignment="1">
      <alignment horizontal="left"/>
    </xf>
    <xf numFmtId="0" fontId="11" fillId="0" borderId="1" xfId="0" applyFont="1" applyFill="1" applyBorder="1" applyAlignment="1">
      <alignment horizontal="left"/>
    </xf>
    <xf numFmtId="7" fontId="10" fillId="0" borderId="0" xfId="0" applyNumberFormat="1" applyFont="1" applyFill="1"/>
    <xf numFmtId="164" fontId="11" fillId="0" borderId="1" xfId="24" applyNumberFormat="1" applyFont="1" applyFill="1" applyBorder="1"/>
    <xf numFmtId="164" fontId="10" fillId="0" borderId="9" xfId="24" applyNumberFormat="1" applyFont="1" applyFill="1" applyBorder="1"/>
    <xf numFmtId="185" fontId="11" fillId="0" borderId="0" xfId="24" applyNumberFormat="1" applyFont="1" applyFill="1" applyBorder="1"/>
    <xf numFmtId="164" fontId="11" fillId="0" borderId="0" xfId="24" applyNumberFormat="1" applyFont="1" applyFill="1" applyBorder="1"/>
    <xf numFmtId="164" fontId="11" fillId="0" borderId="9" xfId="24" applyNumberFormat="1" applyFont="1" applyFill="1" applyBorder="1"/>
    <xf numFmtId="43" fontId="10" fillId="0" borderId="0" xfId="24" applyNumberFormat="1" applyFont="1" applyFill="1" applyBorder="1" applyAlignment="1">
      <alignment horizontal="right"/>
    </xf>
    <xf numFmtId="43" fontId="10" fillId="0" borderId="0" xfId="24" quotePrefix="1" applyNumberFormat="1" applyFont="1" applyFill="1" applyBorder="1" applyAlignment="1">
      <alignment horizontal="right"/>
    </xf>
    <xf numFmtId="43" fontId="20" fillId="0" borderId="0" xfId="24" quotePrefix="1" applyNumberFormat="1" applyFont="1" applyFill="1" applyBorder="1" applyAlignment="1">
      <alignment horizontal="right"/>
    </xf>
    <xf numFmtId="43" fontId="24" fillId="0" borderId="0" xfId="24" quotePrefix="1" applyNumberFormat="1" applyFont="1" applyFill="1" applyBorder="1" applyAlignment="1">
      <alignment horizontal="right"/>
    </xf>
    <xf numFmtId="43" fontId="19" fillId="0" borderId="0" xfId="24" quotePrefix="1" applyNumberFormat="1" applyFont="1" applyFill="1" applyBorder="1" applyAlignment="1">
      <alignment horizontal="right"/>
    </xf>
    <xf numFmtId="43" fontId="10" fillId="0" borderId="0" xfId="24" applyNumberFormat="1" applyFont="1" applyFill="1" applyBorder="1"/>
    <xf numFmtId="43" fontId="20" fillId="0" borderId="0" xfId="24" applyNumberFormat="1" applyFont="1" applyFill="1" applyBorder="1" applyAlignment="1">
      <alignment horizontal="right"/>
    </xf>
    <xf numFmtId="4" fontId="10" fillId="0" borderId="0" xfId="43" applyNumberFormat="1" applyFill="1" applyAlignment="1"/>
    <xf numFmtId="4" fontId="10" fillId="0" borderId="0" xfId="43" applyNumberFormat="1" applyFont="1" applyFill="1" applyBorder="1" applyAlignment="1" applyProtection="1">
      <alignment horizontal="center"/>
    </xf>
    <xf numFmtId="165" fontId="10" fillId="0" borderId="0" xfId="43" applyNumberFormat="1" applyAlignment="1"/>
    <xf numFmtId="165" fontId="10" fillId="0" borderId="0" xfId="43" applyNumberFormat="1" applyFont="1" applyBorder="1" applyAlignment="1" applyProtection="1">
      <alignment horizontal="center"/>
    </xf>
    <xf numFmtId="165" fontId="10" fillId="0" borderId="0" xfId="43" applyNumberFormat="1" applyFont="1" applyFill="1" applyBorder="1" applyAlignment="1" applyProtection="1">
      <alignment horizontal="center"/>
    </xf>
    <xf numFmtId="165" fontId="10" fillId="0" borderId="0" xfId="24" applyNumberFormat="1" applyFont="1" applyFill="1" applyBorder="1"/>
    <xf numFmtId="165" fontId="10" fillId="0" borderId="1" xfId="24" applyNumberFormat="1" applyFont="1" applyFill="1" applyBorder="1"/>
    <xf numFmtId="165" fontId="25" fillId="0" borderId="0" xfId="47" applyNumberFormat="1" applyFont="1" applyFill="1" applyBorder="1"/>
    <xf numFmtId="185" fontId="10" fillId="0" borderId="0" xfId="24" applyNumberFormat="1" applyFont="1" applyFill="1" applyBorder="1"/>
    <xf numFmtId="0" fontId="10" fillId="0" borderId="0" xfId="35" applyFont="1" applyFill="1" applyBorder="1" applyAlignment="1"/>
    <xf numFmtId="42" fontId="0" fillId="0" borderId="0" xfId="26" applyNumberFormat="1" applyFont="1" applyFill="1"/>
    <xf numFmtId="43" fontId="0" fillId="0" borderId="0" xfId="26" applyFont="1" applyFill="1"/>
    <xf numFmtId="164" fontId="0" fillId="0" borderId="0" xfId="32" applyNumberFormat="1" applyFont="1" applyFill="1"/>
    <xf numFmtId="164" fontId="10" fillId="0" borderId="0" xfId="23" applyNumberFormat="1" applyFont="1" applyFill="1" applyBorder="1"/>
    <xf numFmtId="0" fontId="11" fillId="0" borderId="0" xfId="37" applyFont="1" applyFill="1" applyAlignment="1">
      <alignment horizontal="center"/>
    </xf>
    <xf numFmtId="0" fontId="11" fillId="0" borderId="1" xfId="37" applyFont="1" applyFill="1" applyBorder="1" applyAlignment="1">
      <alignment horizontal="center"/>
    </xf>
    <xf numFmtId="0" fontId="10" fillId="0" borderId="0" xfId="37" applyFill="1" applyAlignment="1">
      <alignment horizontal="center"/>
    </xf>
    <xf numFmtId="0" fontId="10" fillId="0" borderId="0" xfId="37" applyFill="1"/>
    <xf numFmtId="164" fontId="0" fillId="0" borderId="0" xfId="0" applyNumberFormat="1" applyFill="1"/>
    <xf numFmtId="0" fontId="0" fillId="0" borderId="0" xfId="0" applyFill="1" applyAlignment="1">
      <alignment horizontal="center"/>
    </xf>
    <xf numFmtId="165" fontId="0" fillId="0" borderId="0" xfId="26" applyNumberFormat="1" applyFont="1" applyFill="1" applyBorder="1"/>
    <xf numFmtId="179" fontId="0" fillId="0" borderId="0" xfId="23" applyNumberFormat="1" applyFont="1" applyFill="1"/>
    <xf numFmtId="164" fontId="0" fillId="0" borderId="0" xfId="26" applyNumberFormat="1" applyFont="1" applyFill="1"/>
    <xf numFmtId="0" fontId="10" fillId="0" borderId="0" xfId="39" applyFont="1" applyFill="1"/>
    <xf numFmtId="164" fontId="0" fillId="0" borderId="3" xfId="24" applyNumberFormat="1" applyFont="1" applyFill="1" applyBorder="1"/>
    <xf numFmtId="165" fontId="10" fillId="0" borderId="0" xfId="61" quotePrefix="1" applyNumberFormat="1" applyFont="1" applyFill="1" applyBorder="1" applyAlignment="1">
      <alignment horizontal="right"/>
    </xf>
    <xf numFmtId="165" fontId="10" fillId="0" borderId="0" xfId="59" quotePrefix="1" applyNumberFormat="1" applyFont="1" applyFill="1" applyBorder="1" applyAlignment="1">
      <alignment horizontal="right"/>
    </xf>
    <xf numFmtId="165" fontId="10" fillId="0" borderId="1" xfId="61" quotePrefix="1" applyNumberFormat="1" applyFont="1" applyFill="1" applyBorder="1" applyAlignment="1">
      <alignment horizontal="right"/>
    </xf>
    <xf numFmtId="42" fontId="31" fillId="0" borderId="0" xfId="0" applyNumberFormat="1" applyFont="1" applyFill="1"/>
    <xf numFmtId="15" fontId="17" fillId="0" borderId="0" xfId="0" quotePrefix="1" applyNumberFormat="1" applyFont="1" applyFill="1" applyAlignment="1">
      <alignment horizontal="center"/>
    </xf>
    <xf numFmtId="15" fontId="17" fillId="0" borderId="0" xfId="0" applyNumberFormat="1" applyFont="1" applyFill="1" applyAlignment="1">
      <alignment horizontal="center"/>
    </xf>
    <xf numFmtId="165" fontId="33" fillId="0" borderId="0" xfId="26" applyNumberFormat="1" applyFont="1" applyFill="1"/>
    <xf numFmtId="44" fontId="33" fillId="0" borderId="0" xfId="24" applyFont="1" applyFill="1" applyBorder="1" applyAlignment="1"/>
    <xf numFmtId="44" fontId="11" fillId="0" borderId="0" xfId="0" applyNumberFormat="1" applyFont="1" applyAlignment="1">
      <alignment horizontal="center"/>
    </xf>
    <xf numFmtId="0" fontId="11" fillId="0" borderId="0" xfId="0" quotePrefix="1" applyFont="1" applyFill="1" applyAlignment="1">
      <alignment horizontal="center"/>
    </xf>
    <xf numFmtId="165" fontId="10" fillId="0" borderId="0" xfId="24" applyNumberFormat="1" applyFont="1" applyFill="1" applyBorder="1" applyAlignment="1">
      <alignment horizontal="center"/>
    </xf>
    <xf numFmtId="165" fontId="10" fillId="0" borderId="0" xfId="24" applyNumberFormat="1" applyFont="1" applyFill="1" applyAlignment="1">
      <alignment horizontal="center"/>
    </xf>
    <xf numFmtId="165" fontId="31" fillId="0" borderId="0" xfId="24" applyNumberFormat="1" applyFont="1" applyFill="1" applyBorder="1"/>
    <xf numFmtId="165" fontId="10" fillId="0" borderId="0" xfId="24" applyNumberFormat="1" applyFont="1" applyFill="1" applyBorder="1" applyAlignment="1">
      <alignment horizontal="right"/>
    </xf>
    <xf numFmtId="0" fontId="18" fillId="0" borderId="0" xfId="0" applyFont="1" applyFill="1"/>
    <xf numFmtId="44" fontId="0" fillId="0" borderId="0" xfId="26" applyNumberFormat="1" applyFont="1" applyFill="1"/>
    <xf numFmtId="164" fontId="0" fillId="0" borderId="0" xfId="24" applyNumberFormat="1" applyFont="1" applyFill="1"/>
    <xf numFmtId="165" fontId="0" fillId="0" borderId="1" xfId="26" applyNumberFormat="1" applyFont="1" applyFill="1" applyBorder="1"/>
    <xf numFmtId="10" fontId="0" fillId="0" borderId="0" xfId="26" applyNumberFormat="1" applyFont="1" applyFill="1" applyAlignment="1">
      <alignment horizontal="center"/>
    </xf>
    <xf numFmtId="10" fontId="0" fillId="0" borderId="0" xfId="0" applyNumberFormat="1" applyFill="1" applyAlignment="1">
      <alignment horizontal="center"/>
    </xf>
    <xf numFmtId="10" fontId="11" fillId="0" borderId="0" xfId="0" applyNumberFormat="1" applyFont="1" applyFill="1" applyBorder="1" applyAlignment="1">
      <alignment horizontal="center" wrapText="1"/>
    </xf>
    <xf numFmtId="10" fontId="0" fillId="0" borderId="0" xfId="0" applyNumberFormat="1" applyFill="1" applyBorder="1" applyAlignment="1">
      <alignment horizontal="center"/>
    </xf>
    <xf numFmtId="165" fontId="0" fillId="0" borderId="0" xfId="24" applyNumberFormat="1" applyFont="1" applyFill="1"/>
    <xf numFmtId="165" fontId="0" fillId="0" borderId="1" xfId="24" applyNumberFormat="1" applyFont="1" applyFill="1" applyBorder="1"/>
    <xf numFmtId="165" fontId="31" fillId="0" borderId="0" xfId="24" applyNumberFormat="1" applyFont="1" applyFill="1"/>
    <xf numFmtId="164" fontId="31" fillId="0" borderId="9" xfId="24" applyNumberFormat="1" applyFont="1" applyFill="1" applyBorder="1"/>
    <xf numFmtId="164" fontId="31" fillId="0" borderId="2" xfId="24" applyNumberFormat="1" applyFont="1" applyFill="1" applyBorder="1"/>
    <xf numFmtId="164" fontId="31" fillId="0" borderId="0" xfId="24" applyNumberFormat="1" applyFont="1" applyFill="1" applyBorder="1"/>
    <xf numFmtId="164" fontId="31" fillId="0" borderId="3" xfId="24" applyNumberFormat="1" applyFont="1" applyFill="1" applyBorder="1"/>
    <xf numFmtId="41" fontId="10" fillId="0" borderId="0" xfId="26" applyNumberFormat="1" applyFont="1" applyFill="1" applyAlignment="1"/>
    <xf numFmtId="41" fontId="10" fillId="0" borderId="1" xfId="26" applyNumberFormat="1" applyFont="1" applyFill="1" applyBorder="1" applyAlignment="1"/>
    <xf numFmtId="41" fontId="10" fillId="0" borderId="1" xfId="24" applyNumberFormat="1" applyFont="1" applyFill="1" applyBorder="1"/>
    <xf numFmtId="41" fontId="10" fillId="0" borderId="0" xfId="24" applyNumberFormat="1" applyFont="1" applyFill="1" applyBorder="1"/>
    <xf numFmtId="0" fontId="10" fillId="0" borderId="0" xfId="35" applyFont="1" applyFill="1"/>
    <xf numFmtId="0" fontId="10" fillId="0" borderId="0" xfId="35" applyFont="1" applyFill="1" applyBorder="1" applyAlignment="1">
      <alignment horizontal="center" wrapText="1"/>
    </xf>
    <xf numFmtId="0" fontId="11" fillId="0" borderId="1" xfId="35" applyFont="1" applyFill="1" applyBorder="1" applyAlignment="1"/>
    <xf numFmtId="164" fontId="10" fillId="0" borderId="3" xfId="32" applyNumberFormat="1" applyFont="1" applyBorder="1"/>
    <xf numFmtId="41" fontId="10" fillId="0" borderId="0" xfId="24" applyNumberFormat="1" applyFont="1" applyFill="1" applyBorder="1" applyAlignment="1"/>
    <xf numFmtId="41" fontId="10" fillId="0" borderId="0" xfId="26" applyNumberFormat="1" applyFont="1" applyFill="1" applyBorder="1" applyAlignment="1"/>
    <xf numFmtId="41" fontId="10" fillId="0" borderId="5" xfId="2" applyNumberFormat="1" applyFont="1" applyFill="1" applyBorder="1"/>
    <xf numFmtId="41" fontId="31" fillId="0" borderId="0" xfId="4" applyNumberFormat="1" applyFont="1" applyFill="1" applyBorder="1"/>
    <xf numFmtId="41" fontId="31" fillId="0" borderId="0" xfId="5" applyNumberFormat="1" applyFont="1" applyFill="1" applyBorder="1"/>
    <xf numFmtId="41" fontId="31" fillId="0" borderId="0" xfId="6" applyNumberFormat="1" applyFont="1" applyFill="1" applyBorder="1"/>
    <xf numFmtId="41" fontId="31" fillId="0" borderId="0" xfId="7" applyNumberFormat="1" applyFont="1" applyFill="1" applyBorder="1"/>
    <xf numFmtId="41" fontId="31" fillId="0" borderId="0" xfId="8" applyNumberFormat="1" applyFont="1" applyFill="1" applyBorder="1"/>
    <xf numFmtId="41" fontId="31" fillId="0" borderId="0" xfId="9" applyNumberFormat="1" applyFont="1" applyFill="1" applyBorder="1"/>
    <xf numFmtId="41" fontId="31" fillId="0" borderId="0" xfId="10" applyNumberFormat="1" applyFont="1" applyFill="1" applyBorder="1" applyAlignment="1"/>
    <xf numFmtId="41" fontId="31" fillId="0" borderId="0" xfId="11" applyNumberFormat="1" applyFont="1" applyFill="1" applyBorder="1" applyAlignment="1"/>
    <xf numFmtId="41" fontId="31" fillId="0" borderId="0" xfId="12" applyNumberFormat="1" applyFont="1" applyFill="1" applyBorder="1" applyAlignment="1"/>
    <xf numFmtId="41" fontId="31" fillId="0" borderId="0" xfId="13" applyNumberFormat="1" applyFont="1" applyFill="1" applyBorder="1" applyAlignment="1"/>
    <xf numFmtId="41" fontId="31" fillId="0" borderId="0" xfId="14" applyNumberFormat="1" applyFont="1" applyFill="1" applyBorder="1" applyAlignment="1"/>
    <xf numFmtId="41" fontId="31" fillId="0" borderId="0" xfId="15" applyNumberFormat="1" applyFont="1" applyFill="1" applyBorder="1" applyAlignment="1"/>
    <xf numFmtId="41" fontId="10" fillId="0" borderId="0" xfId="24" applyNumberFormat="1" applyFont="1" applyFill="1"/>
    <xf numFmtId="165" fontId="10" fillId="0" borderId="0" xfId="24" applyNumberFormat="1" applyFont="1" applyFill="1" applyAlignment="1"/>
    <xf numFmtId="165" fontId="10" fillId="0" borderId="0" xfId="24" quotePrefix="1" applyNumberFormat="1" applyFont="1" applyFill="1" applyAlignment="1">
      <alignment horizontal="center"/>
    </xf>
    <xf numFmtId="165" fontId="10" fillId="0" borderId="0" xfId="20" applyNumberFormat="1" applyFont="1" applyFill="1" applyAlignment="1"/>
    <xf numFmtId="165" fontId="10" fillId="0" borderId="0" xfId="20" applyNumberFormat="1" applyFont="1" applyFill="1" applyAlignment="1">
      <alignment horizontal="center"/>
    </xf>
    <xf numFmtId="41" fontId="10" fillId="2" borderId="0" xfId="24" applyNumberFormat="1" applyFont="1" applyFill="1" applyBorder="1"/>
    <xf numFmtId="41" fontId="10" fillId="2" borderId="1" xfId="24" applyNumberFormat="1" applyFont="1" applyFill="1" applyBorder="1"/>
    <xf numFmtId="41" fontId="11" fillId="0" borderId="3" xfId="24" applyNumberFormat="1" applyFont="1" applyFill="1" applyBorder="1"/>
    <xf numFmtId="41" fontId="10" fillId="0" borderId="0" xfId="44" applyNumberFormat="1" applyFont="1" applyFill="1" applyBorder="1" applyAlignment="1"/>
    <xf numFmtId="41" fontId="10" fillId="0" borderId="0" xfId="26" applyNumberFormat="1" applyFont="1" applyFill="1" applyAlignment="1">
      <alignment horizontal="center"/>
    </xf>
    <xf numFmtId="41" fontId="10" fillId="0" borderId="0" xfId="21" applyNumberFormat="1" applyFont="1" applyFill="1" applyBorder="1" applyAlignment="1"/>
    <xf numFmtId="41" fontId="31" fillId="0" borderId="0" xfId="24" applyNumberFormat="1" applyFont="1" applyFill="1"/>
    <xf numFmtId="164" fontId="10" fillId="0" borderId="0" xfId="26" applyNumberFormat="1" applyFont="1" applyFill="1"/>
    <xf numFmtId="41" fontId="10" fillId="0" borderId="0" xfId="26" applyNumberFormat="1" applyFont="1" applyFill="1"/>
    <xf numFmtId="164" fontId="0" fillId="0" borderId="0" xfId="0" applyNumberFormat="1" applyFill="1" applyBorder="1"/>
    <xf numFmtId="164" fontId="10" fillId="0" borderId="3" xfId="42" applyNumberFormat="1" applyFont="1" applyFill="1" applyBorder="1"/>
    <xf numFmtId="42" fontId="11" fillId="0" borderId="0" xfId="26" applyNumberFormat="1" applyFont="1" applyFill="1" applyAlignment="1">
      <alignment horizontal="center"/>
    </xf>
    <xf numFmtId="42" fontId="11" fillId="0" borderId="0" xfId="1" applyNumberFormat="1" applyFont="1" applyFill="1" applyBorder="1" applyAlignment="1">
      <alignment horizontal="center"/>
    </xf>
    <xf numFmtId="0" fontId="10" fillId="0" borderId="0" xfId="0" applyFont="1" applyAlignment="1">
      <alignment horizontal="center"/>
    </xf>
    <xf numFmtId="164" fontId="10" fillId="0" borderId="10" xfId="2" applyNumberFormat="1" applyFont="1" applyFill="1" applyBorder="1"/>
    <xf numFmtId="164" fontId="10" fillId="0" borderId="3" xfId="20" applyNumberFormat="1" applyFont="1" applyFill="1" applyBorder="1" applyAlignment="1"/>
    <xf numFmtId="41" fontId="10" fillId="0" borderId="3" xfId="20" applyNumberFormat="1" applyFont="1" applyFill="1" applyBorder="1" applyAlignment="1"/>
    <xf numFmtId="0" fontId="25" fillId="0" borderId="0" xfId="0" applyFont="1" applyFill="1" applyBorder="1"/>
    <xf numFmtId="0" fontId="31" fillId="0" borderId="0" xfId="0" applyFont="1" applyAlignment="1">
      <alignment horizontal="left"/>
    </xf>
    <xf numFmtId="0" fontId="30" fillId="0" borderId="0" xfId="0" applyFont="1" applyAlignment="1">
      <alignment horizontal="left"/>
    </xf>
    <xf numFmtId="165" fontId="31" fillId="0" borderId="1" xfId="24" applyNumberFormat="1" applyFont="1" applyFill="1" applyBorder="1"/>
    <xf numFmtId="49" fontId="10" fillId="0" borderId="0" xfId="19" applyNumberFormat="1" applyFont="1" applyFill="1" applyAlignment="1"/>
    <xf numFmtId="0" fontId="11" fillId="0" borderId="0" xfId="19" applyNumberFormat="1" applyFont="1" applyFill="1" applyAlignment="1"/>
    <xf numFmtId="0" fontId="10" fillId="0" borderId="0" xfId="19" applyNumberFormat="1" applyFont="1" applyFill="1" applyAlignment="1">
      <alignment horizontal="center"/>
    </xf>
    <xf numFmtId="49" fontId="10" fillId="0" borderId="0" xfId="19" applyNumberFormat="1" applyFont="1" applyFill="1" applyAlignment="1">
      <alignment horizontal="center"/>
    </xf>
    <xf numFmtId="165" fontId="10" fillId="0" borderId="0" xfId="1" applyNumberFormat="1" applyFont="1" applyFill="1" applyBorder="1" applyAlignment="1">
      <alignment horizontal="center"/>
    </xf>
    <xf numFmtId="164" fontId="18" fillId="0" borderId="0" xfId="24" applyNumberFormat="1" applyFont="1" applyFill="1" applyBorder="1" applyAlignment="1"/>
    <xf numFmtId="164" fontId="11" fillId="0" borderId="0" xfId="24" applyNumberFormat="1" applyFont="1" applyAlignment="1">
      <alignment horizontal="center"/>
    </xf>
    <xf numFmtId="164" fontId="11" fillId="0" borderId="1" xfId="24" applyNumberFormat="1" applyFont="1" applyFill="1" applyBorder="1" applyAlignment="1">
      <alignment horizontal="center" wrapText="1"/>
    </xf>
    <xf numFmtId="164" fontId="11" fillId="0" borderId="0" xfId="24" applyNumberFormat="1" applyFont="1" applyFill="1" applyBorder="1" applyAlignment="1">
      <alignment horizontal="center" wrapText="1"/>
    </xf>
    <xf numFmtId="164" fontId="11" fillId="0" borderId="0" xfId="24" applyNumberFormat="1" applyFont="1" applyFill="1"/>
    <xf numFmtId="164" fontId="10" fillId="0" borderId="0" xfId="24" quotePrefix="1" applyNumberFormat="1" applyFont="1" applyFill="1" applyBorder="1"/>
    <xf numFmtId="164" fontId="11" fillId="0" borderId="0" xfId="24" quotePrefix="1" applyNumberFormat="1" applyFont="1" applyFill="1"/>
    <xf numFmtId="164" fontId="22" fillId="0" borderId="0" xfId="24" applyNumberFormat="1" applyFont="1" applyFill="1" applyBorder="1"/>
    <xf numFmtId="164" fontId="10" fillId="0" borderId="9" xfId="24" applyNumberFormat="1" applyFont="1" applyFill="1" applyBorder="1" applyAlignment="1"/>
    <xf numFmtId="164" fontId="11" fillId="0" borderId="0" xfId="24" applyNumberFormat="1" applyFont="1" applyFill="1" applyBorder="1" applyAlignment="1"/>
    <xf numFmtId="0" fontId="26" fillId="0" borderId="0" xfId="19" applyNumberFormat="1" applyFont="1" applyFill="1" applyAlignment="1"/>
    <xf numFmtId="0" fontId="10" fillId="0" borderId="0" xfId="1" applyNumberFormat="1" applyFont="1" applyFill="1" applyBorder="1" applyAlignment="1">
      <alignment horizontal="left"/>
    </xf>
    <xf numFmtId="164" fontId="11" fillId="0" borderId="0" xfId="24" applyNumberFormat="1" applyFont="1" applyFill="1" applyBorder="1" applyAlignment="1">
      <alignment horizontal="center"/>
    </xf>
    <xf numFmtId="10" fontId="10" fillId="0" borderId="0" xfId="31" applyNumberFormat="1" applyFont="1" applyFill="1" applyBorder="1" applyAlignment="1"/>
    <xf numFmtId="165" fontId="10" fillId="0" borderId="0" xfId="1" applyNumberFormat="1" applyFont="1" applyFill="1" applyBorder="1" applyAlignment="1">
      <alignment horizontal="center"/>
    </xf>
    <xf numFmtId="44" fontId="10" fillId="0" borderId="0" xfId="32" applyFont="1" applyFill="1" applyAlignment="1"/>
    <xf numFmtId="44" fontId="10" fillId="24" borderId="0" xfId="0" applyNumberFormat="1" applyFont="1" applyFill="1" applyAlignment="1"/>
    <xf numFmtId="44" fontId="10" fillId="0" borderId="0" xfId="17" applyNumberFormat="1" applyFont="1" applyFill="1" applyBorder="1" applyAlignment="1">
      <alignment horizontal="right"/>
    </xf>
    <xf numFmtId="164" fontId="10" fillId="0" borderId="0" xfId="17" applyNumberFormat="1" applyFont="1" applyBorder="1" applyAlignment="1"/>
    <xf numFmtId="44" fontId="10" fillId="24" borderId="0" xfId="17" applyNumberFormat="1" applyFont="1" applyFill="1" applyBorder="1" applyAlignment="1">
      <alignment horizontal="right"/>
    </xf>
    <xf numFmtId="0" fontId="11" fillId="0" borderId="1" xfId="71" applyFont="1" applyBorder="1" applyAlignment="1">
      <alignment horizontal="center"/>
    </xf>
    <xf numFmtId="44" fontId="31" fillId="0" borderId="0" xfId="24" applyFont="1" applyFill="1"/>
    <xf numFmtId="37" fontId="11" fillId="0" borderId="0" xfId="17" applyNumberFormat="1" applyFont="1" applyFill="1" applyBorder="1" applyAlignment="1">
      <alignment horizontal="center"/>
    </xf>
    <xf numFmtId="0" fontId="11" fillId="0" borderId="0" xfId="17" applyNumberFormat="1" applyFont="1" applyFill="1" applyBorder="1" applyAlignment="1">
      <alignment horizontal="center"/>
    </xf>
    <xf numFmtId="0" fontId="10" fillId="0" borderId="0" xfId="19" applyNumberFormat="1" applyFont="1" applyFill="1" applyBorder="1" applyAlignment="1"/>
    <xf numFmtId="44" fontId="10" fillId="0" borderId="0" xfId="24" quotePrefix="1" applyFont="1" applyFill="1" applyBorder="1" applyAlignment="1">
      <alignment horizontal="right"/>
    </xf>
    <xf numFmtId="164" fontId="10" fillId="0" borderId="0" xfId="24" quotePrefix="1" applyNumberFormat="1" applyFont="1" applyFill="1" applyBorder="1" applyAlignment="1">
      <alignment horizontal="right"/>
    </xf>
    <xf numFmtId="164" fontId="20" fillId="0" borderId="0" xfId="24" quotePrefix="1" applyNumberFormat="1" applyFont="1" applyFill="1" applyBorder="1" applyAlignment="1">
      <alignment horizontal="right"/>
    </xf>
    <xf numFmtId="164" fontId="10" fillId="0" borderId="9" xfId="24" applyNumberFormat="1" applyFont="1" applyFill="1" applyBorder="1" applyAlignment="1">
      <alignment horizontal="right"/>
    </xf>
    <xf numFmtId="165" fontId="10" fillId="0" borderId="0" xfId="26" applyNumberFormat="1" applyFont="1" applyFill="1" applyBorder="1" applyAlignment="1">
      <alignment horizontal="right"/>
    </xf>
    <xf numFmtId="165" fontId="10" fillId="0" borderId="0" xfId="26" quotePrefix="1" applyNumberFormat="1" applyFont="1" applyFill="1" applyBorder="1" applyAlignment="1">
      <alignment horizontal="right"/>
    </xf>
    <xf numFmtId="165" fontId="20" fillId="0" borderId="0" xfId="26" quotePrefix="1" applyNumberFormat="1" applyFont="1" applyFill="1" applyBorder="1" applyAlignment="1">
      <alignment horizontal="right"/>
    </xf>
    <xf numFmtId="165" fontId="10" fillId="0" borderId="1" xfId="26" applyNumberFormat="1" applyFont="1" applyFill="1" applyBorder="1" applyAlignment="1">
      <alignment horizontal="right"/>
    </xf>
    <xf numFmtId="165" fontId="10" fillId="0" borderId="1" xfId="26" quotePrefix="1" applyNumberFormat="1" applyFont="1" applyFill="1" applyBorder="1" applyAlignment="1">
      <alignment horizontal="right"/>
    </xf>
    <xf numFmtId="165" fontId="20" fillId="0" borderId="1" xfId="26" quotePrefix="1" applyNumberFormat="1" applyFont="1" applyFill="1" applyBorder="1" applyAlignment="1">
      <alignment horizontal="right"/>
    </xf>
    <xf numFmtId="165" fontId="10" fillId="0" borderId="0" xfId="24" quotePrefix="1" applyNumberFormat="1" applyFont="1" applyFill="1" applyBorder="1" applyAlignment="1">
      <alignment horizontal="right"/>
    </xf>
    <xf numFmtId="165" fontId="20" fillId="0" borderId="0" xfId="24" quotePrefix="1" applyNumberFormat="1" applyFont="1" applyFill="1" applyBorder="1" applyAlignment="1">
      <alignment horizontal="right"/>
    </xf>
    <xf numFmtId="165" fontId="10" fillId="0" borderId="1" xfId="24" applyNumberFormat="1" applyFont="1" applyFill="1" applyBorder="1" applyAlignment="1">
      <alignment horizontal="right"/>
    </xf>
    <xf numFmtId="165" fontId="10" fillId="0" borderId="1" xfId="24" quotePrefix="1" applyNumberFormat="1" applyFont="1" applyFill="1" applyBorder="1" applyAlignment="1">
      <alignment horizontal="right"/>
    </xf>
    <xf numFmtId="165" fontId="20" fillId="0" borderId="1" xfId="24" quotePrefix="1" applyNumberFormat="1" applyFont="1" applyFill="1" applyBorder="1" applyAlignment="1">
      <alignment horizontal="right"/>
    </xf>
    <xf numFmtId="164" fontId="24" fillId="0" borderId="0" xfId="24" quotePrefix="1" applyNumberFormat="1" applyFont="1" applyFill="1" applyBorder="1" applyAlignment="1">
      <alignment horizontal="right"/>
    </xf>
    <xf numFmtId="164" fontId="10" fillId="0" borderId="9" xfId="24" quotePrefix="1" applyNumberFormat="1" applyFont="1" applyFill="1" applyBorder="1" applyAlignment="1">
      <alignment horizontal="right"/>
    </xf>
    <xf numFmtId="164" fontId="19" fillId="0" borderId="0" xfId="24" quotePrefix="1" applyNumberFormat="1" applyFont="1" applyFill="1" applyBorder="1" applyAlignment="1">
      <alignment horizontal="right"/>
    </xf>
    <xf numFmtId="165" fontId="24" fillId="0" borderId="0" xfId="24" quotePrefix="1" applyNumberFormat="1" applyFont="1" applyFill="1" applyBorder="1" applyAlignment="1">
      <alignment horizontal="right"/>
    </xf>
    <xf numFmtId="164" fontId="20" fillId="0" borderId="0" xfId="24" applyNumberFormat="1" applyFont="1" applyFill="1" applyBorder="1" applyAlignment="1">
      <alignment horizontal="right"/>
    </xf>
    <xf numFmtId="165" fontId="20" fillId="0" borderId="0" xfId="24" applyNumberFormat="1" applyFont="1" applyFill="1" applyBorder="1" applyAlignment="1">
      <alignment horizontal="right"/>
    </xf>
    <xf numFmtId="164" fontId="20" fillId="0" borderId="9" xfId="24" applyNumberFormat="1" applyFont="1" applyFill="1" applyBorder="1" applyAlignment="1">
      <alignment horizontal="right"/>
    </xf>
    <xf numFmtId="164" fontId="10" fillId="0" borderId="0" xfId="9" applyNumberFormat="1" applyFont="1" applyFill="1"/>
    <xf numFmtId="165" fontId="10" fillId="0" borderId="1" xfId="26" applyNumberFormat="1" applyFont="1" applyFill="1" applyBorder="1"/>
    <xf numFmtId="164" fontId="20" fillId="0" borderId="9" xfId="24" quotePrefix="1" applyNumberFormat="1" applyFont="1" applyFill="1" applyBorder="1" applyAlignment="1">
      <alignment horizontal="right"/>
    </xf>
    <xf numFmtId="164" fontId="24" fillId="0" borderId="1" xfId="24" quotePrefix="1" applyNumberFormat="1" applyFont="1" applyFill="1" applyBorder="1" applyAlignment="1">
      <alignment horizontal="right"/>
    </xf>
    <xf numFmtId="165" fontId="31" fillId="0" borderId="0" xfId="26" applyNumberFormat="1" applyFont="1" applyFill="1"/>
    <xf numFmtId="165" fontId="31" fillId="0" borderId="1" xfId="26" applyNumberFormat="1" applyFont="1" applyFill="1" applyBorder="1"/>
    <xf numFmtId="3" fontId="10" fillId="0" borderId="0" xfId="0" applyNumberFormat="1" applyFont="1" applyFill="1" applyAlignment="1"/>
    <xf numFmtId="44" fontId="10" fillId="0" borderId="0" xfId="24" applyNumberFormat="1" applyFont="1" applyFill="1" applyAlignment="1"/>
    <xf numFmtId="0" fontId="10" fillId="25" borderId="0" xfId="0" applyFont="1" applyFill="1" applyAlignment="1"/>
    <xf numFmtId="43" fontId="10" fillId="0" borderId="0" xfId="26" applyFont="1" applyFill="1" applyBorder="1"/>
    <xf numFmtId="0" fontId="10"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1" fontId="10" fillId="0" borderId="0" xfId="63" applyNumberFormat="1" applyFont="1" applyFill="1" applyBorder="1" applyAlignment="1">
      <alignment horizontal="center"/>
    </xf>
    <xf numFmtId="9" fontId="31" fillId="0" borderId="0" xfId="23" applyFont="1" applyFill="1"/>
    <xf numFmtId="0" fontId="30" fillId="0" borderId="0" xfId="0" applyFont="1" applyFill="1" applyAlignment="1">
      <alignment horizontal="right"/>
    </xf>
    <xf numFmtId="41" fontId="31" fillId="0" borderId="0" xfId="0" applyNumberFormat="1" applyFont="1" applyFill="1"/>
    <xf numFmtId="165" fontId="31" fillId="0" borderId="0" xfId="26" applyNumberFormat="1" applyFont="1" applyFill="1" applyBorder="1"/>
    <xf numFmtId="186" fontId="10" fillId="0" borderId="0" xfId="21" applyNumberFormat="1" applyFont="1" applyFill="1" applyBorder="1" applyAlignment="1"/>
    <xf numFmtId="0" fontId="10" fillId="0" borderId="0" xfId="0" applyFont="1" applyAlignment="1">
      <alignment horizontal="center"/>
    </xf>
    <xf numFmtId="0" fontId="11" fillId="0" borderId="0" xfId="17" applyNumberFormat="1" applyFont="1" applyFill="1" applyBorder="1" applyAlignment="1">
      <alignment horizontal="center"/>
    </xf>
    <xf numFmtId="0" fontId="31" fillId="0" borderId="0" xfId="0" applyFont="1" applyFill="1" applyAlignment="1">
      <alignment horizontal="left" indent="2"/>
    </xf>
    <xf numFmtId="43" fontId="10" fillId="0" borderId="0" xfId="26" quotePrefix="1" applyFont="1" applyFill="1" applyBorder="1" applyAlignment="1">
      <alignment horizontal="right"/>
    </xf>
    <xf numFmtId="0" fontId="31" fillId="0" borderId="0" xfId="0" applyFont="1" applyFill="1" applyAlignment="1">
      <alignment horizontal="left"/>
    </xf>
    <xf numFmtId="0" fontId="11" fillId="0" borderId="1" xfId="0" applyFont="1" applyFill="1" applyBorder="1" applyAlignment="1">
      <alignment wrapText="1"/>
    </xf>
    <xf numFmtId="0" fontId="10" fillId="0" borderId="0" xfId="0" applyFont="1" applyFill="1" applyAlignment="1">
      <alignment wrapText="1"/>
    </xf>
    <xf numFmtId="10" fontId="24" fillId="0" borderId="0" xfId="25" applyNumberFormat="1" applyFont="1" applyFill="1" applyBorder="1" applyAlignment="1"/>
    <xf numFmtId="10" fontId="10" fillId="0" borderId="0" xfId="0" applyNumberFormat="1" applyFont="1" applyFill="1"/>
    <xf numFmtId="164" fontId="10" fillId="0" borderId="0" xfId="32" applyNumberFormat="1" applyFont="1" applyFill="1"/>
    <xf numFmtId="10" fontId="10" fillId="0" borderId="0" xfId="25" applyNumberFormat="1" applyFont="1" applyFill="1" applyBorder="1" applyAlignment="1">
      <alignment horizontal="center"/>
    </xf>
    <xf numFmtId="10" fontId="10" fillId="0" borderId="0" xfId="0" applyNumberFormat="1" applyFont="1" applyFill="1" applyAlignment="1">
      <alignment horizontal="center"/>
    </xf>
    <xf numFmtId="10" fontId="10" fillId="0" borderId="1" xfId="25" applyNumberFormat="1" applyFont="1" applyFill="1" applyBorder="1" applyAlignment="1">
      <alignment horizontal="center"/>
    </xf>
    <xf numFmtId="10" fontId="10" fillId="0" borderId="1" xfId="23" applyNumberFormat="1" applyFont="1" applyFill="1" applyBorder="1" applyAlignment="1">
      <alignment horizontal="center"/>
    </xf>
    <xf numFmtId="10" fontId="10" fillId="0" borderId="5" xfId="25" applyNumberFormat="1" applyFont="1" applyFill="1" applyBorder="1" applyAlignment="1">
      <alignment horizontal="center"/>
    </xf>
    <xf numFmtId="0" fontId="10" fillId="0" borderId="1" xfId="0" applyFont="1" applyFill="1" applyBorder="1"/>
    <xf numFmtId="164" fontId="10" fillId="0" borderId="1" xfId="0" applyNumberFormat="1" applyFont="1" applyFill="1" applyBorder="1"/>
    <xf numFmtId="0" fontId="10" fillId="0" borderId="1" xfId="0" applyFont="1" applyFill="1" applyBorder="1" applyAlignment="1">
      <alignment horizontal="center"/>
    </xf>
    <xf numFmtId="0" fontId="18" fillId="0" borderId="0" xfId="0" applyFont="1" applyFill="1" applyAlignment="1">
      <alignment horizontal="center"/>
    </xf>
    <xf numFmtId="164" fontId="31" fillId="0" borderId="0" xfId="24" applyNumberFormat="1" applyFont="1" applyFill="1" applyBorder="1" applyAlignment="1">
      <alignment horizontal="center"/>
    </xf>
    <xf numFmtId="0" fontId="10" fillId="0" borderId="0" xfId="0" applyFont="1" applyAlignment="1">
      <alignment horizontal="center"/>
    </xf>
    <xf numFmtId="165" fontId="10" fillId="0" borderId="0" xfId="26" applyNumberFormat="1" applyFont="1" applyFill="1" applyBorder="1" applyAlignment="1">
      <alignment horizontal="center"/>
    </xf>
    <xf numFmtId="10" fontId="31" fillId="0" borderId="0" xfId="23" applyNumberFormat="1" applyFont="1" applyFill="1" applyAlignment="1">
      <alignment horizontal="center"/>
    </xf>
    <xf numFmtId="9" fontId="31" fillId="0" borderId="0" xfId="23" applyFont="1" applyFill="1" applyAlignment="1">
      <alignment horizontal="center"/>
    </xf>
    <xf numFmtId="43" fontId="31" fillId="0" borderId="0" xfId="26" applyFont="1" applyFill="1" applyBorder="1"/>
    <xf numFmtId="43" fontId="31" fillId="0" borderId="1" xfId="26" applyFont="1" applyFill="1" applyBorder="1"/>
    <xf numFmtId="43" fontId="0" fillId="0" borderId="0" xfId="26" applyNumberFormat="1" applyFont="1" applyFill="1"/>
    <xf numFmtId="10" fontId="31" fillId="0" borderId="0" xfId="23" applyNumberFormat="1" applyFont="1" applyFill="1"/>
    <xf numFmtId="165" fontId="10" fillId="0" borderId="0" xfId="26" applyNumberFormat="1" applyFont="1" applyFill="1" applyAlignment="1"/>
    <xf numFmtId="164" fontId="0" fillId="0" borderId="0" xfId="26" applyNumberFormat="1" applyFont="1" applyFill="1" applyBorder="1"/>
    <xf numFmtId="42" fontId="10" fillId="0" borderId="0" xfId="26" applyNumberFormat="1" applyFont="1" applyFill="1" applyBorder="1" applyAlignment="1"/>
    <xf numFmtId="164" fontId="0" fillId="0" borderId="1" xfId="26" applyNumberFormat="1" applyFont="1" applyFill="1" applyBorder="1"/>
    <xf numFmtId="0" fontId="10" fillId="0" borderId="0" xfId="35" applyFont="1" applyFill="1" applyAlignment="1">
      <alignment horizontal="center"/>
    </xf>
    <xf numFmtId="41" fontId="10" fillId="0" borderId="0" xfId="32" applyNumberFormat="1" applyFont="1" applyFill="1" applyBorder="1"/>
    <xf numFmtId="0" fontId="10" fillId="0" borderId="0" xfId="21" applyNumberFormat="1" applyFont="1" applyFill="1" applyBorder="1" applyAlignment="1">
      <alignment horizontal="center"/>
    </xf>
    <xf numFmtId="43" fontId="31" fillId="0" borderId="0" xfId="26" applyFont="1" applyFill="1"/>
    <xf numFmtId="41" fontId="10" fillId="0" borderId="0" xfId="2" applyNumberFormat="1" applyFont="1" applyFill="1" applyBorder="1"/>
    <xf numFmtId="0" fontId="16" fillId="0" borderId="0" xfId="21" applyNumberFormat="1" applyFont="1" applyFill="1" applyBorder="1" applyAlignment="1">
      <alignment horizontal="center"/>
    </xf>
    <xf numFmtId="10" fontId="10" fillId="0" borderId="0" xfId="23" applyNumberFormat="1" applyFont="1" applyFill="1" applyBorder="1" applyAlignment="1">
      <alignment horizontal="center"/>
    </xf>
    <xf numFmtId="10" fontId="10" fillId="0" borderId="0" xfId="0" applyNumberFormat="1" applyFont="1" applyFill="1" applyBorder="1" applyAlignment="1">
      <alignment horizontal="center"/>
    </xf>
    <xf numFmtId="41" fontId="10" fillId="0" borderId="1" xfId="0" applyNumberFormat="1" applyFont="1" applyFill="1" applyBorder="1"/>
    <xf numFmtId="10" fontId="10" fillId="0" borderId="1" xfId="0" applyNumberFormat="1" applyFont="1" applyFill="1" applyBorder="1" applyAlignment="1">
      <alignment horizontal="center"/>
    </xf>
    <xf numFmtId="164" fontId="10" fillId="0" borderId="5" xfId="0" applyNumberFormat="1" applyFont="1" applyFill="1" applyBorder="1"/>
    <xf numFmtId="9" fontId="10" fillId="0" borderId="5" xfId="23" applyNumberFormat="1" applyFont="1" applyFill="1" applyBorder="1"/>
    <xf numFmtId="10" fontId="10" fillId="0" borderId="5" xfId="23" applyNumberFormat="1" applyFont="1" applyFill="1" applyBorder="1" applyAlignment="1">
      <alignment horizontal="center"/>
    </xf>
    <xf numFmtId="165" fontId="10" fillId="0" borderId="0" xfId="57" applyNumberFormat="1" applyFont="1" applyFill="1" applyAlignment="1">
      <alignment horizontal="center"/>
    </xf>
    <xf numFmtId="165" fontId="10" fillId="0" borderId="0" xfId="57" applyNumberFormat="1" applyFont="1" applyFill="1" applyBorder="1" applyAlignment="1">
      <alignment horizontal="center"/>
    </xf>
    <xf numFmtId="42" fontId="10" fillId="0" borderId="0" xfId="20" applyNumberFormat="1" applyFont="1" applyFill="1" applyAlignment="1"/>
    <xf numFmtId="41" fontId="10" fillId="0" borderId="0" xfId="20" applyNumberFormat="1" applyFont="1" applyFill="1" applyAlignment="1"/>
    <xf numFmtId="165" fontId="10" fillId="0" borderId="1" xfId="26" applyNumberFormat="1" applyFont="1" applyFill="1" applyBorder="1" applyAlignment="1"/>
    <xf numFmtId="165" fontId="10" fillId="0" borderId="0" xfId="26" applyNumberFormat="1" applyFont="1" applyFill="1" applyBorder="1" applyAlignment="1"/>
    <xf numFmtId="170" fontId="10" fillId="0" borderId="0" xfId="0" applyNumberFormat="1" applyFont="1" applyFill="1" applyBorder="1" applyAlignment="1">
      <alignment horizontal="center" wrapText="1"/>
    </xf>
    <xf numFmtId="0" fontId="0" fillId="0" borderId="1" xfId="0" applyFill="1" applyBorder="1" applyAlignment="1">
      <alignment horizontal="center"/>
    </xf>
    <xf numFmtId="164" fontId="10" fillId="0" borderId="0" xfId="0" applyNumberFormat="1" applyFont="1" applyFill="1" applyBorder="1" applyAlignment="1">
      <alignment horizontal="center" wrapText="1"/>
    </xf>
    <xf numFmtId="0" fontId="10" fillId="0" borderId="0" xfId="36" applyFont="1" applyFill="1" applyBorder="1" applyAlignment="1">
      <alignment horizontal="left" wrapText="1"/>
    </xf>
    <xf numFmtId="0" fontId="10" fillId="0" borderId="0" xfId="43" applyNumberFormat="1" applyFont="1" applyAlignment="1" applyProtection="1"/>
    <xf numFmtId="0" fontId="10" fillId="0" borderId="0" xfId="43" applyNumberFormat="1" applyFont="1" applyFill="1" applyAlignment="1" applyProtection="1"/>
    <xf numFmtId="0" fontId="11" fillId="0" borderId="0" xfId="43" quotePrefix="1" applyFont="1" applyFill="1" applyAlignment="1">
      <alignment horizontal="left"/>
    </xf>
    <xf numFmtId="0" fontId="10" fillId="0" borderId="0" xfId="43" quotePrefix="1" applyNumberFormat="1" applyFont="1" applyFill="1" applyBorder="1" applyAlignment="1" applyProtection="1">
      <alignment horizontal="center"/>
    </xf>
    <xf numFmtId="165" fontId="10" fillId="0" borderId="0" xfId="1" quotePrefix="1" applyNumberFormat="1" applyFont="1" applyFill="1" applyBorder="1" applyAlignment="1">
      <alignment horizontal="center"/>
    </xf>
    <xf numFmtId="37" fontId="10" fillId="0" borderId="0" xfId="57" applyNumberFormat="1" applyFont="1" applyFill="1" applyAlignment="1" applyProtection="1">
      <alignment horizontal="right"/>
    </xf>
    <xf numFmtId="0" fontId="10" fillId="0" borderId="0" xfId="34" applyFont="1" applyFill="1" applyBorder="1" applyAlignment="1">
      <alignment horizontal="center" wrapText="1"/>
    </xf>
    <xf numFmtId="0" fontId="11" fillId="0" borderId="0" xfId="17" applyNumberFormat="1" applyFont="1" applyFill="1" applyBorder="1" applyAlignment="1">
      <alignment horizontal="center"/>
    </xf>
    <xf numFmtId="44" fontId="10" fillId="0" borderId="0" xfId="24" applyFont="1" applyBorder="1" applyAlignment="1">
      <alignment horizontal="left"/>
    </xf>
    <xf numFmtId="44" fontId="31" fillId="0" borderId="0" xfId="0" applyNumberFormat="1" applyFont="1"/>
    <xf numFmtId="164" fontId="10" fillId="0" borderId="0" xfId="24" applyNumberFormat="1" applyFont="1" applyBorder="1" applyAlignment="1">
      <alignment horizontal="left"/>
    </xf>
    <xf numFmtId="164" fontId="31" fillId="0" borderId="0" xfId="24" applyNumberFormat="1" applyFont="1"/>
    <xf numFmtId="164" fontId="0" fillId="0" borderId="0" xfId="32" applyNumberFormat="1" applyFont="1" applyBorder="1"/>
    <xf numFmtId="0" fontId="10" fillId="0" borderId="0" xfId="0" applyFont="1" applyAlignment="1">
      <alignment horizontal="center"/>
    </xf>
    <xf numFmtId="0" fontId="11" fillId="0" borderId="1" xfId="17" applyNumberFormat="1" applyFont="1" applyFill="1" applyBorder="1" applyAlignment="1">
      <alignment horizontal="center" vertical="center" wrapText="1"/>
    </xf>
    <xf numFmtId="0" fontId="11" fillId="0" borderId="1" xfId="17" applyNumberFormat="1" applyFont="1" applyFill="1" applyBorder="1" applyAlignment="1"/>
    <xf numFmtId="164" fontId="0" fillId="0" borderId="3" xfId="0" applyNumberFormat="1" applyBorder="1"/>
    <xf numFmtId="0" fontId="10" fillId="0" borderId="0" xfId="0" quotePrefix="1" applyFont="1" applyFill="1" applyAlignment="1">
      <alignment horizontal="left"/>
    </xf>
    <xf numFmtId="165" fontId="0" fillId="0" borderId="0" xfId="26" applyNumberFormat="1" applyFont="1" applyBorder="1"/>
    <xf numFmtId="43" fontId="10" fillId="0" borderId="0" xfId="26" applyFont="1" applyAlignment="1"/>
    <xf numFmtId="165" fontId="10" fillId="0" borderId="0" xfId="1" applyNumberFormat="1" applyFont="1" applyFill="1" applyBorder="1" applyAlignment="1">
      <alignment horizontal="center"/>
    </xf>
    <xf numFmtId="10" fontId="10" fillId="0" borderId="0" xfId="23" applyNumberFormat="1" applyFont="1" applyFill="1" applyBorder="1" applyAlignment="1">
      <alignment horizontal="center" wrapText="1"/>
    </xf>
    <xf numFmtId="185" fontId="10" fillId="0" borderId="9" xfId="24" applyNumberFormat="1" applyFont="1" applyFill="1" applyBorder="1"/>
    <xf numFmtId="44" fontId="10" fillId="0" borderId="0" xfId="24" applyNumberFormat="1" applyFont="1" applyFill="1" applyBorder="1" applyAlignment="1">
      <alignment horizontal="right"/>
    </xf>
    <xf numFmtId="43" fontId="10" fillId="0" borderId="0" xfId="24" applyNumberFormat="1" applyFont="1" applyFill="1" applyAlignment="1">
      <alignment horizontal="center"/>
    </xf>
    <xf numFmtId="165" fontId="30" fillId="0" borderId="0" xfId="0" applyNumberFormat="1" applyFont="1" applyAlignment="1">
      <alignment horizontal="right"/>
    </xf>
    <xf numFmtId="164" fontId="10" fillId="0" borderId="0" xfId="24" applyNumberFormat="1" applyFont="1" applyFill="1" applyBorder="1" applyAlignment="1">
      <alignment horizontal="center" wrapText="1"/>
    </xf>
    <xf numFmtId="44" fontId="10" fillId="0" borderId="0" xfId="24" applyFont="1" applyFill="1" applyBorder="1" applyAlignment="1">
      <alignment horizontal="center" wrapText="1"/>
    </xf>
    <xf numFmtId="164" fontId="10" fillId="0" borderId="0" xfId="0" applyNumberFormat="1" applyFont="1" applyAlignment="1"/>
    <xf numFmtId="165" fontId="11" fillId="0" borderId="0" xfId="1" applyNumberFormat="1" applyFont="1" applyFill="1" applyBorder="1"/>
    <xf numFmtId="164" fontId="11" fillId="0" borderId="0" xfId="19" applyNumberFormat="1" applyFont="1" applyFill="1" applyBorder="1" applyAlignment="1"/>
    <xf numFmtId="43" fontId="10" fillId="2" borderId="0" xfId="26" applyFont="1" applyFill="1" applyBorder="1" applyAlignment="1"/>
    <xf numFmtId="43" fontId="10" fillId="0" borderId="0" xfId="26" applyFont="1" applyFill="1" applyBorder="1" applyAlignment="1">
      <alignment horizontal="center"/>
    </xf>
    <xf numFmtId="164" fontId="0" fillId="0" borderId="0" xfId="23" applyNumberFormat="1" applyFont="1" applyFill="1" applyAlignment="1">
      <alignment horizontal="center"/>
    </xf>
    <xf numFmtId="165" fontId="0" fillId="0" borderId="0" xfId="57" applyNumberFormat="1" applyFont="1"/>
    <xf numFmtId="165" fontId="10" fillId="0" borderId="0" xfId="57" applyNumberFormat="1" applyFont="1"/>
    <xf numFmtId="176" fontId="0" fillId="0" borderId="0" xfId="23" applyNumberFormat="1" applyFont="1"/>
    <xf numFmtId="41" fontId="0" fillId="0" borderId="0" xfId="0" applyNumberFormat="1"/>
    <xf numFmtId="165" fontId="0" fillId="0" borderId="9" xfId="0" applyNumberFormat="1" applyBorder="1"/>
    <xf numFmtId="43" fontId="10" fillId="0" borderId="0" xfId="0" applyNumberFormat="1" applyFont="1" applyFill="1" applyBorder="1"/>
    <xf numFmtId="165" fontId="10" fillId="0" borderId="0" xfId="1" applyNumberFormat="1" applyFont="1" applyFill="1" applyBorder="1" applyAlignment="1">
      <alignment horizontal="center"/>
    </xf>
    <xf numFmtId="0" fontId="10" fillId="0" borderId="0" xfId="0" applyFont="1" applyAlignment="1">
      <alignment horizontal="center"/>
    </xf>
    <xf numFmtId="0" fontId="0" fillId="0" borderId="0" xfId="33" applyFont="1" applyFill="1" applyBorder="1" applyAlignment="1">
      <alignment horizontal="left" indent="1"/>
    </xf>
    <xf numFmtId="0" fontId="11" fillId="2" borderId="0" xfId="0" applyFont="1" applyFill="1" applyAlignment="1">
      <alignment horizontal="center"/>
    </xf>
    <xf numFmtId="164" fontId="10" fillId="0" borderId="0" xfId="0" applyNumberFormat="1" applyFont="1" applyFill="1" applyBorder="1" applyAlignment="1">
      <alignment horizontal="center"/>
    </xf>
    <xf numFmtId="41" fontId="10" fillId="0" borderId="0" xfId="35" quotePrefix="1" applyNumberFormat="1" applyFont="1" applyBorder="1" applyAlignment="1">
      <alignment horizontal="center" vertical="center" wrapText="1"/>
    </xf>
    <xf numFmtId="0" fontId="10" fillId="0" borderId="0" xfId="0" applyFont="1" applyFill="1" applyBorder="1" applyAlignment="1">
      <alignment horizontal="left"/>
    </xf>
    <xf numFmtId="0" fontId="10" fillId="0" borderId="0" xfId="52" applyFont="1" applyFill="1" applyBorder="1" applyAlignment="1">
      <alignment horizontal="center"/>
    </xf>
    <xf numFmtId="43" fontId="0" fillId="0" borderId="0" xfId="0" applyNumberFormat="1" applyFill="1"/>
    <xf numFmtId="164" fontId="10" fillId="0" borderId="5" xfId="1" applyNumberFormat="1" applyFont="1" applyFill="1" applyBorder="1"/>
    <xf numFmtId="0" fontId="10" fillId="0" borderId="0" xfId="52" applyFont="1" applyFill="1" applyBorder="1" applyAlignment="1">
      <alignment horizontal="center" wrapText="1"/>
    </xf>
    <xf numFmtId="0" fontId="31" fillId="0" borderId="0" xfId="19" applyFont="1" applyFill="1" applyBorder="1" applyAlignment="1">
      <alignment horizontal="center"/>
    </xf>
    <xf numFmtId="0" fontId="31" fillId="0" borderId="0" xfId="19" applyFont="1" applyFill="1" applyBorder="1" applyAlignment="1"/>
    <xf numFmtId="165" fontId="31" fillId="0" borderId="0" xfId="1" applyNumberFormat="1" applyFont="1" applyFill="1" applyBorder="1"/>
    <xf numFmtId="164" fontId="30" fillId="0" borderId="0" xfId="19" applyNumberFormat="1" applyFont="1" applyFill="1" applyBorder="1" applyAlignment="1"/>
    <xf numFmtId="165" fontId="10" fillId="0" borderId="0" xfId="9" applyNumberFormat="1" applyFont="1" applyFill="1" applyBorder="1" applyAlignment="1">
      <alignment horizontal="center"/>
    </xf>
    <xf numFmtId="172" fontId="10" fillId="0" borderId="0" xfId="26" applyNumberFormat="1" applyFont="1" applyFill="1" applyBorder="1" applyAlignment="1">
      <alignment horizontal="right"/>
    </xf>
    <xf numFmtId="180" fontId="10" fillId="0" borderId="0" xfId="26" applyNumberFormat="1" applyFont="1" applyFill="1" applyBorder="1" applyAlignment="1">
      <alignment horizontal="right"/>
    </xf>
    <xf numFmtId="40" fontId="10" fillId="0" borderId="4" xfId="2" applyNumberFormat="1" applyFont="1" applyFill="1" applyBorder="1" applyAlignment="1">
      <alignment horizontal="right"/>
    </xf>
    <xf numFmtId="40" fontId="10" fillId="0" borderId="0" xfId="26" applyNumberFormat="1" applyFont="1" applyFill="1" applyBorder="1" applyAlignment="1">
      <alignment horizontal="right"/>
    </xf>
    <xf numFmtId="173" fontId="10" fillId="0" borderId="4" xfId="2" applyNumberFormat="1" applyFont="1" applyFill="1" applyBorder="1" applyAlignment="1">
      <alignment horizontal="right"/>
    </xf>
    <xf numFmtId="173" fontId="10" fillId="0" borderId="0" xfId="26" applyNumberFormat="1" applyFont="1" applyFill="1" applyBorder="1" applyAlignment="1">
      <alignment horizontal="right"/>
    </xf>
    <xf numFmtId="168" fontId="10" fillId="0" borderId="0" xfId="26" applyNumberFormat="1" applyFont="1" applyFill="1" applyBorder="1" applyAlignment="1">
      <alignment horizontal="right"/>
    </xf>
    <xf numFmtId="0" fontId="30" fillId="0" borderId="0" xfId="0" applyFont="1" applyFill="1" applyBorder="1" applyAlignment="1">
      <alignment horizontal="right"/>
    </xf>
    <xf numFmtId="0" fontId="31" fillId="0" borderId="0" xfId="0" applyFont="1" applyBorder="1"/>
    <xf numFmtId="0" fontId="47" fillId="0" borderId="0" xfId="0" applyFont="1"/>
    <xf numFmtId="0" fontId="0" fillId="26" borderId="0" xfId="0" applyFill="1"/>
    <xf numFmtId="0" fontId="47" fillId="0" borderId="0" xfId="19" applyFont="1" applyFill="1" applyBorder="1" applyAlignment="1"/>
    <xf numFmtId="0" fontId="47" fillId="2" borderId="0" xfId="19" applyFont="1" applyFill="1" applyBorder="1" applyAlignment="1"/>
    <xf numFmtId="164" fontId="31" fillId="26" borderId="0" xfId="2" applyNumberFormat="1" applyFont="1" applyFill="1" applyBorder="1"/>
    <xf numFmtId="44" fontId="31" fillId="26" borderId="0" xfId="24" applyFont="1" applyFill="1"/>
    <xf numFmtId="164" fontId="31" fillId="26" borderId="1" xfId="24" applyNumberFormat="1" applyFont="1" applyFill="1" applyBorder="1"/>
    <xf numFmtId="164" fontId="31" fillId="26" borderId="0" xfId="24" applyNumberFormat="1" applyFont="1" applyFill="1"/>
    <xf numFmtId="164" fontId="31" fillId="27" borderId="0" xfId="19" applyNumberFormat="1" applyFont="1" applyFill="1" applyBorder="1" applyAlignment="1"/>
    <xf numFmtId="164" fontId="31" fillId="27" borderId="1" xfId="19" applyNumberFormat="1" applyFont="1" applyFill="1" applyBorder="1" applyAlignment="1"/>
    <xf numFmtId="165" fontId="0" fillId="27" borderId="0" xfId="26" applyNumberFormat="1" applyFont="1" applyFill="1"/>
    <xf numFmtId="165" fontId="0" fillId="26" borderId="0" xfId="26" applyNumberFormat="1" applyFont="1" applyFill="1"/>
    <xf numFmtId="41" fontId="31" fillId="27" borderId="9" xfId="0" applyNumberFormat="1" applyFont="1" applyFill="1" applyBorder="1"/>
    <xf numFmtId="41" fontId="31" fillId="26" borderId="0" xfId="0" applyNumberFormat="1" applyFont="1" applyFill="1" applyBorder="1"/>
    <xf numFmtId="41" fontId="31" fillId="26" borderId="1" xfId="0" applyNumberFormat="1" applyFont="1" applyFill="1" applyBorder="1"/>
    <xf numFmtId="164" fontId="31" fillId="27" borderId="0" xfId="24" applyNumberFormat="1" applyFont="1" applyFill="1" applyBorder="1"/>
    <xf numFmtId="165" fontId="31" fillId="27" borderId="2" xfId="9" applyNumberFormat="1" applyFont="1" applyFill="1" applyBorder="1"/>
    <xf numFmtId="165" fontId="31" fillId="27" borderId="9" xfId="9" applyNumberFormat="1" applyFont="1" applyFill="1" applyBorder="1"/>
    <xf numFmtId="164" fontId="31" fillId="27" borderId="3" xfId="24" applyNumberFormat="1" applyFont="1" applyFill="1" applyBorder="1"/>
    <xf numFmtId="165" fontId="0" fillId="27" borderId="1" xfId="26" applyNumberFormat="1" applyFont="1" applyFill="1" applyBorder="1"/>
    <xf numFmtId="165" fontId="0" fillId="27" borderId="0" xfId="26" applyNumberFormat="1" applyFont="1" applyFill="1" applyBorder="1"/>
    <xf numFmtId="165" fontId="0" fillId="26" borderId="0" xfId="26" applyNumberFormat="1" applyFont="1" applyFill="1" applyBorder="1"/>
    <xf numFmtId="165" fontId="0" fillId="26" borderId="1" xfId="26" applyNumberFormat="1" applyFont="1" applyFill="1" applyBorder="1"/>
    <xf numFmtId="164" fontId="31" fillId="27" borderId="2" xfId="24" applyNumberFormat="1" applyFont="1" applyFill="1" applyBorder="1"/>
    <xf numFmtId="44" fontId="0" fillId="26" borderId="0" xfId="24" applyFont="1" applyFill="1"/>
    <xf numFmtId="44" fontId="47" fillId="0" borderId="0" xfId="24" applyFont="1" applyFill="1"/>
    <xf numFmtId="164" fontId="10" fillId="27" borderId="5" xfId="2" applyNumberFormat="1" applyFont="1" applyFill="1" applyBorder="1"/>
    <xf numFmtId="0" fontId="47" fillId="0" borderId="0" xfId="0" applyFont="1" applyFill="1" applyAlignment="1"/>
    <xf numFmtId="44" fontId="10" fillId="26" borderId="0" xfId="24" applyFont="1" applyFill="1" applyAlignment="1"/>
    <xf numFmtId="0" fontId="47" fillId="0" borderId="0" xfId="20" applyNumberFormat="1" applyFont="1" applyFill="1" applyAlignment="1"/>
    <xf numFmtId="44" fontId="10" fillId="0" borderId="0" xfId="17" applyNumberFormat="1" applyFont="1" applyFill="1" applyBorder="1" applyAlignment="1"/>
    <xf numFmtId="165" fontId="10" fillId="0" borderId="0" xfId="17" applyNumberFormat="1" applyFont="1" applyFill="1" applyBorder="1" applyAlignment="1">
      <alignment horizontal="right"/>
    </xf>
    <xf numFmtId="39" fontId="10" fillId="0" borderId="0" xfId="17" applyNumberFormat="1" applyFont="1" applyFill="1" applyBorder="1" applyAlignment="1">
      <alignment horizontal="right"/>
    </xf>
    <xf numFmtId="0" fontId="31" fillId="26" borderId="0" xfId="0" applyFont="1" applyFill="1"/>
    <xf numFmtId="0" fontId="10" fillId="0" borderId="0" xfId="50" applyFont="1" applyFill="1" applyAlignment="1"/>
    <xf numFmtId="0" fontId="31" fillId="0" borderId="0" xfId="50" applyFont="1" applyFill="1"/>
    <xf numFmtId="165" fontId="10" fillId="0" borderId="0" xfId="66" applyNumberFormat="1" applyFont="1" applyFill="1" applyAlignment="1"/>
    <xf numFmtId="165" fontId="10" fillId="0" borderId="0" xfId="50" applyNumberFormat="1" applyFont="1" applyFill="1" applyAlignment="1"/>
    <xf numFmtId="165" fontId="10" fillId="26" borderId="0" xfId="66" applyNumberFormat="1" applyFont="1" applyFill="1" applyAlignment="1"/>
    <xf numFmtId="0" fontId="10" fillId="0" borderId="0" xfId="50" applyFill="1"/>
    <xf numFmtId="43" fontId="10" fillId="26" borderId="0" xfId="50" applyNumberFormat="1" applyFont="1" applyFill="1" applyAlignment="1"/>
    <xf numFmtId="164" fontId="10" fillId="26" borderId="0" xfId="26" applyNumberFormat="1" applyFont="1" applyFill="1"/>
    <xf numFmtId="164" fontId="10" fillId="26" borderId="0" xfId="26" applyNumberFormat="1" applyFont="1" applyFill="1" applyBorder="1" applyAlignment="1">
      <alignment horizontal="left"/>
    </xf>
    <xf numFmtId="164" fontId="0" fillId="26" borderId="0" xfId="0" applyNumberFormat="1" applyFill="1"/>
    <xf numFmtId="44" fontId="31" fillId="27" borderId="0" xfId="24" applyFont="1" applyFill="1"/>
    <xf numFmtId="43" fontId="10" fillId="26" borderId="0" xfId="26" applyFont="1" applyFill="1" applyAlignment="1"/>
    <xf numFmtId="43" fontId="0" fillId="26" borderId="0" xfId="26" applyFont="1" applyFill="1"/>
    <xf numFmtId="44" fontId="0" fillId="26" borderId="0" xfId="0" applyNumberFormat="1" applyFill="1"/>
    <xf numFmtId="44" fontId="10" fillId="26" borderId="0" xfId="24" applyFont="1" applyFill="1"/>
    <xf numFmtId="165" fontId="0" fillId="0" borderId="0" xfId="0" applyNumberFormat="1" applyFill="1"/>
    <xf numFmtId="0" fontId="47" fillId="0" borderId="0" xfId="0" applyFont="1" applyFill="1"/>
    <xf numFmtId="164" fontId="11" fillId="27" borderId="10" xfId="24" applyNumberFormat="1" applyFont="1" applyFill="1" applyBorder="1" applyAlignment="1">
      <alignment horizontal="center"/>
    </xf>
    <xf numFmtId="164" fontId="11" fillId="27" borderId="1" xfId="24" applyNumberFormat="1" applyFont="1" applyFill="1" applyBorder="1" applyAlignment="1">
      <alignment horizontal="center"/>
    </xf>
    <xf numFmtId="165" fontId="0" fillId="26" borderId="0" xfId="0" applyNumberFormat="1" applyFill="1"/>
    <xf numFmtId="0" fontId="11" fillId="0" borderId="0" xfId="0" applyFont="1" applyFill="1" applyBorder="1" applyAlignment="1">
      <alignment wrapText="1"/>
    </xf>
    <xf numFmtId="164" fontId="31" fillId="26" borderId="1" xfId="1" applyNumberFormat="1" applyFont="1" applyFill="1" applyBorder="1"/>
    <xf numFmtId="164" fontId="31" fillId="26" borderId="0" xfId="1" applyNumberFormat="1" applyFont="1" applyFill="1" applyBorder="1"/>
    <xf numFmtId="164" fontId="31" fillId="26" borderId="0" xfId="24" applyNumberFormat="1" applyFont="1" applyFill="1" applyBorder="1"/>
    <xf numFmtId="164" fontId="31" fillId="26" borderId="0" xfId="19" applyNumberFormat="1" applyFont="1" applyFill="1" applyBorder="1" applyAlignment="1"/>
    <xf numFmtId="43" fontId="31" fillId="26" borderId="0" xfId="26" applyFont="1" applyFill="1" applyBorder="1"/>
    <xf numFmtId="43" fontId="31" fillId="26" borderId="1" xfId="26" applyFont="1" applyFill="1" applyBorder="1"/>
    <xf numFmtId="43" fontId="31" fillId="26" borderId="0" xfId="0" applyNumberFormat="1" applyFont="1" applyFill="1" applyBorder="1"/>
    <xf numFmtId="43" fontId="31" fillId="26" borderId="1" xfId="0" applyNumberFormat="1" applyFont="1" applyFill="1" applyBorder="1"/>
    <xf numFmtId="43" fontId="10" fillId="26" borderId="0" xfId="24" applyNumberFormat="1" applyFont="1" applyFill="1" applyBorder="1" applyAlignment="1"/>
    <xf numFmtId="43" fontId="10" fillId="26" borderId="1" xfId="24" applyNumberFormat="1" applyFont="1" applyFill="1" applyBorder="1" applyAlignment="1"/>
    <xf numFmtId="14" fontId="30" fillId="0" borderId="1" xfId="0" applyNumberFormat="1" applyFont="1" applyBorder="1" applyAlignment="1">
      <alignment horizontal="center"/>
    </xf>
    <xf numFmtId="0" fontId="30" fillId="28" borderId="0" xfId="0" applyFont="1" applyFill="1" applyAlignment="1">
      <alignment horizontal="left"/>
    </xf>
    <xf numFmtId="0" fontId="31" fillId="28" borderId="0" xfId="0" applyFont="1" applyFill="1"/>
    <xf numFmtId="0" fontId="30" fillId="28" borderId="0" xfId="0" applyFont="1" applyFill="1" applyAlignment="1">
      <alignment horizontal="center"/>
    </xf>
    <xf numFmtId="0" fontId="31" fillId="0" borderId="0" xfId="0" applyFont="1" applyFill="1" applyBorder="1" applyAlignment="1">
      <alignment horizontal="center"/>
    </xf>
    <xf numFmtId="164" fontId="31" fillId="0" borderId="0" xfId="0" applyNumberFormat="1" applyFont="1" applyFill="1" applyBorder="1"/>
    <xf numFmtId="164" fontId="31" fillId="0" borderId="0" xfId="0" applyNumberFormat="1" applyFont="1"/>
    <xf numFmtId="0" fontId="31" fillId="0" borderId="0" xfId="0" applyFont="1" applyAlignment="1">
      <alignment horizontal="right"/>
    </xf>
    <xf numFmtId="0" fontId="49" fillId="0" borderId="0" xfId="0" applyFont="1" applyAlignment="1">
      <alignment horizontal="right"/>
    </xf>
    <xf numFmtId="43" fontId="0" fillId="26" borderId="0" xfId="0" applyNumberFormat="1" applyFill="1"/>
    <xf numFmtId="178" fontId="0" fillId="0" borderId="0" xfId="0" applyNumberFormat="1"/>
    <xf numFmtId="178" fontId="10" fillId="0" borderId="1" xfId="23" applyNumberFormat="1" applyFont="1" applyFill="1" applyBorder="1" applyAlignment="1">
      <alignment horizontal="right"/>
    </xf>
    <xf numFmtId="0" fontId="49" fillId="0" borderId="0" xfId="0" applyFont="1" applyFill="1" applyAlignment="1">
      <alignment horizontal="center"/>
    </xf>
    <xf numFmtId="0" fontId="49" fillId="0" borderId="0" xfId="0" applyFont="1" applyFill="1"/>
    <xf numFmtId="0" fontId="10" fillId="29" borderId="0" xfId="0" applyFont="1" applyFill="1" applyAlignment="1"/>
    <xf numFmtId="0" fontId="10" fillId="30" borderId="0" xfId="0" applyFont="1" applyFill="1" applyAlignment="1"/>
    <xf numFmtId="164" fontId="11" fillId="27" borderId="0" xfId="24" applyNumberFormat="1" applyFont="1" applyFill="1" applyBorder="1" applyAlignment="1">
      <alignment horizontal="center"/>
    </xf>
    <xf numFmtId="165" fontId="0" fillId="26" borderId="1" xfId="0" applyNumberFormat="1" applyFill="1" applyBorder="1"/>
    <xf numFmtId="164" fontId="0" fillId="26" borderId="0" xfId="24" applyNumberFormat="1" applyFont="1" applyFill="1"/>
    <xf numFmtId="165" fontId="10" fillId="26" borderId="0" xfId="0" applyNumberFormat="1" applyFont="1" applyFill="1" applyAlignment="1"/>
    <xf numFmtId="0" fontId="49" fillId="0" borderId="0" xfId="0" applyFont="1" applyAlignment="1"/>
    <xf numFmtId="0" fontId="49" fillId="0" borderId="0" xfId="0" applyFont="1" applyAlignment="1">
      <alignment horizontal="center"/>
    </xf>
    <xf numFmtId="0" fontId="30" fillId="0" borderId="0" xfId="0" applyFont="1" applyFill="1" applyBorder="1" applyAlignment="1">
      <alignment horizontal="left"/>
    </xf>
    <xf numFmtId="0" fontId="31" fillId="0" borderId="0" xfId="0" applyFont="1" applyFill="1" applyBorder="1" applyAlignment="1">
      <alignment horizontal="center" wrapText="1"/>
    </xf>
    <xf numFmtId="170" fontId="31" fillId="0" borderId="0" xfId="0" applyNumberFormat="1" applyFont="1" applyFill="1" applyBorder="1" applyAlignment="1">
      <alignment horizontal="center"/>
    </xf>
    <xf numFmtId="0" fontId="31" fillId="0" borderId="0" xfId="0" applyFont="1" applyFill="1" applyBorder="1" applyAlignment="1">
      <alignment horizontal="left" indent="1"/>
    </xf>
    <xf numFmtId="164" fontId="31" fillId="0" borderId="0" xfId="24" applyNumberFormat="1" applyFont="1" applyFill="1" applyBorder="1" applyAlignment="1">
      <alignment horizontal="right"/>
    </xf>
    <xf numFmtId="165" fontId="31" fillId="0" borderId="0" xfId="26" applyNumberFormat="1" applyFont="1" applyFill="1" applyBorder="1" applyAlignment="1">
      <alignment horizontal="right"/>
    </xf>
    <xf numFmtId="0" fontId="30" fillId="0" borderId="0" xfId="0" applyFont="1" applyFill="1" applyBorder="1" applyAlignment="1">
      <alignment horizontal="left" indent="1"/>
    </xf>
    <xf numFmtId="165" fontId="31" fillId="0" borderId="0" xfId="1" applyNumberFormat="1" applyFont="1" applyFill="1" applyBorder="1" applyAlignment="1">
      <alignment horizontal="center"/>
    </xf>
    <xf numFmtId="165" fontId="31" fillId="0" borderId="0" xfId="0" applyNumberFormat="1" applyFont="1" applyFill="1"/>
    <xf numFmtId="165" fontId="31" fillId="0" borderId="1" xfId="26" applyNumberFormat="1" applyFont="1" applyFill="1" applyBorder="1" applyAlignment="1">
      <alignment horizontal="right"/>
    </xf>
    <xf numFmtId="165" fontId="30" fillId="0" borderId="0" xfId="1" applyNumberFormat="1" applyFont="1" applyFill="1" applyBorder="1" applyAlignment="1">
      <alignment horizontal="center"/>
    </xf>
    <xf numFmtId="0" fontId="30" fillId="0" borderId="0" xfId="0" applyFont="1" applyFill="1" applyBorder="1"/>
    <xf numFmtId="42" fontId="31" fillId="0" borderId="0" xfId="1" applyNumberFormat="1" applyFont="1" applyFill="1" applyBorder="1" applyAlignment="1">
      <alignment horizontal="right"/>
    </xf>
    <xf numFmtId="49" fontId="31" fillId="0" borderId="0" xfId="16" applyNumberFormat="1" applyFont="1" applyFill="1" applyBorder="1" applyAlignment="1">
      <alignment horizontal="center"/>
    </xf>
    <xf numFmtId="164" fontId="31" fillId="0" borderId="0" xfId="24" applyNumberFormat="1" applyFont="1" applyFill="1" applyAlignment="1">
      <alignment horizontal="center"/>
    </xf>
    <xf numFmtId="164" fontId="31" fillId="0" borderId="0" xfId="32" applyNumberFormat="1" applyFont="1" applyFill="1"/>
    <xf numFmtId="0" fontId="30" fillId="0" borderId="0" xfId="0" applyFont="1" applyFill="1"/>
    <xf numFmtId="43" fontId="0" fillId="26" borderId="0" xfId="24" applyNumberFormat="1" applyFont="1" applyFill="1"/>
    <xf numFmtId="0" fontId="49" fillId="0" borderId="0" xfId="19" applyFont="1" applyFill="1" applyBorder="1" applyAlignment="1">
      <alignment horizontal="center"/>
    </xf>
    <xf numFmtId="0" fontId="0" fillId="0" borderId="0" xfId="0" applyAlignment="1">
      <alignment horizontal="center"/>
    </xf>
    <xf numFmtId="165" fontId="0" fillId="27" borderId="5" xfId="26" applyNumberFormat="1" applyFont="1" applyFill="1" applyBorder="1"/>
    <xf numFmtId="43" fontId="0" fillId="26" borderId="1" xfId="26" applyFont="1" applyFill="1" applyBorder="1"/>
    <xf numFmtId="43" fontId="0" fillId="26" borderId="0" xfId="26" applyFont="1" applyFill="1" applyBorder="1"/>
    <xf numFmtId="43" fontId="0" fillId="26" borderId="0" xfId="24" applyNumberFormat="1" applyFont="1" applyFill="1" applyBorder="1"/>
    <xf numFmtId="0" fontId="11" fillId="0" borderId="0" xfId="43" applyFont="1" applyAlignment="1"/>
    <xf numFmtId="0" fontId="11" fillId="0" borderId="0" xfId="43" applyFont="1" applyAlignment="1">
      <alignment horizontal="right"/>
    </xf>
    <xf numFmtId="164" fontId="31" fillId="0" borderId="3" xfId="32" applyNumberFormat="1" applyFont="1" applyFill="1" applyBorder="1"/>
    <xf numFmtId="0" fontId="30" fillId="0" borderId="0" xfId="100" applyFont="1" applyAlignment="1">
      <alignment horizontal="center"/>
    </xf>
    <xf numFmtId="0" fontId="4" fillId="0" borderId="0" xfId="72"/>
    <xf numFmtId="0" fontId="31" fillId="0" borderId="0" xfId="100" applyFont="1"/>
    <xf numFmtId="0" fontId="30" fillId="0" borderId="1" xfId="100" applyFont="1" applyBorder="1" applyAlignment="1">
      <alignment horizontal="center"/>
    </xf>
    <xf numFmtId="0" fontId="11" fillId="0" borderId="1" xfId="100" applyFont="1" applyFill="1" applyBorder="1" applyAlignment="1">
      <alignment horizontal="center"/>
    </xf>
    <xf numFmtId="0" fontId="31" fillId="0" borderId="0" xfId="100" applyFont="1" applyAlignment="1">
      <alignment horizontal="center"/>
    </xf>
    <xf numFmtId="14" fontId="11" fillId="0" borderId="1" xfId="0" applyNumberFormat="1" applyFont="1" applyFill="1" applyBorder="1" applyAlignment="1">
      <alignment horizontal="center"/>
    </xf>
    <xf numFmtId="164" fontId="10" fillId="0" borderId="0" xfId="0" applyNumberFormat="1" applyFont="1" applyFill="1" applyAlignment="1"/>
    <xf numFmtId="14" fontId="11" fillId="0" borderId="0" xfId="0" applyNumberFormat="1" applyFont="1" applyFill="1" applyAlignment="1">
      <alignment horizontal="center"/>
    </xf>
    <xf numFmtId="0" fontId="11" fillId="0" borderId="0" xfId="101" applyFont="1" applyFill="1" applyAlignment="1">
      <alignment horizontal="center"/>
    </xf>
    <xf numFmtId="0" fontId="11" fillId="0" borderId="1" xfId="101" applyFont="1" applyFill="1" applyBorder="1" applyAlignment="1">
      <alignment horizontal="center"/>
    </xf>
    <xf numFmtId="43" fontId="0" fillId="0" borderId="0" xfId="24" applyNumberFormat="1" applyFont="1" applyFill="1"/>
    <xf numFmtId="0" fontId="48" fillId="0" borderId="0" xfId="0" applyFont="1" applyFill="1" applyAlignment="1">
      <alignment horizontal="center"/>
    </xf>
    <xf numFmtId="0" fontId="10" fillId="0" borderId="0" xfId="43" applyFont="1" applyFill="1" applyAlignment="1"/>
    <xf numFmtId="0" fontId="10" fillId="0" borderId="0" xfId="43" applyFont="1" applyBorder="1"/>
    <xf numFmtId="15" fontId="11" fillId="0" borderId="0" xfId="43" quotePrefix="1" applyNumberFormat="1" applyFont="1" applyAlignment="1"/>
    <xf numFmtId="0" fontId="11" fillId="0" borderId="0" xfId="43" quotePrefix="1" applyFont="1" applyAlignment="1">
      <alignment horizontal="center"/>
    </xf>
    <xf numFmtId="0" fontId="10" fillId="0" borderId="0" xfId="43" applyFont="1" applyFill="1" applyAlignment="1">
      <alignment horizontal="left"/>
    </xf>
    <xf numFmtId="14" fontId="10" fillId="0" borderId="0" xfId="43" applyNumberFormat="1" applyFont="1" applyFill="1" applyAlignment="1">
      <alignment horizontal="center"/>
    </xf>
    <xf numFmtId="168" fontId="10" fillId="0" borderId="0" xfId="99" applyNumberFormat="1" applyFont="1" applyFill="1" applyAlignment="1" applyProtection="1">
      <alignment horizontal="center"/>
    </xf>
    <xf numFmtId="10" fontId="10" fillId="0" borderId="0" xfId="99" applyNumberFormat="1" applyFont="1" applyFill="1" applyAlignment="1">
      <alignment horizontal="center"/>
    </xf>
    <xf numFmtId="10" fontId="10" fillId="0" borderId="0" xfId="43" applyNumberFormat="1" applyFont="1" applyFill="1" applyAlignment="1">
      <alignment horizontal="center"/>
    </xf>
    <xf numFmtId="10" fontId="10" fillId="0" borderId="0" xfId="43" applyNumberFormat="1" applyFont="1" applyFill="1"/>
    <xf numFmtId="10" fontId="10" fillId="0" borderId="0" xfId="102" applyNumberFormat="1" applyFont="1" applyFill="1" applyAlignment="1">
      <alignment horizontal="center"/>
    </xf>
    <xf numFmtId="165" fontId="10" fillId="0" borderId="0" xfId="57" applyNumberFormat="1" applyFont="1" applyFill="1"/>
    <xf numFmtId="165" fontId="10" fillId="0" borderId="0" xfId="57" applyNumberFormat="1" applyFont="1" applyFill="1" applyBorder="1"/>
    <xf numFmtId="15" fontId="11" fillId="0" borderId="0" xfId="43" quotePrefix="1" applyNumberFormat="1" applyFont="1" applyFill="1" applyAlignment="1"/>
    <xf numFmtId="165" fontId="10" fillId="0" borderId="3" xfId="57" applyNumberFormat="1" applyFont="1" applyFill="1" applyBorder="1"/>
    <xf numFmtId="10" fontId="10" fillId="0" borderId="3" xfId="99" applyNumberFormat="1" applyFont="1" applyFill="1" applyBorder="1" applyAlignment="1">
      <alignment horizontal="center"/>
    </xf>
    <xf numFmtId="10" fontId="10" fillId="0" borderId="0" xfId="99" applyNumberFormat="1" applyFont="1" applyFill="1"/>
    <xf numFmtId="168" fontId="10" fillId="0" borderId="0" xfId="43" applyNumberFormat="1" applyFont="1" applyFill="1"/>
    <xf numFmtId="0" fontId="10" fillId="0" borderId="0" xfId="43" quotePrefix="1" applyFont="1" applyFill="1"/>
    <xf numFmtId="0" fontId="10" fillId="0" borderId="0" xfId="43" applyFont="1" applyAlignment="1">
      <alignment horizontal="center" wrapText="1"/>
    </xf>
    <xf numFmtId="14" fontId="10" fillId="0" borderId="0" xfId="43" applyNumberFormat="1" applyFont="1" applyFill="1" applyAlignment="1">
      <alignment horizontal="right"/>
    </xf>
    <xf numFmtId="165" fontId="10" fillId="0" borderId="0" xfId="57" applyNumberFormat="1" applyFont="1" applyFill="1" applyAlignment="1">
      <alignment horizontal="left"/>
    </xf>
    <xf numFmtId="10" fontId="10" fillId="0" borderId="0" xfId="99" applyNumberFormat="1" applyFont="1" applyFill="1" applyProtection="1"/>
    <xf numFmtId="165" fontId="10" fillId="0" borderId="0" xfId="57" applyNumberFormat="1" applyFont="1" applyFill="1" applyProtection="1"/>
    <xf numFmtId="178" fontId="10" fillId="0" borderId="0" xfId="99" applyNumberFormat="1" applyFont="1" applyFill="1" applyAlignment="1">
      <alignment horizontal="center"/>
    </xf>
    <xf numFmtId="43" fontId="10" fillId="0" borderId="0" xfId="57" applyFont="1" applyBorder="1"/>
    <xf numFmtId="187" fontId="10" fillId="0" borderId="0" xfId="99" applyNumberFormat="1" applyFont="1" applyFill="1" applyAlignment="1" applyProtection="1">
      <alignment horizontal="center"/>
    </xf>
    <xf numFmtId="165" fontId="10" fillId="0" borderId="0" xfId="57" applyNumberFormat="1" applyFont="1" applyFill="1" applyAlignment="1" applyProtection="1">
      <alignment horizontal="right"/>
    </xf>
    <xf numFmtId="178" fontId="10" fillId="0" borderId="0" xfId="43" applyNumberFormat="1" applyFont="1" applyFill="1" applyAlignment="1">
      <alignment horizontal="right"/>
    </xf>
    <xf numFmtId="178" fontId="10" fillId="0" borderId="0" xfId="99" applyNumberFormat="1" applyFont="1" applyFill="1" applyAlignment="1">
      <alignment horizontal="right"/>
    </xf>
    <xf numFmtId="165" fontId="10" fillId="0" borderId="0" xfId="57" applyNumberFormat="1" applyFont="1" applyFill="1" applyBorder="1" applyAlignment="1" applyProtection="1">
      <alignment horizontal="right"/>
    </xf>
    <xf numFmtId="14" fontId="10" fillId="0" borderId="0" xfId="43" applyNumberFormat="1" applyFont="1" applyFill="1" applyAlignment="1">
      <alignment horizontal="left"/>
    </xf>
    <xf numFmtId="165" fontId="10" fillId="0" borderId="0" xfId="57" applyNumberFormat="1" applyFont="1" applyFill="1" applyBorder="1" applyProtection="1"/>
    <xf numFmtId="0" fontId="10" fillId="0" borderId="0" xfId="43" applyFont="1" applyFill="1" applyBorder="1"/>
    <xf numFmtId="15" fontId="11" fillId="0" borderId="0" xfId="43" quotePrefix="1" applyNumberFormat="1" applyFont="1" applyAlignment="1">
      <alignment horizontal="center"/>
    </xf>
    <xf numFmtId="0" fontId="10" fillId="0" borderId="0" xfId="43" applyFont="1" applyFill="1" applyBorder="1" applyAlignment="1">
      <alignment horizontal="center" wrapText="1"/>
    </xf>
    <xf numFmtId="37" fontId="10" fillId="0" borderId="0" xfId="103" applyNumberFormat="1" applyFont="1" applyFill="1" applyAlignment="1" applyProtection="1">
      <alignment horizontal="center"/>
    </xf>
    <xf numFmtId="165" fontId="10" fillId="0" borderId="0" xfId="103" applyNumberFormat="1" applyFont="1" applyFill="1" applyAlignment="1">
      <alignment horizontal="center"/>
    </xf>
    <xf numFmtId="165" fontId="10" fillId="0" borderId="0" xfId="103" applyNumberFormat="1" applyFont="1" applyFill="1"/>
    <xf numFmtId="165" fontId="10" fillId="0" borderId="0" xfId="103" applyNumberFormat="1" applyFont="1" applyFill="1" applyBorder="1" applyAlignment="1">
      <alignment horizontal="center"/>
    </xf>
    <xf numFmtId="165" fontId="10" fillId="0" borderId="0" xfId="103" applyNumberFormat="1" applyFont="1" applyFill="1" applyBorder="1"/>
    <xf numFmtId="164" fontId="10" fillId="0" borderId="3" xfId="32" applyNumberFormat="1" applyFont="1" applyFill="1" applyBorder="1"/>
    <xf numFmtId="0" fontId="10" fillId="0" borderId="10" xfId="43" applyFont="1" applyFill="1" applyBorder="1"/>
    <xf numFmtId="165" fontId="10" fillId="0" borderId="10" xfId="57" applyNumberFormat="1" applyFont="1" applyFill="1" applyBorder="1"/>
    <xf numFmtId="10" fontId="10" fillId="0" borderId="10" xfId="99" applyNumberFormat="1" applyFont="1" applyFill="1" applyBorder="1"/>
    <xf numFmtId="168" fontId="10" fillId="0" borderId="10" xfId="43" applyNumberFormat="1" applyFont="1" applyFill="1" applyBorder="1"/>
    <xf numFmtId="165" fontId="10" fillId="0" borderId="13" xfId="57" applyNumberFormat="1" applyFont="1" applyFill="1" applyBorder="1"/>
    <xf numFmtId="14" fontId="10" fillId="0" borderId="0" xfId="43" applyNumberFormat="1" applyFont="1" applyFill="1" applyBorder="1" applyAlignment="1">
      <alignment horizontal="left"/>
    </xf>
    <xf numFmtId="165" fontId="10" fillId="0" borderId="0" xfId="57" applyNumberFormat="1" applyFont="1" applyFill="1" applyBorder="1" applyAlignment="1">
      <alignment horizontal="left"/>
    </xf>
    <xf numFmtId="0" fontId="10" fillId="0" borderId="0" xfId="43" applyFont="1" applyFill="1" applyBorder="1" applyAlignment="1">
      <alignment vertical="top" wrapText="1"/>
    </xf>
    <xf numFmtId="43" fontId="10" fillId="0" borderId="0" xfId="43" applyNumberFormat="1" applyFont="1" applyBorder="1"/>
    <xf numFmtId="9" fontId="10" fillId="0" borderId="0" xfId="23" applyFont="1" applyFill="1"/>
    <xf numFmtId="0" fontId="11" fillId="0" borderId="0" xfId="17" applyNumberFormat="1" applyFont="1" applyFill="1" applyBorder="1" applyAlignment="1">
      <alignment horizontal="right"/>
    </xf>
    <xf numFmtId="37" fontId="11" fillId="0" borderId="0" xfId="17" quotePrefix="1" applyNumberFormat="1" applyFont="1" applyFill="1" applyBorder="1" applyAlignment="1">
      <alignment horizontal="center"/>
    </xf>
    <xf numFmtId="164" fontId="11" fillId="31" borderId="0" xfId="24" applyNumberFormat="1" applyFont="1" applyFill="1" applyBorder="1"/>
    <xf numFmtId="164" fontId="11" fillId="31" borderId="0" xfId="1" applyNumberFormat="1" applyFont="1" applyFill="1" applyBorder="1"/>
    <xf numFmtId="164" fontId="11" fillId="31" borderId="0" xfId="47" applyNumberFormat="1" applyFont="1" applyFill="1"/>
    <xf numFmtId="164" fontId="11" fillId="31" borderId="0" xfId="24" quotePrefix="1" applyNumberFormat="1" applyFont="1" applyFill="1"/>
    <xf numFmtId="164" fontId="11" fillId="31" borderId="0" xfId="24" applyNumberFormat="1" applyFont="1" applyFill="1"/>
    <xf numFmtId="164" fontId="10" fillId="31" borderId="0" xfId="24" applyNumberFormat="1" applyFont="1" applyFill="1" applyBorder="1"/>
    <xf numFmtId="164" fontId="10" fillId="31" borderId="0" xfId="1" applyNumberFormat="1" applyFont="1" applyFill="1" applyBorder="1"/>
    <xf numFmtId="41" fontId="10" fillId="31" borderId="0" xfId="24" applyNumberFormat="1" applyFont="1" applyFill="1" applyBorder="1"/>
    <xf numFmtId="10" fontId="10" fillId="31" borderId="0" xfId="48" applyNumberFormat="1" applyFont="1" applyFill="1" applyBorder="1" applyAlignment="1"/>
    <xf numFmtId="164" fontId="10" fillId="31" borderId="0" xfId="47" applyNumberFormat="1" applyFont="1" applyFill="1"/>
    <xf numFmtId="41" fontId="10" fillId="31" borderId="0" xfId="24" applyNumberFormat="1" applyFont="1" applyFill="1" applyBorder="1" applyAlignment="1"/>
    <xf numFmtId="164" fontId="10" fillId="31" borderId="9" xfId="44" applyNumberFormat="1" applyFont="1" applyFill="1" applyBorder="1" applyAlignment="1"/>
    <xf numFmtId="164" fontId="10" fillId="31" borderId="0" xfId="24" applyNumberFormat="1" applyFont="1" applyFill="1" applyBorder="1" applyAlignment="1"/>
    <xf numFmtId="164" fontId="10" fillId="31" borderId="0" xfId="44" applyNumberFormat="1" applyFont="1" applyFill="1" applyBorder="1" applyAlignment="1"/>
    <xf numFmtId="41" fontId="10" fillId="31" borderId="0" xfId="44" applyNumberFormat="1" applyFont="1" applyFill="1" applyBorder="1" applyAlignment="1"/>
    <xf numFmtId="10" fontId="10" fillId="31" borderId="0" xfId="44" applyNumberFormat="1" applyFont="1" applyFill="1" applyBorder="1" applyAlignment="1"/>
    <xf numFmtId="10" fontId="10" fillId="31" borderId="0" xfId="43" applyNumberFormat="1" applyFill="1" applyAlignment="1"/>
    <xf numFmtId="164" fontId="10" fillId="31" borderId="9" xfId="24" applyNumberFormat="1" applyFont="1" applyFill="1" applyBorder="1"/>
    <xf numFmtId="41" fontId="11" fillId="31" borderId="3" xfId="24" applyNumberFormat="1" applyFont="1" applyFill="1" applyBorder="1"/>
    <xf numFmtId="0" fontId="47" fillId="0" borderId="0" xfId="43" applyFont="1" applyAlignment="1"/>
    <xf numFmtId="0" fontId="52" fillId="0" borderId="0" xfId="43" applyFont="1" applyFill="1" applyAlignment="1"/>
    <xf numFmtId="0" fontId="11" fillId="31" borderId="0" xfId="0" applyFont="1" applyFill="1" applyAlignment="1"/>
    <xf numFmtId="0" fontId="10" fillId="31" borderId="0" xfId="19" applyFont="1" applyFill="1" applyBorder="1" applyAlignment="1"/>
    <xf numFmtId="0" fontId="11" fillId="31" borderId="0" xfId="0" applyFont="1" applyFill="1" applyAlignment="1">
      <alignment horizontal="right"/>
    </xf>
    <xf numFmtId="0" fontId="11" fillId="31" borderId="0" xfId="19" applyFont="1" applyFill="1" applyBorder="1" applyAlignment="1"/>
    <xf numFmtId="44" fontId="10" fillId="31" borderId="0" xfId="24" applyFont="1" applyFill="1" applyBorder="1" applyAlignment="1"/>
    <xf numFmtId="10" fontId="10" fillId="31" borderId="0" xfId="23" applyNumberFormat="1" applyFont="1" applyFill="1" applyBorder="1" applyAlignment="1"/>
    <xf numFmtId="165" fontId="33" fillId="31" borderId="0" xfId="26" applyNumberFormat="1" applyFont="1" applyFill="1"/>
    <xf numFmtId="0" fontId="11" fillId="31" borderId="0" xfId="0" applyFont="1" applyFill="1" applyBorder="1" applyAlignment="1">
      <alignment horizontal="right"/>
    </xf>
    <xf numFmtId="0" fontId="11" fillId="31" borderId="0" xfId="19" applyFont="1" applyFill="1" applyBorder="1" applyAlignment="1">
      <alignment horizontal="left"/>
    </xf>
    <xf numFmtId="44" fontId="33" fillId="31" borderId="0" xfId="24" applyFont="1" applyFill="1" applyBorder="1" applyAlignment="1"/>
    <xf numFmtId="0" fontId="11" fillId="31" borderId="0" xfId="0" applyFont="1" applyFill="1" applyAlignment="1">
      <alignment horizontal="center"/>
    </xf>
    <xf numFmtId="44" fontId="11" fillId="31" borderId="0" xfId="0" applyNumberFormat="1" applyFont="1" applyFill="1" applyAlignment="1">
      <alignment horizontal="center"/>
    </xf>
    <xf numFmtId="0" fontId="11" fillId="31" borderId="0" xfId="0" applyFont="1" applyFill="1"/>
    <xf numFmtId="0" fontId="11" fillId="31" borderId="0" xfId="21" applyNumberFormat="1" applyFont="1" applyFill="1" applyBorder="1" applyAlignment="1" applyProtection="1"/>
    <xf numFmtId="0" fontId="11" fillId="31" borderId="0" xfId="21" applyNumberFormat="1" applyFont="1" applyFill="1" applyBorder="1" applyAlignment="1" applyProtection="1">
      <alignment horizontal="center"/>
    </xf>
    <xf numFmtId="0" fontId="11" fillId="31" borderId="0" xfId="0" applyFont="1" applyFill="1" applyBorder="1" applyAlignment="1">
      <alignment horizontal="center"/>
    </xf>
    <xf numFmtId="0" fontId="11" fillId="31" borderId="1" xfId="0" applyFont="1" applyFill="1" applyBorder="1" applyAlignment="1">
      <alignment horizontal="center"/>
    </xf>
    <xf numFmtId="0" fontId="11" fillId="31" borderId="1" xfId="0" applyFont="1" applyFill="1" applyBorder="1"/>
    <xf numFmtId="0" fontId="11" fillId="31" borderId="0" xfId="0" applyFont="1" applyFill="1" applyBorder="1"/>
    <xf numFmtId="0" fontId="10" fillId="31" borderId="0" xfId="0" applyFont="1" applyFill="1" applyAlignment="1">
      <alignment horizontal="center"/>
    </xf>
    <xf numFmtId="0" fontId="10" fillId="31" borderId="0" xfId="0" applyFont="1" applyFill="1"/>
    <xf numFmtId="164" fontId="10" fillId="31" borderId="0" xfId="2" applyNumberFormat="1" applyFont="1" applyFill="1"/>
    <xf numFmtId="165" fontId="10" fillId="31" borderId="0" xfId="1" applyNumberFormat="1" applyFont="1" applyFill="1" applyBorder="1"/>
    <xf numFmtId="164" fontId="10" fillId="31" borderId="2" xfId="24" applyNumberFormat="1" applyFont="1" applyFill="1" applyBorder="1"/>
    <xf numFmtId="165" fontId="10" fillId="31" borderId="0" xfId="1" applyNumberFormat="1" applyFont="1" applyFill="1" applyBorder="1" applyAlignment="1"/>
    <xf numFmtId="10" fontId="10" fillId="31" borderId="0" xfId="1" applyNumberFormat="1" applyFont="1" applyFill="1" applyBorder="1"/>
    <xf numFmtId="10" fontId="10" fillId="31" borderId="0" xfId="23" applyNumberFormat="1" applyFont="1" applyFill="1" applyBorder="1"/>
    <xf numFmtId="0" fontId="10" fillId="31" borderId="0" xfId="21" applyNumberFormat="1" applyFont="1" applyFill="1" applyBorder="1" applyAlignment="1"/>
    <xf numFmtId="10" fontId="10" fillId="31" borderId="0" xfId="25" applyNumberFormat="1" applyFont="1" applyFill="1" applyBorder="1" applyAlignment="1"/>
    <xf numFmtId="165" fontId="10" fillId="31" borderId="0" xfId="1" applyNumberFormat="1" applyFont="1" applyFill="1" applyBorder="1" applyAlignment="1">
      <alignment horizontal="center"/>
    </xf>
    <xf numFmtId="0" fontId="54" fillId="31" borderId="0" xfId="0" applyFont="1" applyFill="1"/>
    <xf numFmtId="37" fontId="10" fillId="0" borderId="0" xfId="32" applyNumberFormat="1" applyFont="1" applyFill="1" applyAlignment="1" applyProtection="1">
      <alignment horizontal="right"/>
    </xf>
    <xf numFmtId="164" fontId="10" fillId="0" borderId="0" xfId="32" applyNumberFormat="1" applyFont="1" applyFill="1" applyAlignment="1">
      <alignment horizontal="left"/>
    </xf>
    <xf numFmtId="174" fontId="10" fillId="0" borderId="0" xfId="43" applyNumberFormat="1" applyFont="1" applyFill="1" applyBorder="1"/>
    <xf numFmtId="175" fontId="10" fillId="0" borderId="0" xfId="43" applyNumberFormat="1" applyFont="1" applyFill="1" applyBorder="1"/>
    <xf numFmtId="10" fontId="10" fillId="0" borderId="0" xfId="48" applyNumberFormat="1" applyFont="1" applyFill="1" applyAlignment="1">
      <alignment horizontal="center"/>
    </xf>
    <xf numFmtId="14" fontId="10" fillId="0" borderId="0" xfId="0" applyNumberFormat="1" applyFont="1" applyFill="1" applyAlignment="1">
      <alignment horizontal="right"/>
    </xf>
    <xf numFmtId="0" fontId="47" fillId="0" borderId="0" xfId="0" applyFont="1" applyFill="1" applyAlignment="1">
      <alignment horizontal="left"/>
    </xf>
    <xf numFmtId="0" fontId="47" fillId="0" borderId="0" xfId="20" quotePrefix="1" applyNumberFormat="1" applyFont="1" applyFill="1" applyAlignment="1"/>
    <xf numFmtId="43" fontId="31" fillId="26" borderId="0" xfId="26" applyFont="1" applyFill="1"/>
    <xf numFmtId="0" fontId="10" fillId="0" borderId="0" xfId="0" applyFont="1" applyAlignment="1">
      <alignment horizontal="center"/>
    </xf>
    <xf numFmtId="0" fontId="47" fillId="0" borderId="0" xfId="18" applyFont="1" applyFill="1" applyBorder="1" applyAlignment="1"/>
    <xf numFmtId="0" fontId="47" fillId="0" borderId="0" xfId="0" applyFont="1" applyFill="1" applyBorder="1"/>
    <xf numFmtId="1" fontId="10" fillId="0" borderId="0" xfId="0" applyNumberFormat="1" applyFont="1" applyFill="1" applyAlignment="1">
      <alignment horizontal="center"/>
    </xf>
    <xf numFmtId="0" fontId="47" fillId="0" borderId="0" xfId="17" applyNumberFormat="1" applyFont="1" applyFill="1" applyBorder="1" applyAlignment="1"/>
    <xf numFmtId="165" fontId="47" fillId="0" borderId="0" xfId="1" applyNumberFormat="1" applyFont="1" applyFill="1" applyBorder="1" applyAlignment="1"/>
    <xf numFmtId="43" fontId="31" fillId="0" borderId="0" xfId="26" applyFont="1"/>
    <xf numFmtId="43" fontId="31" fillId="26" borderId="0" xfId="0" applyNumberFormat="1" applyFont="1" applyFill="1"/>
    <xf numFmtId="43" fontId="31" fillId="0" borderId="0" xfId="0" applyNumberFormat="1" applyFont="1"/>
    <xf numFmtId="0" fontId="47" fillId="0" borderId="0" xfId="0" applyFont="1" applyAlignment="1"/>
    <xf numFmtId="0" fontId="55" fillId="0" borderId="0" xfId="0" applyFont="1"/>
    <xf numFmtId="164" fontId="10" fillId="2" borderId="0" xfId="19" applyNumberFormat="1" applyFont="1" applyFill="1" applyBorder="1" applyAlignment="1"/>
    <xf numFmtId="0" fontId="49" fillId="0" borderId="0" xfId="17" applyNumberFormat="1" applyFont="1" applyFill="1" applyBorder="1" applyAlignment="1"/>
    <xf numFmtId="165" fontId="31" fillId="0" borderId="10" xfId="9" applyNumberFormat="1" applyFont="1" applyFill="1" applyBorder="1"/>
    <xf numFmtId="0" fontId="47" fillId="0" borderId="0" xfId="0" applyFont="1" applyFill="1" applyAlignment="1">
      <alignment horizontal="right"/>
    </xf>
    <xf numFmtId="0" fontId="53" fillId="0" borderId="0" xfId="0" applyFont="1" applyFill="1" applyAlignment="1">
      <alignment horizontal="right"/>
    </xf>
    <xf numFmtId="0" fontId="10" fillId="0" borderId="0" xfId="50" applyFont="1" applyAlignment="1">
      <alignment horizontal="center"/>
    </xf>
    <xf numFmtId="41" fontId="31" fillId="0" borderId="0" xfId="24" applyNumberFormat="1" applyFont="1" applyFill="1" applyBorder="1" applyAlignment="1"/>
    <xf numFmtId="41" fontId="31" fillId="0" borderId="1" xfId="24" applyNumberFormat="1" applyFont="1" applyFill="1" applyBorder="1" applyAlignment="1"/>
    <xf numFmtId="164" fontId="31" fillId="0" borderId="0" xfId="24" applyNumberFormat="1" applyFont="1" applyFill="1" applyBorder="1" applyAlignment="1"/>
    <xf numFmtId="165" fontId="31" fillId="0" borderId="0" xfId="28" applyNumberFormat="1" applyFont="1" applyFill="1" applyBorder="1" applyAlignment="1"/>
    <xf numFmtId="165" fontId="31" fillId="0" borderId="0" xfId="26" applyNumberFormat="1" applyFont="1" applyFill="1" applyBorder="1" applyAlignment="1"/>
    <xf numFmtId="41" fontId="31" fillId="0" borderId="0" xfId="28" applyNumberFormat="1" applyFont="1" applyFill="1" applyBorder="1" applyAlignment="1"/>
    <xf numFmtId="41" fontId="31" fillId="0" borderId="0" xfId="1" applyNumberFormat="1" applyFont="1" applyFill="1" applyBorder="1" applyAlignment="1">
      <alignment horizontal="right"/>
    </xf>
    <xf numFmtId="41" fontId="31" fillId="0" borderId="1" xfId="28" applyNumberFormat="1" applyFont="1" applyFill="1" applyBorder="1" applyAlignment="1"/>
    <xf numFmtId="37" fontId="30" fillId="0" borderId="0" xfId="27" applyNumberFormat="1" applyFont="1" applyFill="1" applyAlignment="1"/>
    <xf numFmtId="165" fontId="30" fillId="0" borderId="0" xfId="28" applyNumberFormat="1" applyFont="1" applyFill="1" applyBorder="1" applyAlignment="1"/>
    <xf numFmtId="37" fontId="31" fillId="0" borderId="0" xfId="27" applyNumberFormat="1" applyFont="1" applyFill="1" applyAlignment="1"/>
    <xf numFmtId="10" fontId="31" fillId="0" borderId="0" xfId="29" applyNumberFormat="1" applyFont="1" applyFill="1" applyBorder="1" applyAlignment="1"/>
    <xf numFmtId="41" fontId="31" fillId="0" borderId="0" xfId="24" applyNumberFormat="1" applyFont="1" applyFill="1" applyBorder="1"/>
    <xf numFmtId="164" fontId="31" fillId="0" borderId="0" xfId="0" applyNumberFormat="1" applyFont="1" applyFill="1"/>
    <xf numFmtId="165" fontId="31" fillId="0" borderId="0" xfId="30" applyNumberFormat="1" applyFont="1" applyFill="1" applyBorder="1" applyAlignment="1"/>
    <xf numFmtId="164" fontId="31" fillId="0" borderId="1" xfId="24" applyNumberFormat="1" applyFont="1" applyFill="1" applyBorder="1" applyAlignment="1"/>
    <xf numFmtId="0" fontId="0" fillId="26" borderId="1" xfId="0" applyFill="1" applyBorder="1"/>
    <xf numFmtId="165" fontId="47" fillId="0" borderId="0" xfId="28" applyNumberFormat="1" applyFont="1" applyFill="1" applyBorder="1" applyAlignment="1"/>
    <xf numFmtId="165" fontId="10" fillId="0" borderId="0" xfId="1" applyNumberFormat="1" applyFont="1" applyFill="1" applyBorder="1" applyAlignment="1">
      <alignment horizontal="center"/>
    </xf>
    <xf numFmtId="164" fontId="31" fillId="26" borderId="0" xfId="0" applyNumberFormat="1" applyFont="1" applyFill="1"/>
    <xf numFmtId="0" fontId="10" fillId="0" borderId="0" xfId="0" applyFont="1" applyAlignment="1">
      <alignment horizontal="center"/>
    </xf>
    <xf numFmtId="0" fontId="0" fillId="0" borderId="0" xfId="0" applyAlignment="1">
      <alignment horizontal="center"/>
    </xf>
    <xf numFmtId="0" fontId="10" fillId="0" borderId="0" xfId="0" applyFont="1" applyFill="1" applyAlignment="1">
      <alignment horizontal="right"/>
    </xf>
    <xf numFmtId="0" fontId="56" fillId="0" borderId="0" xfId="0" applyFont="1"/>
    <xf numFmtId="0" fontId="31" fillId="0" borderId="0" xfId="0" applyFont="1" applyFill="1" applyBorder="1" applyAlignment="1">
      <alignment horizontal="left"/>
    </xf>
    <xf numFmtId="14" fontId="10" fillId="0" borderId="0" xfId="0" applyNumberFormat="1" applyFont="1" applyFill="1" applyBorder="1" applyAlignment="1">
      <alignment horizontal="right"/>
    </xf>
    <xf numFmtId="0" fontId="0" fillId="0" borderId="0" xfId="0" applyFont="1" applyFill="1" applyAlignment="1">
      <alignment horizontal="left"/>
    </xf>
    <xf numFmtId="165" fontId="10" fillId="0" borderId="0" xfId="103" applyNumberFormat="1" applyFont="1" applyFill="1" applyAlignment="1">
      <alignment horizontal="left"/>
    </xf>
    <xf numFmtId="43" fontId="10" fillId="0" borderId="0" xfId="26" applyFont="1" applyFill="1"/>
    <xf numFmtId="43" fontId="10" fillId="0" borderId="0" xfId="57" applyFont="1" applyFill="1" applyBorder="1"/>
    <xf numFmtId="177" fontId="10" fillId="0" borderId="0" xfId="43" applyNumberFormat="1" applyFill="1"/>
    <xf numFmtId="165" fontId="10" fillId="0" borderId="0" xfId="43" applyNumberFormat="1" applyFont="1" applyFill="1" applyBorder="1"/>
    <xf numFmtId="10" fontId="10" fillId="0" borderId="0" xfId="43" applyNumberFormat="1" applyFont="1" applyFill="1" applyBorder="1"/>
    <xf numFmtId="43" fontId="10" fillId="0" borderId="0" xfId="43" applyNumberFormat="1" applyFont="1" applyFill="1" applyBorder="1"/>
    <xf numFmtId="165" fontId="0" fillId="32" borderId="0" xfId="0" applyNumberFormat="1" applyFill="1"/>
    <xf numFmtId="0" fontId="11" fillId="0" borderId="0" xfId="0" applyFont="1" applyAlignment="1">
      <alignment horizontal="left"/>
    </xf>
    <xf numFmtId="0" fontId="11" fillId="0" borderId="1" xfId="17" applyNumberFormat="1" applyFont="1" applyFill="1" applyBorder="1" applyAlignment="1">
      <alignment wrapText="1"/>
    </xf>
    <xf numFmtId="1" fontId="0" fillId="0" borderId="1" xfId="23" applyNumberFormat="1" applyFont="1" applyFill="1" applyBorder="1" applyAlignment="1">
      <alignment horizontal="center"/>
    </xf>
    <xf numFmtId="0" fontId="0" fillId="0" borderId="10" xfId="0" applyBorder="1"/>
    <xf numFmtId="0" fontId="57" fillId="0" borderId="0" xfId="58" applyFont="1"/>
    <xf numFmtId="165" fontId="10" fillId="0" borderId="0" xfId="1" applyNumberFormat="1" applyFont="1" applyFill="1" applyBorder="1" applyAlignment="1">
      <alignment horizontal="center"/>
    </xf>
    <xf numFmtId="0" fontId="10" fillId="0" borderId="0" xfId="0" applyFont="1" applyAlignment="1">
      <alignment horizontal="center"/>
    </xf>
    <xf numFmtId="0" fontId="10" fillId="0" borderId="0" xfId="52" quotePrefix="1" applyFont="1" applyFill="1" applyBorder="1" applyAlignment="1">
      <alignment horizontal="center"/>
    </xf>
    <xf numFmtId="165" fontId="10" fillId="0" borderId="0" xfId="1" applyNumberFormat="1" applyFont="1" applyFill="1" applyBorder="1" applyAlignment="1">
      <alignment horizontal="center"/>
    </xf>
    <xf numFmtId="0" fontId="57" fillId="0" borderId="0" xfId="0" applyFont="1" applyFill="1"/>
    <xf numFmtId="0" fontId="57" fillId="0" borderId="0" xfId="0" applyFont="1" applyAlignment="1"/>
    <xf numFmtId="178" fontId="0" fillId="26" borderId="0" xfId="23" applyNumberFormat="1" applyFont="1" applyFill="1"/>
    <xf numFmtId="0" fontId="10" fillId="0" borderId="0" xfId="0" quotePrefix="1" applyFont="1"/>
    <xf numFmtId="187" fontId="0" fillId="26" borderId="0" xfId="0" applyNumberFormat="1" applyFill="1"/>
    <xf numFmtId="187" fontId="0" fillId="27" borderId="0" xfId="0" applyNumberFormat="1" applyFill="1"/>
    <xf numFmtId="0" fontId="57" fillId="0" borderId="0" xfId="0" applyFont="1" applyFill="1" applyAlignment="1">
      <alignment horizontal="center"/>
    </xf>
    <xf numFmtId="43" fontId="0" fillId="0" borderId="0" xfId="0" applyNumberFormat="1"/>
    <xf numFmtId="0" fontId="47" fillId="0" borderId="0" xfId="43" applyFont="1"/>
    <xf numFmtId="4" fontId="10" fillId="0" borderId="0" xfId="43" applyNumberFormat="1" applyFill="1"/>
    <xf numFmtId="165" fontId="10" fillId="0" borderId="0" xfId="43" applyNumberFormat="1" applyFill="1" applyAlignment="1"/>
    <xf numFmtId="165" fontId="10" fillId="0" borderId="0" xfId="43" applyNumberFormat="1" applyFont="1" applyFill="1" applyAlignment="1">
      <alignment horizontal="center"/>
    </xf>
    <xf numFmtId="165" fontId="10" fillId="0" borderId="0" xfId="26" quotePrefix="1" applyNumberFormat="1" applyFont="1" applyFill="1" applyBorder="1"/>
    <xf numFmtId="165" fontId="10" fillId="0" borderId="1" xfId="26" quotePrefix="1" applyNumberFormat="1" applyFont="1" applyFill="1" applyBorder="1"/>
    <xf numFmtId="165" fontId="10" fillId="0" borderId="1" xfId="1" quotePrefix="1" applyNumberFormat="1" applyFont="1" applyFill="1" applyBorder="1"/>
    <xf numFmtId="165" fontId="10" fillId="0" borderId="0" xfId="24" applyNumberFormat="1" applyFont="1" applyFill="1"/>
    <xf numFmtId="165" fontId="10" fillId="0" borderId="0" xfId="24" quotePrefix="1" applyNumberFormat="1" applyFont="1" applyFill="1" applyBorder="1"/>
    <xf numFmtId="165" fontId="10" fillId="0" borderId="1" xfId="24" quotePrefix="1" applyNumberFormat="1" applyFont="1" applyFill="1" applyBorder="1"/>
    <xf numFmtId="164" fontId="10" fillId="0" borderId="1" xfId="47" applyNumberFormat="1" applyFont="1" applyFill="1" applyBorder="1"/>
    <xf numFmtId="164" fontId="47" fillId="0" borderId="0" xfId="24" applyNumberFormat="1" applyFont="1" applyFill="1" applyBorder="1"/>
    <xf numFmtId="0" fontId="0" fillId="0" borderId="0" xfId="0" applyAlignment="1">
      <alignment horizontal="center"/>
    </xf>
    <xf numFmtId="43" fontId="0" fillId="26" borderId="1" xfId="24" applyNumberFormat="1" applyFont="1" applyFill="1" applyBorder="1"/>
    <xf numFmtId="2" fontId="31" fillId="0" borderId="0" xfId="0" applyNumberFormat="1" applyFont="1" applyAlignment="1">
      <alignment horizontal="center"/>
    </xf>
    <xf numFmtId="2" fontId="10" fillId="0" borderId="0" xfId="43" applyNumberFormat="1" applyFont="1" applyAlignment="1" applyProtection="1">
      <alignment horizontal="center"/>
    </xf>
    <xf numFmtId="0" fontId="58" fillId="0" borderId="0" xfId="18" applyFont="1" applyFill="1" applyBorder="1" applyAlignment="1"/>
    <xf numFmtId="165" fontId="10" fillId="26" borderId="0" xfId="18" applyNumberFormat="1" applyFont="1" applyFill="1" applyBorder="1" applyAlignment="1"/>
    <xf numFmtId="0" fontId="10" fillId="0" borderId="0" xfId="18" applyFont="1" applyFill="1" applyBorder="1" applyAlignment="1">
      <alignment horizontal="right"/>
    </xf>
    <xf numFmtId="41" fontId="0" fillId="26" borderId="0" xfId="0" applyNumberFormat="1" applyFill="1" applyBorder="1"/>
    <xf numFmtId="41" fontId="10" fillId="0" borderId="0" xfId="18" quotePrefix="1" applyNumberFormat="1" applyFont="1" applyFill="1" applyBorder="1" applyAlignment="1"/>
    <xf numFmtId="37" fontId="47" fillId="0" borderId="0" xfId="26" applyNumberFormat="1" applyFont="1" applyFill="1" applyBorder="1" applyAlignment="1"/>
    <xf numFmtId="10" fontId="0" fillId="0" borderId="0" xfId="23" applyNumberFormat="1" applyFont="1" applyFill="1" applyBorder="1" applyAlignment="1">
      <alignment horizontal="center"/>
    </xf>
    <xf numFmtId="0" fontId="30" fillId="0" borderId="1" xfId="41" applyFont="1" applyBorder="1" applyAlignment="1">
      <alignment horizontal="center" wrapText="1"/>
    </xf>
    <xf numFmtId="164" fontId="31" fillId="0" borderId="0" xfId="26" applyNumberFormat="1" applyFont="1" applyFill="1" applyBorder="1" applyAlignment="1">
      <alignment horizontal="left"/>
    </xf>
    <xf numFmtId="164" fontId="31" fillId="0" borderId="3" xfId="42" applyNumberFormat="1" applyFont="1" applyFill="1" applyBorder="1"/>
    <xf numFmtId="0" fontId="10" fillId="0" borderId="0" xfId="58" applyFont="1" applyFill="1"/>
    <xf numFmtId="0" fontId="10" fillId="0" borderId="0" xfId="58" applyFill="1"/>
    <xf numFmtId="0" fontId="11" fillId="0" borderId="1" xfId="41" applyFont="1" applyFill="1" applyBorder="1" applyAlignment="1">
      <alignment horizontal="center" wrapText="1"/>
    </xf>
    <xf numFmtId="0" fontId="10" fillId="0" borderId="0" xfId="50" applyFont="1" applyAlignment="1">
      <alignment horizontal="center"/>
    </xf>
    <xf numFmtId="0" fontId="30" fillId="0" borderId="0" xfId="50" applyFont="1" applyAlignment="1"/>
    <xf numFmtId="0" fontId="11" fillId="0" borderId="0" xfId="50" applyFont="1" applyFill="1" applyAlignment="1">
      <alignment horizontal="right"/>
    </xf>
    <xf numFmtId="0" fontId="11" fillId="0" borderId="0" xfId="50" applyFont="1" applyFill="1" applyBorder="1" applyAlignment="1">
      <alignment horizontal="right"/>
    </xf>
    <xf numFmtId="0" fontId="49" fillId="0" borderId="0" xfId="50" applyFont="1" applyAlignment="1">
      <alignment horizontal="right"/>
    </xf>
    <xf numFmtId="0" fontId="47" fillId="0" borderId="0" xfId="50" applyFont="1"/>
    <xf numFmtId="0" fontId="30" fillId="0" borderId="0" xfId="50" applyFont="1" applyFill="1" applyAlignment="1">
      <alignment horizontal="right"/>
    </xf>
    <xf numFmtId="0" fontId="30" fillId="0" borderId="0" xfId="50" applyFont="1" applyFill="1" applyBorder="1" applyAlignment="1">
      <alignment horizontal="right"/>
    </xf>
    <xf numFmtId="0" fontId="30" fillId="0" borderId="0" xfId="50" applyFont="1" applyAlignment="1">
      <alignment horizontal="right"/>
    </xf>
    <xf numFmtId="165" fontId="30" fillId="0" borderId="0" xfId="50" applyNumberFormat="1" applyFont="1" applyAlignment="1">
      <alignment horizontal="right"/>
    </xf>
    <xf numFmtId="0" fontId="31" fillId="0" borderId="0" xfId="50" applyFont="1" applyAlignment="1">
      <alignment horizontal="center"/>
    </xf>
    <xf numFmtId="0" fontId="11" fillId="0" borderId="0" xfId="50" applyFont="1" applyFill="1" applyBorder="1" applyAlignment="1">
      <alignment horizontal="center"/>
    </xf>
    <xf numFmtId="0" fontId="30" fillId="0" borderId="0" xfId="50" applyFont="1" applyAlignment="1">
      <alignment horizontal="center"/>
    </xf>
    <xf numFmtId="0" fontId="11" fillId="0" borderId="0" xfId="50" applyFont="1" applyFill="1" applyAlignment="1">
      <alignment horizontal="center"/>
    </xf>
    <xf numFmtId="0" fontId="30" fillId="0" borderId="0" xfId="50" applyFont="1" applyFill="1" applyBorder="1" applyAlignment="1">
      <alignment horizontal="center"/>
    </xf>
    <xf numFmtId="0" fontId="30" fillId="28" borderId="0" xfId="50" applyFont="1" applyFill="1" applyAlignment="1">
      <alignment horizontal="left"/>
    </xf>
    <xf numFmtId="0" fontId="31" fillId="28" borderId="0" xfId="50" applyFont="1" applyFill="1"/>
    <xf numFmtId="0" fontId="30" fillId="28" borderId="0" xfId="50" applyFont="1" applyFill="1" applyAlignment="1">
      <alignment horizontal="center"/>
    </xf>
    <xf numFmtId="0" fontId="48" fillId="0" borderId="0" xfId="50" applyFont="1"/>
    <xf numFmtId="0" fontId="30" fillId="0" borderId="0" xfId="50" applyFont="1" applyFill="1" applyAlignment="1">
      <alignment horizontal="center"/>
    </xf>
    <xf numFmtId="0" fontId="30" fillId="0" borderId="1" xfId="50" applyFont="1" applyBorder="1" applyAlignment="1">
      <alignment horizontal="center"/>
    </xf>
    <xf numFmtId="14" fontId="30" fillId="0" borderId="1" xfId="50" applyNumberFormat="1" applyFont="1" applyBorder="1" applyAlignment="1">
      <alignment horizontal="center"/>
    </xf>
    <xf numFmtId="0" fontId="30" fillId="0" borderId="1" xfId="50" applyFont="1" applyFill="1" applyBorder="1" applyAlignment="1">
      <alignment horizontal="center"/>
    </xf>
    <xf numFmtId="0" fontId="30" fillId="0" borderId="0" xfId="50" applyFont="1" applyBorder="1" applyAlignment="1">
      <alignment horizontal="center"/>
    </xf>
    <xf numFmtId="0" fontId="31" fillId="0" borderId="0" xfId="50" applyFont="1" applyFill="1" applyAlignment="1">
      <alignment horizontal="center"/>
    </xf>
    <xf numFmtId="0" fontId="31" fillId="0" borderId="0" xfId="50" applyFont="1" applyFill="1" applyBorder="1"/>
    <xf numFmtId="0" fontId="30" fillId="0" borderId="0" xfId="50" applyFont="1" applyFill="1"/>
    <xf numFmtId="1" fontId="31" fillId="0" borderId="0" xfId="50" applyNumberFormat="1" applyFont="1" applyFill="1" applyAlignment="1">
      <alignment horizontal="center"/>
    </xf>
    <xf numFmtId="0" fontId="10" fillId="0" borderId="0" xfId="50" applyFont="1" applyFill="1"/>
    <xf numFmtId="164" fontId="31" fillId="0" borderId="0" xfId="32" applyNumberFormat="1" applyFont="1" applyFill="1" applyBorder="1"/>
    <xf numFmtId="165" fontId="0" fillId="26" borderId="0" xfId="65" applyNumberFormat="1" applyFont="1" applyFill="1" applyBorder="1"/>
    <xf numFmtId="165" fontId="0" fillId="26" borderId="0" xfId="65" applyNumberFormat="1" applyFont="1" applyFill="1"/>
    <xf numFmtId="165" fontId="0" fillId="27" borderId="0" xfId="65" applyNumberFormat="1" applyFont="1" applyFill="1"/>
    <xf numFmtId="10" fontId="31" fillId="26" borderId="0" xfId="104" applyNumberFormat="1" applyFont="1" applyFill="1" applyAlignment="1">
      <alignment horizontal="center"/>
    </xf>
    <xf numFmtId="10" fontId="31" fillId="27" borderId="0" xfId="104" applyNumberFormat="1" applyFont="1" applyFill="1" applyAlignment="1">
      <alignment horizontal="center"/>
    </xf>
    <xf numFmtId="165" fontId="31" fillId="0" borderId="0" xfId="32" applyNumberFormat="1" applyFont="1" applyFill="1"/>
    <xf numFmtId="165" fontId="31" fillId="0" borderId="0" xfId="32" applyNumberFormat="1" applyFont="1" applyFill="1" applyBorder="1"/>
    <xf numFmtId="43" fontId="31" fillId="0" borderId="0" xfId="65" applyFont="1" applyFill="1" applyBorder="1"/>
    <xf numFmtId="165" fontId="31" fillId="0" borderId="0" xfId="65" applyNumberFormat="1" applyFont="1" applyFill="1"/>
    <xf numFmtId="165" fontId="31" fillId="0" borderId="1" xfId="32" applyNumberFormat="1" applyFont="1" applyFill="1" applyBorder="1"/>
    <xf numFmtId="165" fontId="31" fillId="0" borderId="0" xfId="65" applyNumberFormat="1" applyFont="1" applyFill="1" applyBorder="1"/>
    <xf numFmtId="0" fontId="31" fillId="0" borderId="0" xfId="50" applyFont="1" applyFill="1" applyAlignment="1">
      <alignment horizontal="left" indent="2"/>
    </xf>
    <xf numFmtId="164" fontId="31" fillId="0" borderId="9" xfId="32" applyNumberFormat="1" applyFont="1" applyFill="1" applyBorder="1"/>
    <xf numFmtId="41" fontId="31" fillId="27" borderId="9" xfId="50" applyNumberFormat="1" applyFont="1" applyFill="1" applyBorder="1"/>
    <xf numFmtId="41" fontId="31" fillId="0" borderId="9" xfId="50" applyNumberFormat="1" applyFont="1" applyFill="1" applyBorder="1"/>
    <xf numFmtId="41" fontId="31" fillId="0" borderId="0" xfId="50" applyNumberFormat="1" applyFont="1" applyFill="1" applyBorder="1"/>
    <xf numFmtId="0" fontId="11" fillId="0" borderId="0" xfId="50" applyFont="1" applyFill="1"/>
    <xf numFmtId="10" fontId="31" fillId="26" borderId="1" xfId="104" applyNumberFormat="1" applyFont="1" applyFill="1" applyBorder="1" applyAlignment="1">
      <alignment horizontal="center"/>
    </xf>
    <xf numFmtId="0" fontId="31" fillId="0" borderId="0" xfId="50" applyFont="1" applyFill="1" applyAlignment="1">
      <alignment horizontal="left" indent="5"/>
    </xf>
    <xf numFmtId="0" fontId="10" fillId="0" borderId="0" xfId="74" applyNumberFormat="1" applyFont="1" applyFill="1" applyBorder="1" applyAlignment="1">
      <alignment horizontal="left"/>
    </xf>
    <xf numFmtId="2" fontId="31" fillId="0" borderId="0" xfId="50" applyNumberFormat="1" applyFont="1" applyFill="1" applyAlignment="1">
      <alignment horizontal="center"/>
    </xf>
    <xf numFmtId="165" fontId="0" fillId="27" borderId="1" xfId="65" applyNumberFormat="1" applyFont="1" applyFill="1" applyBorder="1"/>
    <xf numFmtId="10" fontId="31" fillId="26" borderId="0" xfId="104" applyNumberFormat="1" applyFont="1" applyFill="1" applyBorder="1" applyAlignment="1">
      <alignment horizontal="center"/>
    </xf>
    <xf numFmtId="165" fontId="0" fillId="27" borderId="0" xfId="65" applyNumberFormat="1" applyFont="1" applyFill="1" applyBorder="1"/>
    <xf numFmtId="164" fontId="31" fillId="27" borderId="0" xfId="32" applyNumberFormat="1" applyFont="1" applyFill="1" applyBorder="1"/>
    <xf numFmtId="164" fontId="31" fillId="0" borderId="0" xfId="50" applyNumberFormat="1" applyFont="1" applyFill="1" applyBorder="1"/>
    <xf numFmtId="165" fontId="0" fillId="0" borderId="0" xfId="65" applyNumberFormat="1" applyFont="1" applyFill="1" applyBorder="1"/>
    <xf numFmtId="164" fontId="31" fillId="0" borderId="0" xfId="50" applyNumberFormat="1" applyFont="1"/>
    <xf numFmtId="165" fontId="31" fillId="0" borderId="0" xfId="50" applyNumberFormat="1" applyFont="1"/>
    <xf numFmtId="0" fontId="59" fillId="0" borderId="0" xfId="50" applyFont="1"/>
    <xf numFmtId="0" fontId="59" fillId="32" borderId="0" xfId="50" applyFont="1" applyFill="1"/>
    <xf numFmtId="164" fontId="59" fillId="32" borderId="0" xfId="50" applyNumberFormat="1" applyFont="1" applyFill="1"/>
    <xf numFmtId="0" fontId="59" fillId="0" borderId="0" xfId="50" applyFont="1" applyFill="1"/>
    <xf numFmtId="0" fontId="59" fillId="0" borderId="0" xfId="50" applyFont="1" applyFill="1" applyBorder="1"/>
    <xf numFmtId="43" fontId="0" fillId="27" borderId="0" xfId="26" applyFont="1" applyFill="1"/>
    <xf numFmtId="165" fontId="10" fillId="0" borderId="0" xfId="1" applyNumberFormat="1" applyFont="1" applyFill="1" applyBorder="1" applyAlignment="1">
      <alignment horizontal="center"/>
    </xf>
    <xf numFmtId="0" fontId="0" fillId="0" borderId="0" xfId="0" applyAlignment="1">
      <alignment horizontal="left"/>
    </xf>
    <xf numFmtId="165" fontId="31" fillId="0" borderId="0" xfId="0" applyNumberFormat="1" applyFont="1"/>
    <xf numFmtId="0" fontId="31" fillId="0" borderId="0" xfId="0" applyFont="1" applyFill="1" applyAlignment="1"/>
    <xf numFmtId="0" fontId="31" fillId="0" borderId="0" xfId="0" applyFont="1" applyFill="1" applyAlignment="1">
      <alignment horizontal="left" indent="5"/>
    </xf>
    <xf numFmtId="2" fontId="31" fillId="0" borderId="0" xfId="0" applyNumberFormat="1" applyFont="1" applyFill="1" applyAlignment="1">
      <alignment horizontal="center"/>
    </xf>
    <xf numFmtId="44" fontId="0" fillId="30" borderId="0" xfId="0" applyNumberFormat="1" applyFill="1"/>
    <xf numFmtId="43" fontId="10" fillId="0" borderId="0" xfId="26" applyFont="1" applyFill="1" applyBorder="1" applyAlignment="1"/>
    <xf numFmtId="0" fontId="16" fillId="0" borderId="0" xfId="19" applyFont="1" applyFill="1" applyBorder="1" applyAlignment="1">
      <alignment horizontal="left"/>
    </xf>
    <xf numFmtId="188" fontId="10" fillId="0" borderId="0" xfId="43" applyNumberFormat="1" applyFont="1"/>
    <xf numFmtId="43" fontId="10" fillId="0" borderId="0" xfId="26" applyFont="1" applyFill="1" applyAlignment="1" applyProtection="1">
      <alignment horizontal="center"/>
    </xf>
    <xf numFmtId="174" fontId="10" fillId="0" borderId="0" xfId="26" applyNumberFormat="1" applyFont="1" applyFill="1" applyBorder="1"/>
    <xf numFmtId="37" fontId="10" fillId="0" borderId="0" xfId="103" applyNumberFormat="1" applyFont="1" applyFill="1" applyBorder="1" applyAlignment="1" applyProtection="1">
      <alignment horizontal="center"/>
    </xf>
    <xf numFmtId="10" fontId="10" fillId="0" borderId="0" xfId="48" applyNumberFormat="1" applyFont="1" applyFill="1" applyBorder="1" applyAlignment="1">
      <alignment horizontal="center"/>
    </xf>
    <xf numFmtId="10" fontId="10" fillId="0" borderId="0" xfId="0" applyNumberFormat="1" applyFont="1" applyFill="1" applyBorder="1"/>
    <xf numFmtId="0" fontId="0" fillId="0" borderId="12" xfId="0" quotePrefix="1" applyBorder="1" applyAlignment="1">
      <alignment horizontal="left"/>
    </xf>
    <xf numFmtId="0" fontId="10" fillId="0" borderId="1" xfId="0" applyFont="1" applyFill="1" applyBorder="1" applyAlignment="1"/>
    <xf numFmtId="164" fontId="10" fillId="0" borderId="5" xfId="25" applyNumberFormat="1" applyFont="1" applyFill="1" applyBorder="1" applyAlignment="1"/>
    <xf numFmtId="10" fontId="31" fillId="0" borderId="0" xfId="23" applyNumberFormat="1" applyFont="1" applyFill="1" applyBorder="1" applyAlignment="1">
      <alignment horizontal="center"/>
    </xf>
    <xf numFmtId="164" fontId="31" fillId="0" borderId="0" xfId="0" applyNumberFormat="1" applyFont="1" applyBorder="1"/>
    <xf numFmtId="41" fontId="10" fillId="0" borderId="0" xfId="19" applyNumberFormat="1" applyFont="1" applyFill="1" applyBorder="1" applyAlignment="1">
      <alignment horizontal="center"/>
    </xf>
    <xf numFmtId="0" fontId="31" fillId="0" borderId="0" xfId="17" applyNumberFormat="1" applyFont="1" applyFill="1" applyBorder="1" applyAlignment="1">
      <alignment horizontal="center"/>
    </xf>
    <xf numFmtId="0" fontId="31" fillId="0" borderId="0" xfId="17" applyNumberFormat="1" applyFont="1" applyFill="1" applyBorder="1" applyAlignment="1"/>
    <xf numFmtId="165" fontId="31" fillId="0" borderId="0" xfId="24" applyNumberFormat="1" applyFont="1" applyFill="1" applyBorder="1" applyAlignment="1">
      <alignment horizontal="right"/>
    </xf>
    <xf numFmtId="165" fontId="31" fillId="0" borderId="0" xfId="24" quotePrefix="1" applyNumberFormat="1" applyFont="1" applyFill="1" applyBorder="1" applyAlignment="1">
      <alignment horizontal="right"/>
    </xf>
    <xf numFmtId="43" fontId="31" fillId="26" borderId="0" xfId="24" applyNumberFormat="1" applyFont="1" applyFill="1" applyBorder="1" applyAlignment="1"/>
    <xf numFmtId="165" fontId="31" fillId="27" borderId="0" xfId="26" applyNumberFormat="1" applyFont="1" applyFill="1" applyBorder="1"/>
    <xf numFmtId="165" fontId="10" fillId="27" borderId="0" xfId="26" applyNumberFormat="1" applyFont="1" applyFill="1" applyBorder="1"/>
    <xf numFmtId="41" fontId="10" fillId="0" borderId="1" xfId="32" applyNumberFormat="1" applyFont="1" applyFill="1" applyBorder="1"/>
    <xf numFmtId="0" fontId="10" fillId="0" borderId="0" xfId="19" quotePrefix="1" applyFont="1" applyFill="1" applyBorder="1" applyAlignment="1"/>
    <xf numFmtId="0" fontId="11" fillId="0" borderId="1" xfId="35" applyFont="1" applyFill="1" applyBorder="1" applyAlignment="1">
      <alignment horizontal="center" wrapText="1"/>
    </xf>
    <xf numFmtId="0" fontId="33" fillId="0" borderId="0" xfId="19" applyFont="1" applyFill="1" applyBorder="1" applyAlignment="1"/>
    <xf numFmtId="0" fontId="47" fillId="0" borderId="0" xfId="21" applyNumberFormat="1" applyFont="1" applyFill="1" applyBorder="1" applyAlignment="1"/>
    <xf numFmtId="164" fontId="10" fillId="0" borderId="1" xfId="32" applyNumberFormat="1" applyFont="1" applyFill="1" applyBorder="1"/>
    <xf numFmtId="41" fontId="10" fillId="0" borderId="0" xfId="33" applyNumberFormat="1" applyFont="1" applyFill="1" applyBorder="1" applyAlignment="1">
      <alignment horizontal="center" vertical="center"/>
    </xf>
    <xf numFmtId="0" fontId="47" fillId="0" borderId="0" xfId="0" applyFont="1" applyFill="1" applyBorder="1" applyAlignment="1">
      <alignment horizontal="left"/>
    </xf>
    <xf numFmtId="164" fontId="30" fillId="0" borderId="0" xfId="24" applyNumberFormat="1" applyFont="1" applyFill="1"/>
    <xf numFmtId="9" fontId="0" fillId="0" borderId="0" xfId="0" applyNumberFormat="1"/>
    <xf numFmtId="165" fontId="10" fillId="0" borderId="1" xfId="0" applyNumberFormat="1" applyFont="1" applyFill="1" applyBorder="1"/>
    <xf numFmtId="164" fontId="10" fillId="32" borderId="0" xfId="19" applyNumberFormat="1" applyFont="1" applyFill="1" applyBorder="1" applyAlignment="1"/>
    <xf numFmtId="0" fontId="10" fillId="0" borderId="0" xfId="19" applyFont="1" applyFill="1" applyBorder="1" applyAlignment="1">
      <alignment horizontal="left"/>
    </xf>
    <xf numFmtId="165" fontId="10" fillId="0" borderId="0" xfId="1" applyNumberFormat="1" applyFont="1" applyFill="1" applyBorder="1" applyAlignment="1">
      <alignment horizontal="center"/>
    </xf>
    <xf numFmtId="43" fontId="10" fillId="32" borderId="0" xfId="0" applyNumberFormat="1" applyFont="1" applyFill="1" applyAlignment="1"/>
    <xf numFmtId="0" fontId="52" fillId="0" borderId="0" xfId="19" applyFont="1" applyFill="1" applyBorder="1" applyAlignment="1">
      <alignment horizontal="left"/>
    </xf>
    <xf numFmtId="0" fontId="52" fillId="0" borderId="0" xfId="0" applyFont="1" applyFill="1" applyAlignment="1">
      <alignment horizontal="left"/>
    </xf>
    <xf numFmtId="0" fontId="52" fillId="0" borderId="0" xfId="20" applyNumberFormat="1" applyFont="1" applyFill="1" applyAlignment="1" applyProtection="1">
      <alignment horizontal="left"/>
    </xf>
    <xf numFmtId="0" fontId="52" fillId="0" borderId="0" xfId="0" applyFont="1" applyFill="1"/>
    <xf numFmtId="0" fontId="52" fillId="0" borderId="0" xfId="17" applyNumberFormat="1" applyFont="1" applyBorder="1" applyAlignment="1"/>
    <xf numFmtId="0" fontId="52" fillId="0" borderId="0" xfId="0" applyFont="1" applyAlignment="1">
      <alignment horizontal="left"/>
    </xf>
    <xf numFmtId="0" fontId="52" fillId="0" borderId="0" xfId="0" applyFont="1"/>
    <xf numFmtId="9" fontId="10" fillId="0" borderId="0" xfId="23" applyNumberFormat="1" applyFont="1" applyFill="1" applyBorder="1"/>
    <xf numFmtId="37" fontId="31" fillId="0" borderId="0" xfId="26" applyNumberFormat="1" applyFont="1" applyFill="1" applyBorder="1" applyAlignment="1"/>
    <xf numFmtId="41" fontId="31" fillId="0" borderId="1" xfId="1" applyNumberFormat="1" applyFont="1" applyFill="1" applyBorder="1" applyAlignment="1">
      <alignment horizontal="right"/>
    </xf>
    <xf numFmtId="10" fontId="31" fillId="0" borderId="0" xfId="23" applyNumberFormat="1" applyFont="1" applyFill="1" applyAlignment="1"/>
    <xf numFmtId="37" fontId="31" fillId="0" borderId="0" xfId="56" applyNumberFormat="1" applyFont="1" applyFill="1" applyAlignment="1"/>
    <xf numFmtId="0" fontId="30" fillId="0" borderId="0" xfId="56" applyNumberFormat="1" applyFont="1" applyFill="1" applyAlignment="1"/>
    <xf numFmtId="37" fontId="31" fillId="0" borderId="0" xfId="27" applyNumberFormat="1" applyFont="1" applyFill="1" applyAlignment="1">
      <alignment horizontal="left" indent="1"/>
    </xf>
    <xf numFmtId="10" fontId="31" fillId="0" borderId="1" xfId="31" applyNumberFormat="1" applyFont="1" applyFill="1" applyBorder="1" applyAlignment="1"/>
    <xf numFmtId="37" fontId="31" fillId="0" borderId="0" xfId="27" applyNumberFormat="1" applyFont="1" applyFill="1" applyAlignment="1">
      <alignment horizontal="right"/>
    </xf>
    <xf numFmtId="0" fontId="11" fillId="0" borderId="0" xfId="0" applyFont="1" applyFill="1" applyAlignment="1">
      <alignment horizontal="center"/>
    </xf>
    <xf numFmtId="164" fontId="31" fillId="0" borderId="3" xfId="2" applyNumberFormat="1" applyFont="1" applyFill="1" applyBorder="1"/>
    <xf numFmtId="0" fontId="11" fillId="0" borderId="0" xfId="0" applyFont="1" applyFill="1" applyAlignment="1">
      <alignment horizontal="center"/>
    </xf>
    <xf numFmtId="0" fontId="11" fillId="0" borderId="0" xfId="0" applyFont="1" applyFill="1" applyAlignment="1">
      <alignment horizontal="center"/>
    </xf>
    <xf numFmtId="10" fontId="10" fillId="0" borderId="1" xfId="0" applyNumberFormat="1" applyFont="1" applyFill="1" applyBorder="1"/>
    <xf numFmtId="165" fontId="0" fillId="33" borderId="0" xfId="57" applyNumberFormat="1" applyFont="1" applyFill="1"/>
    <xf numFmtId="165" fontId="47" fillId="0" borderId="0" xfId="57" applyNumberFormat="1" applyFont="1"/>
    <xf numFmtId="10" fontId="0" fillId="33" borderId="0" xfId="23" applyNumberFormat="1" applyFont="1" applyFill="1"/>
    <xf numFmtId="41" fontId="0" fillId="33" borderId="0" xfId="0" applyNumberFormat="1" applyFill="1"/>
    <xf numFmtId="0" fontId="60" fillId="0" borderId="0" xfId="43" applyFont="1" applyFill="1"/>
    <xf numFmtId="165" fontId="61" fillId="0" borderId="0" xfId="19" applyNumberFormat="1" applyFont="1" applyFill="1" applyBorder="1" applyAlignment="1"/>
    <xf numFmtId="0" fontId="10" fillId="0" borderId="0" xfId="43" quotePrefix="1" applyFill="1" applyAlignment="1">
      <alignment horizontal="left"/>
    </xf>
    <xf numFmtId="165" fontId="10" fillId="0" borderId="0" xfId="1" applyNumberFormat="1" applyFont="1" applyFill="1" applyBorder="1" applyAlignment="1">
      <alignment horizontal="center"/>
    </xf>
    <xf numFmtId="165" fontId="10" fillId="33" borderId="0" xfId="57" applyNumberFormat="1" applyFont="1" applyFill="1"/>
    <xf numFmtId="165" fontId="0" fillId="33" borderId="9" xfId="57" applyNumberFormat="1" applyFont="1" applyFill="1" applyBorder="1"/>
    <xf numFmtId="165" fontId="0" fillId="33" borderId="0" xfId="0" applyNumberFormat="1" applyFill="1"/>
    <xf numFmtId="0" fontId="10" fillId="0" borderId="0" xfId="0" applyFont="1" applyAlignment="1">
      <alignment horizontal="center"/>
    </xf>
    <xf numFmtId="0" fontId="11" fillId="0" borderId="0" xfId="0" applyFont="1" applyFill="1" applyAlignment="1">
      <alignment horizontal="center"/>
    </xf>
    <xf numFmtId="164" fontId="11" fillId="31" borderId="3" xfId="2" applyNumberFormat="1" applyFont="1" applyFill="1" applyBorder="1"/>
    <xf numFmtId="10" fontId="11" fillId="31" borderId="3" xfId="25" applyNumberFormat="1" applyFont="1" applyFill="1" applyBorder="1" applyAlignment="1"/>
    <xf numFmtId="164" fontId="10" fillId="31" borderId="0" xfId="7" applyNumberFormat="1" applyFont="1" applyFill="1" applyBorder="1"/>
    <xf numFmtId="165" fontId="10" fillId="31" borderId="1" xfId="1" applyNumberFormat="1" applyFont="1" applyFill="1" applyBorder="1"/>
    <xf numFmtId="164" fontId="10" fillId="31" borderId="3" xfId="2" applyNumberFormat="1" applyFont="1" applyFill="1" applyBorder="1"/>
    <xf numFmtId="164" fontId="54" fillId="31" borderId="0" xfId="0" applyNumberFormat="1" applyFont="1" applyFill="1"/>
    <xf numFmtId="164" fontId="10" fillId="31" borderId="4" xfId="24" applyNumberFormat="1" applyFont="1" applyFill="1" applyBorder="1"/>
    <xf numFmtId="164" fontId="11" fillId="0" borderId="3" xfId="2" applyNumberFormat="1" applyFont="1" applyFill="1" applyBorder="1"/>
    <xf numFmtId="10" fontId="11" fillId="0" borderId="3" xfId="25" applyNumberFormat="1" applyFont="1" applyFill="1" applyBorder="1" applyAlignment="1"/>
    <xf numFmtId="0" fontId="11" fillId="0" borderId="0" xfId="0" applyFont="1" applyFill="1" applyAlignment="1">
      <alignment horizontal="center"/>
    </xf>
    <xf numFmtId="165" fontId="10" fillId="0" borderId="0" xfId="1" applyNumberFormat="1" applyFont="1" applyFill="1" applyBorder="1" applyAlignment="1">
      <alignment horizontal="center"/>
    </xf>
    <xf numFmtId="0" fontId="63" fillId="0" borderId="15" xfId="105" applyFont="1" applyBorder="1"/>
    <xf numFmtId="41" fontId="31" fillId="0" borderId="0" xfId="26" applyNumberFormat="1" applyFont="1" applyFill="1" applyBorder="1" applyAlignment="1"/>
    <xf numFmtId="164" fontId="31" fillId="0" borderId="4" xfId="26" applyNumberFormat="1" applyFont="1" applyFill="1" applyBorder="1" applyAlignment="1"/>
    <xf numFmtId="164" fontId="31" fillId="0" borderId="0" xfId="26" applyNumberFormat="1" applyFont="1" applyFill="1" applyBorder="1" applyAlignment="1"/>
    <xf numFmtId="164" fontId="31" fillId="0" borderId="5" xfId="2" applyNumberFormat="1" applyFont="1" applyFill="1" applyBorder="1"/>
    <xf numFmtId="37" fontId="31" fillId="0" borderId="0" xfId="1" applyNumberFormat="1" applyFont="1" applyFill="1" applyBorder="1"/>
    <xf numFmtId="44" fontId="31" fillId="26" borderId="0" xfId="24" applyFont="1" applyFill="1" applyBorder="1" applyAlignment="1"/>
    <xf numFmtId="172" fontId="10" fillId="0" borderId="1" xfId="26" applyNumberFormat="1" applyFont="1" applyFill="1" applyBorder="1" applyAlignment="1"/>
    <xf numFmtId="164" fontId="31" fillId="0" borderId="0" xfId="1" applyNumberFormat="1" applyFont="1" applyFill="1" applyBorder="1" applyAlignment="1">
      <alignment horizontal="right"/>
    </xf>
    <xf numFmtId="189" fontId="10" fillId="0" borderId="0" xfId="26" applyNumberFormat="1" applyFont="1" applyFill="1" applyBorder="1" applyAlignment="1"/>
    <xf numFmtId="172" fontId="31" fillId="0" borderId="0" xfId="26" applyNumberFormat="1" applyFont="1" applyFill="1" applyBorder="1" applyAlignment="1"/>
    <xf numFmtId="172" fontId="31" fillId="0" borderId="0" xfId="26" applyNumberFormat="1" applyFont="1" applyFill="1" applyBorder="1" applyAlignment="1">
      <alignment horizontal="right"/>
    </xf>
    <xf numFmtId="164" fontId="31" fillId="0" borderId="0" xfId="1" applyNumberFormat="1" applyFont="1" applyFill="1" applyBorder="1"/>
    <xf numFmtId="181" fontId="31" fillId="0" borderId="0" xfId="26" applyNumberFormat="1" applyFont="1" applyFill="1" applyBorder="1" applyAlignment="1">
      <alignment horizontal="right"/>
    </xf>
    <xf numFmtId="181" fontId="31" fillId="0" borderId="0" xfId="26" applyNumberFormat="1" applyFont="1" applyFill="1" applyBorder="1" applyAlignment="1"/>
    <xf numFmtId="172" fontId="31" fillId="0" borderId="4" xfId="2" applyNumberFormat="1" applyFont="1" applyFill="1" applyBorder="1"/>
    <xf numFmtId="181" fontId="31" fillId="0" borderId="4" xfId="2" applyNumberFormat="1" applyFont="1" applyFill="1" applyBorder="1" applyAlignment="1">
      <alignment horizontal="right"/>
    </xf>
    <xf numFmtId="181" fontId="31" fillId="0" borderId="4" xfId="2" applyNumberFormat="1" applyFont="1" applyFill="1" applyBorder="1"/>
    <xf numFmtId="164" fontId="31" fillId="0" borderId="4" xfId="2" applyNumberFormat="1" applyFont="1" applyFill="1" applyBorder="1"/>
    <xf numFmtId="38" fontId="31" fillId="0" borderId="0" xfId="26" applyNumberFormat="1" applyFont="1" applyFill="1" applyBorder="1" applyAlignment="1"/>
    <xf numFmtId="40" fontId="31" fillId="0" borderId="4" xfId="2" applyNumberFormat="1" applyFont="1" applyFill="1" applyBorder="1"/>
    <xf numFmtId="40" fontId="31" fillId="0" borderId="4" xfId="2" applyNumberFormat="1" applyFont="1" applyFill="1" applyBorder="1" applyAlignment="1">
      <alignment horizontal="right"/>
    </xf>
    <xf numFmtId="164" fontId="31" fillId="0" borderId="4" xfId="24" applyNumberFormat="1" applyFont="1" applyFill="1" applyBorder="1"/>
    <xf numFmtId="40" fontId="31" fillId="0" borderId="0" xfId="26" applyNumberFormat="1" applyFont="1" applyFill="1" applyBorder="1" applyAlignment="1"/>
    <xf numFmtId="40" fontId="31" fillId="0" borderId="0" xfId="26" applyNumberFormat="1" applyFont="1" applyFill="1" applyBorder="1" applyAlignment="1">
      <alignment horizontal="right"/>
    </xf>
    <xf numFmtId="172" fontId="31" fillId="0" borderId="1" xfId="26" applyNumberFormat="1" applyFont="1" applyFill="1" applyBorder="1" applyAlignment="1"/>
    <xf numFmtId="181" fontId="31" fillId="0" borderId="1" xfId="26" applyNumberFormat="1" applyFont="1" applyFill="1" applyBorder="1" applyAlignment="1">
      <alignment horizontal="right"/>
    </xf>
    <xf numFmtId="180" fontId="31" fillId="0" borderId="1" xfId="26" applyNumberFormat="1" applyFont="1" applyFill="1" applyBorder="1" applyAlignment="1"/>
    <xf numFmtId="164" fontId="31" fillId="0" borderId="1" xfId="24" applyNumberFormat="1" applyFont="1" applyFill="1" applyBorder="1"/>
    <xf numFmtId="37" fontId="31" fillId="0" borderId="0" xfId="26" applyNumberFormat="1" applyFont="1" applyFill="1" applyBorder="1" applyAlignment="1">
      <alignment horizontal="right"/>
    </xf>
    <xf numFmtId="180" fontId="31" fillId="0" borderId="5" xfId="26" applyNumberFormat="1" applyFont="1" applyFill="1" applyBorder="1" applyAlignment="1"/>
    <xf numFmtId="37" fontId="31" fillId="0" borderId="5" xfId="26" applyNumberFormat="1" applyFont="1" applyFill="1" applyBorder="1" applyAlignment="1"/>
    <xf numFmtId="44" fontId="10" fillId="0" borderId="0" xfId="50" applyNumberFormat="1" applyFont="1" applyAlignment="1"/>
    <xf numFmtId="37" fontId="10" fillId="0" borderId="1" xfId="26" applyNumberFormat="1" applyFont="1" applyFill="1" applyBorder="1" applyAlignment="1"/>
    <xf numFmtId="0" fontId="11" fillId="0" borderId="0" xfId="0" applyFont="1" applyFill="1" applyAlignment="1">
      <alignment horizontal="center"/>
    </xf>
    <xf numFmtId="0" fontId="10" fillId="0" borderId="0" xfId="35" applyFont="1" applyFill="1" applyBorder="1" applyAlignment="1">
      <alignment horizontal="left"/>
    </xf>
    <xf numFmtId="0" fontId="47" fillId="0" borderId="15" xfId="105" applyFont="1" applyBorder="1"/>
    <xf numFmtId="0" fontId="59" fillId="0" borderId="15" xfId="105" applyFont="1" applyBorder="1"/>
    <xf numFmtId="42" fontId="10" fillId="0" borderId="0" xfId="24" applyNumberFormat="1" applyFont="1" applyFill="1" applyBorder="1"/>
    <xf numFmtId="41" fontId="10" fillId="26" borderId="0" xfId="24" applyNumberFormat="1" applyFont="1" applyFill="1" applyBorder="1" applyAlignment="1"/>
    <xf numFmtId="41" fontId="10" fillId="26" borderId="0" xfId="24" applyNumberFormat="1" applyFont="1" applyFill="1" applyBorder="1" applyAlignment="1">
      <alignment horizontal="right"/>
    </xf>
    <xf numFmtId="41" fontId="10" fillId="27" borderId="0" xfId="24" applyNumberFormat="1" applyFont="1" applyFill="1" applyBorder="1" applyAlignment="1"/>
    <xf numFmtId="41" fontId="10" fillId="0" borderId="0" xfId="24" applyNumberFormat="1" applyFont="1" applyFill="1" applyBorder="1" applyAlignment="1">
      <alignment horizontal="right"/>
    </xf>
    <xf numFmtId="41" fontId="10" fillId="27" borderId="0" xfId="24" applyNumberFormat="1" applyFont="1" applyFill="1"/>
    <xf numFmtId="41" fontId="10" fillId="27" borderId="0" xfId="24" applyNumberFormat="1" applyFont="1" applyFill="1" applyBorder="1"/>
    <xf numFmtId="41" fontId="10" fillId="27" borderId="3" xfId="2" applyNumberFormat="1" applyFont="1" applyFill="1" applyBorder="1"/>
    <xf numFmtId="41" fontId="10" fillId="26" borderId="0" xfId="26" applyNumberFormat="1" applyFont="1" applyFill="1" applyBorder="1" applyAlignment="1"/>
    <xf numFmtId="41" fontId="10" fillId="27" borderId="0" xfId="26" applyNumberFormat="1" applyFont="1" applyFill="1" applyBorder="1" applyAlignment="1"/>
    <xf numFmtId="41" fontId="10" fillId="2" borderId="0" xfId="26" applyNumberFormat="1" applyFont="1" applyFill="1" applyBorder="1" applyAlignment="1"/>
    <xf numFmtId="41" fontId="10" fillId="26" borderId="0" xfId="24" applyNumberFormat="1" applyFont="1" applyFill="1" applyBorder="1"/>
    <xf numFmtId="42" fontId="10" fillId="0" borderId="0" xfId="19" applyNumberFormat="1" applyFont="1" applyFill="1" applyBorder="1" applyAlignment="1"/>
    <xf numFmtId="41" fontId="10" fillId="27" borderId="3" xfId="26" applyNumberFormat="1" applyFont="1" applyFill="1" applyBorder="1" applyAlignment="1"/>
    <xf numFmtId="164" fontId="31" fillId="27" borderId="3" xfId="19" applyNumberFormat="1" applyFont="1" applyFill="1" applyBorder="1" applyAlignment="1"/>
    <xf numFmtId="165" fontId="0" fillId="27" borderId="3" xfId="26" applyNumberFormat="1" applyFont="1" applyFill="1" applyBorder="1"/>
    <xf numFmtId="44" fontId="31" fillId="27" borderId="0" xfId="0" applyNumberFormat="1" applyFont="1" applyFill="1"/>
    <xf numFmtId="44" fontId="31" fillId="27" borderId="3" xfId="0" applyNumberFormat="1" applyFont="1" applyFill="1" applyBorder="1"/>
    <xf numFmtId="43" fontId="10" fillId="0" borderId="0" xfId="17" applyNumberFormat="1" applyFont="1" applyFill="1" applyBorder="1" applyAlignment="1"/>
    <xf numFmtId="0" fontId="30" fillId="0" borderId="15" xfId="105" applyFont="1" applyBorder="1"/>
    <xf numFmtId="0" fontId="31" fillId="0" borderId="15" xfId="105" applyFont="1" applyBorder="1"/>
    <xf numFmtId="0" fontId="30" fillId="0" borderId="15" xfId="105" applyFont="1" applyBorder="1" applyAlignment="1">
      <alignment horizontal="right"/>
    </xf>
    <xf numFmtId="0" fontId="30" fillId="0" borderId="15" xfId="105" applyFont="1" applyBorder="1" applyAlignment="1">
      <alignment horizontal="center"/>
    </xf>
    <xf numFmtId="0" fontId="31" fillId="0" borderId="16" xfId="105" applyFont="1" applyBorder="1"/>
    <xf numFmtId="0" fontId="31" fillId="0" borderId="15" xfId="105" applyFont="1" applyFill="1" applyBorder="1"/>
    <xf numFmtId="0" fontId="30" fillId="0" borderId="14" xfId="105" applyFont="1" applyBorder="1" applyAlignment="1">
      <alignment horizontal="center" wrapText="1"/>
    </xf>
    <xf numFmtId="0" fontId="30" fillId="0" borderId="14" xfId="105" applyFont="1" applyBorder="1" applyAlignment="1">
      <alignment horizontal="left" wrapText="1"/>
    </xf>
    <xf numFmtId="0" fontId="30" fillId="0" borderId="17" xfId="105" applyFont="1" applyBorder="1"/>
    <xf numFmtId="0" fontId="64" fillId="0" borderId="17" xfId="105" applyFont="1" applyBorder="1"/>
    <xf numFmtId="0" fontId="31" fillId="0" borderId="15" xfId="105" applyFont="1" applyBorder="1" applyAlignment="1">
      <alignment horizontal="center"/>
    </xf>
    <xf numFmtId="0" fontId="31" fillId="0" borderId="18" xfId="105" applyFont="1" applyBorder="1" applyAlignment="1">
      <alignment horizontal="left" indent="1"/>
    </xf>
    <xf numFmtId="43" fontId="31" fillId="0" borderId="15" xfId="106" applyFont="1" applyBorder="1"/>
    <xf numFmtId="0" fontId="31" fillId="0" borderId="18" xfId="105" quotePrefix="1" applyFont="1" applyBorder="1" applyAlignment="1">
      <alignment horizontal="left" indent="1"/>
    </xf>
    <xf numFmtId="169" fontId="31" fillId="0" borderId="15" xfId="106" applyNumberFormat="1" applyFont="1" applyBorder="1"/>
    <xf numFmtId="0" fontId="31" fillId="0" borderId="0" xfId="105" applyFont="1" applyAlignment="1">
      <alignment horizontal="left" indent="1"/>
    </xf>
    <xf numFmtId="165" fontId="31" fillId="0" borderId="15" xfId="105" applyNumberFormat="1" applyFont="1" applyBorder="1"/>
    <xf numFmtId="43" fontId="31" fillId="32" borderId="15" xfId="26" applyFont="1" applyFill="1" applyBorder="1"/>
    <xf numFmtId="165" fontId="31" fillId="0" borderId="19" xfId="26" applyNumberFormat="1" applyFont="1" applyBorder="1"/>
    <xf numFmtId="165" fontId="31" fillId="0" borderId="20" xfId="26" applyNumberFormat="1" applyFont="1" applyFill="1" applyBorder="1"/>
    <xf numFmtId="165" fontId="31" fillId="0" borderId="22" xfId="26" applyNumberFormat="1" applyFont="1" applyFill="1" applyBorder="1"/>
    <xf numFmtId="165" fontId="31" fillId="0" borderId="23" xfId="26" applyNumberFormat="1" applyFont="1" applyBorder="1"/>
    <xf numFmtId="165" fontId="31" fillId="0" borderId="27" xfId="26" applyNumberFormat="1" applyFont="1" applyFill="1" applyBorder="1"/>
    <xf numFmtId="165" fontId="31" fillId="0" borderId="29" xfId="26" applyNumberFormat="1" applyFont="1" applyBorder="1"/>
    <xf numFmtId="165" fontId="31" fillId="0" borderId="33" xfId="26" applyNumberFormat="1" applyFont="1" applyFill="1" applyBorder="1"/>
    <xf numFmtId="165" fontId="31" fillId="0" borderId="35" xfId="26" applyNumberFormat="1" applyFont="1" applyBorder="1"/>
    <xf numFmtId="165" fontId="31" fillId="0" borderId="39" xfId="26" applyNumberFormat="1" applyFont="1" applyBorder="1"/>
    <xf numFmtId="165" fontId="31" fillId="0" borderId="33" xfId="26" applyNumberFormat="1" applyFont="1" applyBorder="1"/>
    <xf numFmtId="43" fontId="10" fillId="26" borderId="0" xfId="24" applyNumberFormat="1" applyFont="1" applyFill="1"/>
    <xf numFmtId="165" fontId="10" fillId="27" borderId="0" xfId="26" applyNumberFormat="1" applyFont="1" applyFill="1"/>
    <xf numFmtId="3" fontId="31" fillId="0" borderId="15" xfId="105" applyNumberFormat="1" applyFont="1" applyBorder="1"/>
    <xf numFmtId="0" fontId="30" fillId="0" borderId="15" xfId="105" applyFont="1" applyFill="1" applyBorder="1" applyAlignment="1">
      <alignment horizontal="right"/>
    </xf>
    <xf numFmtId="43" fontId="31" fillId="27" borderId="0" xfId="24" applyNumberFormat="1" applyFont="1" applyFill="1"/>
    <xf numFmtId="43" fontId="31" fillId="26" borderId="0" xfId="43" applyNumberFormat="1" applyFont="1" applyFill="1"/>
    <xf numFmtId="165" fontId="31" fillId="27" borderId="0" xfId="26" applyNumberFormat="1" applyFont="1" applyFill="1"/>
    <xf numFmtId="165" fontId="47" fillId="0" borderId="0" xfId="61" applyNumberFormat="1" applyFont="1" applyFill="1" applyBorder="1" applyAlignment="1"/>
    <xf numFmtId="165" fontId="10" fillId="0" borderId="0" xfId="1" applyNumberFormat="1" applyFont="1" applyFill="1" applyBorder="1" applyAlignment="1">
      <alignment horizontal="center"/>
    </xf>
    <xf numFmtId="41" fontId="31" fillId="0" borderId="20" xfId="26" applyNumberFormat="1" applyFont="1" applyFill="1" applyBorder="1"/>
    <xf numFmtId="41" fontId="31" fillId="0" borderId="21" xfId="26" applyNumberFormat="1" applyFont="1" applyFill="1" applyBorder="1"/>
    <xf numFmtId="41" fontId="31" fillId="0" borderId="18" xfId="26" applyNumberFormat="1" applyFont="1" applyFill="1" applyBorder="1"/>
    <xf numFmtId="41" fontId="31" fillId="0" borderId="24" xfId="26" applyNumberFormat="1" applyFont="1" applyFill="1" applyBorder="1"/>
    <xf numFmtId="41" fontId="31" fillId="0" borderId="25" xfId="26" applyNumberFormat="1" applyFont="1" applyFill="1" applyBorder="1"/>
    <xf numFmtId="41" fontId="31" fillId="0" borderId="26" xfId="26" applyNumberFormat="1" applyFont="1" applyFill="1" applyBorder="1"/>
    <xf numFmtId="41" fontId="31" fillId="0" borderId="30" xfId="26" applyNumberFormat="1" applyFont="1" applyFill="1" applyBorder="1"/>
    <xf numFmtId="41" fontId="31" fillId="0" borderId="31" xfId="26" applyNumberFormat="1" applyFont="1" applyFill="1" applyBorder="1"/>
    <xf numFmtId="41" fontId="31" fillId="0" borderId="32" xfId="26" applyNumberFormat="1" applyFont="1" applyFill="1" applyBorder="1"/>
    <xf numFmtId="41" fontId="31" fillId="0" borderId="36" xfId="26" applyNumberFormat="1" applyFont="1" applyBorder="1"/>
    <xf numFmtId="41" fontId="31" fillId="0" borderId="37" xfId="26" applyNumberFormat="1" applyFont="1" applyBorder="1"/>
    <xf numFmtId="41" fontId="31" fillId="0" borderId="38" xfId="26" applyNumberFormat="1" applyFont="1" applyBorder="1"/>
    <xf numFmtId="41" fontId="31" fillId="0" borderId="30" xfId="26" applyNumberFormat="1" applyFont="1" applyBorder="1"/>
    <xf numFmtId="41" fontId="31" fillId="0" borderId="31" xfId="26" applyNumberFormat="1" applyFont="1" applyBorder="1"/>
    <xf numFmtId="41" fontId="31" fillId="0" borderId="32" xfId="26" applyNumberFormat="1" applyFont="1" applyBorder="1"/>
    <xf numFmtId="41" fontId="31" fillId="0" borderId="21" xfId="26" applyNumberFormat="1" applyFont="1" applyBorder="1"/>
    <xf numFmtId="41" fontId="31" fillId="0" borderId="15" xfId="26" applyNumberFormat="1" applyFont="1" applyBorder="1"/>
    <xf numFmtId="41" fontId="31" fillId="0" borderId="25" xfId="26" applyNumberFormat="1" applyFont="1" applyBorder="1"/>
    <xf numFmtId="41" fontId="31" fillId="0" borderId="28" xfId="26" applyNumberFormat="1" applyFont="1" applyBorder="1"/>
    <xf numFmtId="41" fontId="31" fillId="0" borderId="34" xfId="26" applyNumberFormat="1" applyFont="1" applyBorder="1"/>
    <xf numFmtId="41" fontId="31" fillId="0" borderId="16" xfId="26" applyNumberFormat="1" applyFont="1" applyBorder="1"/>
    <xf numFmtId="42" fontId="31" fillId="0" borderId="0" xfId="0" applyNumberFormat="1" applyFont="1" applyFill="1" applyBorder="1"/>
    <xf numFmtId="42" fontId="31" fillId="0" borderId="0" xfId="24" applyNumberFormat="1" applyFont="1" applyFill="1" applyBorder="1" applyAlignment="1"/>
    <xf numFmtId="42" fontId="31" fillId="0" borderId="0" xfId="28" applyNumberFormat="1" applyFont="1" applyFill="1" applyBorder="1" applyAlignment="1"/>
    <xf numFmtId="42" fontId="31" fillId="0" borderId="0" xfId="24" applyNumberFormat="1" applyFont="1" applyFill="1" applyBorder="1"/>
    <xf numFmtId="42" fontId="31" fillId="0" borderId="0" xfId="24" applyNumberFormat="1" applyFont="1" applyFill="1"/>
    <xf numFmtId="42" fontId="30" fillId="0" borderId="5" xfId="24" applyNumberFormat="1" applyFont="1" applyFill="1" applyBorder="1" applyAlignment="1"/>
    <xf numFmtId="41" fontId="31" fillId="0" borderId="0" xfId="26" applyNumberFormat="1" applyFont="1" applyFill="1" applyBorder="1" applyAlignment="1">
      <alignment horizontal="right"/>
    </xf>
    <xf numFmtId="41" fontId="31" fillId="0" borderId="1" xfId="26" applyNumberFormat="1" applyFont="1" applyFill="1" applyBorder="1" applyAlignment="1">
      <alignment horizontal="right"/>
    </xf>
    <xf numFmtId="41" fontId="31" fillId="0" borderId="3" xfId="28" applyNumberFormat="1" applyFont="1" applyFill="1" applyBorder="1" applyAlignment="1"/>
    <xf numFmtId="41" fontId="31" fillId="0" borderId="0" xfId="24" applyNumberFormat="1" applyFont="1" applyFill="1" applyBorder="1" applyAlignment="1">
      <alignment horizontal="right"/>
    </xf>
    <xf numFmtId="42" fontId="31" fillId="0" borderId="0" xfId="24" applyNumberFormat="1" applyFont="1" applyFill="1" applyBorder="1" applyAlignment="1">
      <alignment horizontal="right"/>
    </xf>
    <xf numFmtId="42" fontId="31" fillId="0" borderId="0" xfId="0" applyNumberFormat="1" applyFont="1" applyFill="1" applyBorder="1" applyAlignment="1">
      <alignment horizontal="center"/>
    </xf>
    <xf numFmtId="42" fontId="30" fillId="0" borderId="10" xfId="32" applyNumberFormat="1" applyFont="1" applyFill="1" applyBorder="1" applyAlignment="1">
      <alignment horizontal="center"/>
    </xf>
    <xf numFmtId="42" fontId="31" fillId="0" borderId="0" xfId="1" applyNumberFormat="1" applyFont="1" applyFill="1" applyBorder="1" applyAlignment="1">
      <alignment horizontal="center"/>
    </xf>
    <xf numFmtId="42" fontId="30" fillId="0" borderId="0" xfId="1" applyNumberFormat="1" applyFont="1" applyFill="1" applyBorder="1" applyAlignment="1">
      <alignment horizontal="center"/>
    </xf>
    <xf numFmtId="42" fontId="30" fillId="0" borderId="0" xfId="32" applyNumberFormat="1" applyFont="1" applyFill="1" applyBorder="1" applyAlignment="1">
      <alignment horizontal="center"/>
    </xf>
    <xf numFmtId="42" fontId="31" fillId="0" borderId="0" xfId="24" applyNumberFormat="1" applyFont="1" applyFill="1" applyAlignment="1">
      <alignment horizontal="center"/>
    </xf>
    <xf numFmtId="42" fontId="30" fillId="0" borderId="3" xfId="32" applyNumberFormat="1" applyFont="1" applyFill="1" applyBorder="1"/>
    <xf numFmtId="42" fontId="31" fillId="0" borderId="0" xfId="1" applyNumberFormat="1" applyFont="1" applyFill="1" applyBorder="1"/>
    <xf numFmtId="41" fontId="31" fillId="0" borderId="0" xfId="0" applyNumberFormat="1" applyFont="1" applyFill="1" applyBorder="1" applyAlignment="1">
      <alignment horizontal="center"/>
    </xf>
    <xf numFmtId="41" fontId="31" fillId="0" borderId="0" xfId="1" applyNumberFormat="1" applyFont="1" applyFill="1" applyBorder="1" applyAlignment="1">
      <alignment horizontal="center"/>
    </xf>
    <xf numFmtId="41" fontId="31" fillId="0" borderId="0" xfId="26" applyNumberFormat="1" applyFont="1" applyFill="1"/>
    <xf numFmtId="41" fontId="30" fillId="0" borderId="0" xfId="1" applyNumberFormat="1" applyFont="1" applyFill="1" applyBorder="1" applyAlignment="1">
      <alignment horizontal="center"/>
    </xf>
    <xf numFmtId="41" fontId="31" fillId="0" borderId="0" xfId="24" applyNumberFormat="1" applyFont="1" applyFill="1" applyAlignment="1">
      <alignment horizontal="center"/>
    </xf>
    <xf numFmtId="41" fontId="31" fillId="0" borderId="0" xfId="0" applyNumberFormat="1" applyFont="1" applyFill="1" applyAlignment="1">
      <alignment horizontal="center"/>
    </xf>
    <xf numFmtId="41" fontId="31" fillId="0" borderId="0" xfId="16" applyNumberFormat="1" applyFont="1" applyFill="1" applyBorder="1" applyAlignment="1">
      <alignment horizontal="center"/>
    </xf>
    <xf numFmtId="0" fontId="10" fillId="0" borderId="0" xfId="35" applyFont="1" applyFill="1" applyBorder="1" applyAlignment="1">
      <alignment horizontal="center"/>
    </xf>
    <xf numFmtId="169" fontId="0" fillId="31" borderId="0" xfId="1" applyNumberFormat="1" applyFont="1" applyFill="1" applyBorder="1"/>
    <xf numFmtId="42" fontId="30" fillId="27" borderId="3" xfId="32" applyNumberFormat="1" applyFont="1" applyFill="1" applyBorder="1"/>
    <xf numFmtId="42" fontId="10" fillId="0" borderId="9" xfId="24" applyNumberFormat="1" applyFont="1" applyFill="1" applyBorder="1"/>
    <xf numFmtId="178" fontId="10" fillId="0" borderId="0" xfId="0" applyNumberFormat="1" applyFont="1" applyAlignment="1"/>
    <xf numFmtId="164" fontId="10" fillId="31" borderId="0" xfId="24" applyNumberFormat="1" applyFont="1" applyFill="1"/>
    <xf numFmtId="43" fontId="10" fillId="0" borderId="0" xfId="43" applyNumberFormat="1" applyAlignment="1"/>
    <xf numFmtId="0" fontId="31" fillId="0" borderId="0" xfId="43" quotePrefix="1" applyFont="1"/>
    <xf numFmtId="164" fontId="31" fillId="0" borderId="1" xfId="26" applyNumberFormat="1" applyFont="1" applyFill="1" applyBorder="1" applyAlignment="1"/>
    <xf numFmtId="165" fontId="31" fillId="0" borderId="0" xfId="26" quotePrefix="1" applyNumberFormat="1" applyFont="1" applyFill="1" applyBorder="1" applyAlignment="1">
      <alignment horizontal="right"/>
    </xf>
    <xf numFmtId="0" fontId="30" fillId="0" borderId="0" xfId="19" applyFont="1" applyFill="1" applyBorder="1" applyAlignment="1">
      <alignment horizontal="left"/>
    </xf>
    <xf numFmtId="0" fontId="31" fillId="0" borderId="0" xfId="52" applyFont="1" applyFill="1" applyBorder="1" applyAlignment="1">
      <alignment horizontal="center"/>
    </xf>
    <xf numFmtId="43" fontId="31" fillId="0" borderId="0" xfId="0" applyNumberFormat="1" applyFont="1" applyFill="1"/>
    <xf numFmtId="170" fontId="30" fillId="0" borderId="1" xfId="0" applyNumberFormat="1" applyFont="1" applyFill="1" applyBorder="1" applyAlignment="1">
      <alignment horizontal="center" wrapText="1"/>
    </xf>
    <xf numFmtId="0" fontId="30" fillId="0" borderId="1" xfId="0" applyFont="1" applyFill="1" applyBorder="1" applyAlignment="1">
      <alignment horizontal="center" wrapText="1"/>
    </xf>
    <xf numFmtId="0" fontId="31" fillId="0" borderId="0" xfId="52" applyFont="1" applyFill="1" applyBorder="1" applyAlignment="1">
      <alignment horizontal="center" wrapText="1"/>
    </xf>
    <xf numFmtId="170" fontId="30" fillId="0" borderId="0" xfId="0" applyNumberFormat="1" applyFont="1" applyFill="1" applyBorder="1" applyAlignment="1">
      <alignment horizontal="center" wrapText="1"/>
    </xf>
    <xf numFmtId="0" fontId="30" fillId="0" borderId="0" xfId="0" applyFont="1" applyFill="1" applyBorder="1" applyAlignment="1">
      <alignment horizontal="center" wrapText="1"/>
    </xf>
    <xf numFmtId="0" fontId="65" fillId="0" borderId="0" xfId="0" applyFont="1" applyFill="1" applyAlignment="1">
      <alignment horizontal="center"/>
    </xf>
    <xf numFmtId="44" fontId="31" fillId="0" borderId="0" xfId="0" applyNumberFormat="1" applyFont="1" applyFill="1"/>
    <xf numFmtId="42" fontId="31" fillId="0" borderId="0" xfId="26" applyNumberFormat="1" applyFont="1" applyFill="1"/>
    <xf numFmtId="10" fontId="31" fillId="0" borderId="0" xfId="26" applyNumberFormat="1" applyFont="1" applyFill="1" applyAlignment="1">
      <alignment horizontal="center"/>
    </xf>
    <xf numFmtId="44" fontId="31" fillId="26" borderId="0" xfId="0" applyNumberFormat="1" applyFont="1" applyFill="1"/>
    <xf numFmtId="164" fontId="30" fillId="0" borderId="0" xfId="32" applyNumberFormat="1" applyFont="1" applyFill="1"/>
    <xf numFmtId="10" fontId="31" fillId="0" borderId="0" xfId="0" applyNumberFormat="1" applyFont="1" applyFill="1" applyAlignment="1">
      <alignment horizontal="center"/>
    </xf>
    <xf numFmtId="164" fontId="30" fillId="0" borderId="0" xfId="32" applyNumberFormat="1" applyFont="1" applyFill="1" applyBorder="1"/>
    <xf numFmtId="164" fontId="30" fillId="0" borderId="9" xfId="32" applyNumberFormat="1" applyFont="1" applyFill="1" applyBorder="1"/>
    <xf numFmtId="0" fontId="65" fillId="0" borderId="0" xfId="0" applyFont="1" applyFill="1"/>
    <xf numFmtId="10" fontId="30" fillId="0" borderId="0" xfId="0" applyNumberFormat="1" applyFont="1" applyFill="1" applyBorder="1" applyAlignment="1">
      <alignment horizontal="center" wrapText="1"/>
    </xf>
    <xf numFmtId="165" fontId="31" fillId="0" borderId="0" xfId="1" applyNumberFormat="1" applyFont="1" applyFill="1" applyBorder="1" applyAlignment="1">
      <alignment horizontal="right"/>
    </xf>
    <xf numFmtId="165" fontId="31" fillId="0" borderId="1" xfId="1" applyNumberFormat="1" applyFont="1" applyFill="1" applyBorder="1" applyAlignment="1">
      <alignment horizontal="right"/>
    </xf>
    <xf numFmtId="164" fontId="31" fillId="0" borderId="1" xfId="32" applyNumberFormat="1" applyFont="1" applyFill="1" applyBorder="1"/>
    <xf numFmtId="10" fontId="31" fillId="0" borderId="0" xfId="32" applyNumberFormat="1" applyFont="1" applyFill="1" applyAlignment="1">
      <alignment horizontal="center"/>
    </xf>
    <xf numFmtId="0" fontId="30" fillId="0" borderId="0" xfId="0" applyFont="1" applyFill="1" applyAlignment="1">
      <alignment horizontal="left"/>
    </xf>
    <xf numFmtId="0" fontId="64" fillId="0" borderId="0" xfId="0" applyFont="1" applyFill="1"/>
    <xf numFmtId="42" fontId="30" fillId="0" borderId="3" xfId="0" applyNumberFormat="1" applyFont="1" applyFill="1" applyBorder="1"/>
    <xf numFmtId="165" fontId="10" fillId="0" borderId="0" xfId="26" applyNumberFormat="1" applyFont="1" applyFill="1" applyBorder="1" applyAlignment="1">
      <alignment horizontal="center" wrapText="1"/>
    </xf>
    <xf numFmtId="0" fontId="31" fillId="31" borderId="0" xfId="0" applyFont="1" applyFill="1"/>
    <xf numFmtId="10" fontId="0" fillId="0" borderId="0" xfId="104" applyNumberFormat="1" applyFont="1" applyFill="1" applyAlignment="1">
      <alignment horizontal="center"/>
    </xf>
    <xf numFmtId="10" fontId="10" fillId="0" borderId="0" xfId="104" applyNumberFormat="1" applyFill="1" applyAlignment="1">
      <alignment horizontal="center"/>
    </xf>
    <xf numFmtId="0" fontId="66" fillId="0" borderId="0" xfId="0" applyFont="1"/>
    <xf numFmtId="168" fontId="10" fillId="0" borderId="0" xfId="0" applyNumberFormat="1" applyFont="1" applyAlignment="1">
      <alignment horizontal="left"/>
    </xf>
    <xf numFmtId="41" fontId="31" fillId="26" borderId="0" xfId="0" applyNumberFormat="1" applyFont="1" applyFill="1"/>
    <xf numFmtId="42" fontId="0" fillId="0" borderId="0" xfId="0" applyNumberFormat="1" applyFill="1"/>
    <xf numFmtId="44" fontId="0" fillId="0" borderId="0" xfId="0" applyNumberFormat="1" applyFill="1"/>
    <xf numFmtId="42" fontId="0" fillId="0" borderId="0" xfId="0" applyNumberFormat="1"/>
    <xf numFmtId="165" fontId="10" fillId="33" borderId="0" xfId="26" applyNumberFormat="1" applyFont="1" applyFill="1" applyAlignment="1"/>
    <xf numFmtId="164" fontId="0" fillId="26" borderId="1" xfId="0" applyNumberFormat="1" applyFill="1" applyBorder="1"/>
    <xf numFmtId="165" fontId="0" fillId="27" borderId="10" xfId="26" applyNumberFormat="1" applyFont="1" applyFill="1" applyBorder="1"/>
    <xf numFmtId="43" fontId="10" fillId="0" borderId="0" xfId="50" applyNumberFormat="1" applyFont="1" applyFill="1" applyAlignment="1"/>
    <xf numFmtId="43" fontId="31" fillId="0" borderId="0" xfId="50" applyNumberFormat="1" applyFont="1"/>
    <xf numFmtId="41" fontId="10" fillId="0" borderId="0" xfId="43" applyNumberFormat="1" applyAlignment="1"/>
    <xf numFmtId="0" fontId="11" fillId="0" borderId="0" xfId="0" applyFont="1" applyFill="1" applyAlignment="1">
      <alignment horizontal="center"/>
    </xf>
    <xf numFmtId="164" fontId="10" fillId="31" borderId="0" xfId="43" applyNumberFormat="1" applyFill="1" applyAlignment="1"/>
    <xf numFmtId="165" fontId="10" fillId="0" borderId="0" xfId="1" applyNumberFormat="1" applyFont="1" applyFill="1" applyBorder="1" applyAlignment="1">
      <alignment horizontal="center"/>
    </xf>
    <xf numFmtId="0" fontId="11" fillId="0" borderId="0" xfId="50" quotePrefix="1" applyFont="1" applyAlignment="1">
      <alignment horizontal="center"/>
    </xf>
    <xf numFmtId="0" fontId="10" fillId="0" borderId="0" xfId="0" applyFont="1" applyAlignment="1">
      <alignment horizontal="center"/>
    </xf>
    <xf numFmtId="43" fontId="31" fillId="0" borderId="0" xfId="43" applyNumberFormat="1" applyFont="1" applyAlignment="1"/>
    <xf numFmtId="0" fontId="10" fillId="0" borderId="0" xfId="0" applyFont="1" applyAlignment="1">
      <alignment horizontal="center"/>
    </xf>
    <xf numFmtId="0" fontId="11" fillId="0" borderId="0" xfId="35" applyFont="1" applyAlignment="1">
      <alignment horizontal="center" vertical="center" wrapText="1"/>
    </xf>
    <xf numFmtId="42" fontId="11" fillId="0" borderId="3" xfId="0" applyNumberFormat="1" applyFont="1" applyFill="1" applyBorder="1"/>
    <xf numFmtId="0" fontId="10" fillId="0" borderId="0" xfId="0" applyFont="1" applyFill="1" applyBorder="1" applyAlignment="1">
      <alignment horizontal="left" indent="2"/>
    </xf>
    <xf numFmtId="0" fontId="10" fillId="0" borderId="0" xfId="18" applyFont="1" applyFill="1" applyBorder="1" applyAlignment="1">
      <alignment horizontal="left" indent="2"/>
    </xf>
    <xf numFmtId="9" fontId="10" fillId="31" borderId="0" xfId="23" applyFont="1" applyFill="1"/>
    <xf numFmtId="164" fontId="10" fillId="31" borderId="0" xfId="26" applyNumberFormat="1" applyFont="1" applyFill="1"/>
    <xf numFmtId="164" fontId="10" fillId="31" borderId="1" xfId="26" applyNumberFormat="1" applyFont="1" applyFill="1" applyBorder="1"/>
    <xf numFmtId="164" fontId="10" fillId="31" borderId="0" xfId="43" applyNumberFormat="1" applyFill="1"/>
    <xf numFmtId="164" fontId="10" fillId="31" borderId="0" xfId="26" applyNumberFormat="1" applyFont="1" applyFill="1" applyBorder="1"/>
    <xf numFmtId="164" fontId="10" fillId="31" borderId="1" xfId="43" applyNumberFormat="1" applyFill="1" applyBorder="1"/>
    <xf numFmtId="9" fontId="10" fillId="31" borderId="0" xfId="23" applyFont="1" applyFill="1" applyAlignment="1">
      <alignment horizontal="center"/>
    </xf>
    <xf numFmtId="0" fontId="10" fillId="0" borderId="0" xfId="43" applyNumberFormat="1" applyFont="1" applyAlignment="1" applyProtection="1">
      <alignment horizontal="left"/>
    </xf>
    <xf numFmtId="164" fontId="10" fillId="31" borderId="0" xfId="24" applyNumberFormat="1" applyFont="1" applyFill="1" applyAlignment="1"/>
    <xf numFmtId="164" fontId="10" fillId="31" borderId="0" xfId="24" quotePrefix="1" applyNumberFormat="1" applyFont="1" applyFill="1" applyBorder="1"/>
    <xf numFmtId="164" fontId="10" fillId="31" borderId="0" xfId="26" quotePrefix="1" applyNumberFormat="1" applyFont="1" applyFill="1" applyBorder="1"/>
    <xf numFmtId="164" fontId="10" fillId="31" borderId="1" xfId="26" quotePrefix="1" applyNumberFormat="1" applyFont="1" applyFill="1" applyBorder="1"/>
    <xf numFmtId="164" fontId="10" fillId="31" borderId="1" xfId="43" applyNumberFormat="1" applyFill="1" applyBorder="1" applyAlignment="1"/>
    <xf numFmtId="164" fontId="22" fillId="31" borderId="0" xfId="24" applyNumberFormat="1" applyFont="1" applyFill="1" applyBorder="1"/>
    <xf numFmtId="164" fontId="10" fillId="31" borderId="1" xfId="24" applyNumberFormat="1" applyFont="1" applyFill="1" applyBorder="1"/>
    <xf numFmtId="164" fontId="11" fillId="31" borderId="1" xfId="24" applyNumberFormat="1" applyFont="1" applyFill="1" applyBorder="1"/>
    <xf numFmtId="44" fontId="10" fillId="31" borderId="0" xfId="43" applyNumberFormat="1" applyFill="1" applyAlignment="1"/>
    <xf numFmtId="164" fontId="11" fillId="31" borderId="0" xfId="24" applyNumberFormat="1" applyFont="1" applyFill="1" applyBorder="1" applyAlignment="1"/>
    <xf numFmtId="0" fontId="10" fillId="0" borderId="0" xfId="43" applyAlignment="1">
      <alignment horizontal="center" wrapText="1"/>
    </xf>
    <xf numFmtId="0" fontId="10" fillId="0" borderId="0" xfId="43" applyAlignment="1">
      <alignment horizontal="center"/>
    </xf>
    <xf numFmtId="41" fontId="31" fillId="0" borderId="15" xfId="105" applyNumberFormat="1" applyFont="1" applyBorder="1"/>
    <xf numFmtId="0" fontId="10" fillId="27" borderId="0" xfId="43" applyFill="1" applyAlignment="1">
      <alignment horizontal="center"/>
    </xf>
    <xf numFmtId="0" fontId="10" fillId="0" borderId="0" xfId="50" applyFont="1" applyAlignment="1">
      <alignment horizontal="center"/>
    </xf>
    <xf numFmtId="0" fontId="0" fillId="0" borderId="0" xfId="0" applyAlignment="1">
      <alignment horizontal="center"/>
    </xf>
    <xf numFmtId="0" fontId="31" fillId="0" borderId="0" xfId="43" applyFont="1" applyFill="1" applyBorder="1" applyAlignment="1">
      <alignment horizontal="left"/>
    </xf>
    <xf numFmtId="14" fontId="31" fillId="0" borderId="0" xfId="43" applyNumberFormat="1" applyFont="1" applyFill="1" applyBorder="1" applyAlignment="1">
      <alignment horizontal="right"/>
    </xf>
    <xf numFmtId="165" fontId="31" fillId="0" borderId="0" xfId="65" applyNumberFormat="1" applyFont="1" applyFill="1" applyBorder="1" applyAlignment="1">
      <alignment horizontal="center"/>
    </xf>
    <xf numFmtId="174" fontId="31" fillId="0" borderId="0" xfId="65" applyNumberFormat="1" applyFont="1" applyFill="1" applyBorder="1" applyAlignment="1" applyProtection="1">
      <alignment horizontal="center"/>
    </xf>
    <xf numFmtId="37" fontId="31" fillId="0" borderId="0" xfId="65" applyNumberFormat="1" applyFont="1" applyFill="1" applyBorder="1" applyAlignment="1" applyProtection="1">
      <alignment horizontal="center"/>
    </xf>
    <xf numFmtId="10" fontId="31" fillId="0" borderId="0" xfId="102" applyNumberFormat="1" applyFont="1" applyFill="1" applyBorder="1" applyAlignment="1">
      <alignment horizontal="center"/>
    </xf>
    <xf numFmtId="10" fontId="31" fillId="0" borderId="0" xfId="43" applyNumberFormat="1" applyFont="1" applyFill="1" applyBorder="1" applyAlignment="1">
      <alignment horizontal="center"/>
    </xf>
    <xf numFmtId="10" fontId="31" fillId="0" borderId="0" xfId="43" applyNumberFormat="1" applyFont="1" applyFill="1" applyBorder="1"/>
    <xf numFmtId="0" fontId="31" fillId="0" borderId="0" xfId="43" applyFont="1" applyFill="1" applyAlignment="1">
      <alignment horizontal="left"/>
    </xf>
    <xf numFmtId="14" fontId="31" fillId="0" borderId="0" xfId="43" applyNumberFormat="1" applyFont="1" applyFill="1" applyAlignment="1">
      <alignment horizontal="right"/>
    </xf>
    <xf numFmtId="165" fontId="31" fillId="0" borderId="0" xfId="57" applyNumberFormat="1" applyFont="1" applyFill="1" applyAlignment="1">
      <alignment horizontal="left"/>
    </xf>
    <xf numFmtId="10" fontId="31" fillId="0" borderId="0" xfId="99" applyNumberFormat="1" applyFont="1" applyFill="1" applyProtection="1"/>
    <xf numFmtId="165" fontId="31" fillId="0" borderId="0" xfId="57" applyNumberFormat="1" applyFont="1" applyFill="1" applyProtection="1"/>
    <xf numFmtId="168" fontId="31" fillId="0" borderId="0" xfId="43" applyNumberFormat="1" applyFont="1" applyFill="1"/>
    <xf numFmtId="10" fontId="31" fillId="0" borderId="0" xfId="43" applyNumberFormat="1" applyFont="1" applyFill="1"/>
    <xf numFmtId="10" fontId="31" fillId="0" borderId="0" xfId="99" applyNumberFormat="1" applyFont="1" applyFill="1"/>
    <xf numFmtId="165" fontId="31" fillId="0" borderId="0" xfId="57" applyNumberFormat="1" applyFont="1" applyFill="1"/>
    <xf numFmtId="165" fontId="31" fillId="0" borderId="0" xfId="57" applyNumberFormat="1" applyFont="1" applyFill="1" applyBorder="1" applyProtection="1"/>
    <xf numFmtId="14" fontId="31" fillId="0" borderId="0" xfId="43" applyNumberFormat="1" applyFont="1" applyFill="1" applyAlignment="1">
      <alignment horizontal="left"/>
    </xf>
    <xf numFmtId="165" fontId="31" fillId="0" borderId="0" xfId="57" applyNumberFormat="1" applyFont="1" applyFill="1" applyBorder="1"/>
    <xf numFmtId="10" fontId="31" fillId="0" borderId="3" xfId="99" applyNumberFormat="1" applyFont="1" applyFill="1" applyBorder="1" applyAlignment="1">
      <alignment horizontal="center"/>
    </xf>
    <xf numFmtId="0" fontId="10" fillId="0" borderId="14" xfId="0" applyFont="1" applyBorder="1"/>
    <xf numFmtId="0" fontId="0" fillId="0" borderId="14" xfId="0" applyBorder="1" applyAlignment="1">
      <alignment horizontal="center"/>
    </xf>
    <xf numFmtId="0" fontId="10" fillId="0" borderId="14" xfId="0" applyFont="1" applyBorder="1" applyAlignment="1">
      <alignment horizontal="center"/>
    </xf>
    <xf numFmtId="176" fontId="10" fillId="0" borderId="1" xfId="23" applyNumberFormat="1" applyFont="1" applyFill="1" applyBorder="1"/>
    <xf numFmtId="164" fontId="10" fillId="0" borderId="1" xfId="24" applyNumberFormat="1" applyFont="1" applyBorder="1" applyAlignment="1">
      <alignment horizontal="left"/>
    </xf>
    <xf numFmtId="41" fontId="10" fillId="0" borderId="0" xfId="43" applyNumberFormat="1"/>
    <xf numFmtId="41" fontId="11" fillId="0" borderId="0" xfId="43" applyNumberFormat="1" applyFont="1"/>
    <xf numFmtId="9" fontId="10" fillId="0" borderId="0" xfId="104" applyFont="1" applyAlignment="1"/>
    <xf numFmtId="0" fontId="10" fillId="34" borderId="0" xfId="43" applyFill="1" applyAlignment="1">
      <alignment horizontal="right"/>
    </xf>
    <xf numFmtId="37" fontId="10" fillId="34" borderId="0" xfId="43" applyNumberFormat="1" applyFill="1" applyAlignment="1"/>
    <xf numFmtId="41" fontId="10" fillId="0" borderId="14" xfId="0" applyNumberFormat="1" applyFont="1" applyBorder="1" applyAlignment="1">
      <alignment horizontal="center"/>
    </xf>
    <xf numFmtId="0" fontId="11" fillId="0" borderId="14" xfId="0" applyFont="1" applyBorder="1"/>
    <xf numFmtId="0" fontId="11" fillId="0" borderId="14" xfId="0" applyFont="1" applyBorder="1" applyAlignment="1">
      <alignment horizontal="center"/>
    </xf>
    <xf numFmtId="41" fontId="11" fillId="0" borderId="14" xfId="0" applyNumberFormat="1" applyFont="1" applyBorder="1" applyAlignment="1">
      <alignment horizontal="center"/>
    </xf>
    <xf numFmtId="41" fontId="11" fillId="0" borderId="0" xfId="0" applyNumberFormat="1" applyFont="1"/>
    <xf numFmtId="164" fontId="10" fillId="0" borderId="0" xfId="43" applyNumberFormat="1"/>
    <xf numFmtId="164" fontId="10" fillId="35" borderId="0" xfId="43" applyNumberFormat="1" applyFill="1"/>
    <xf numFmtId="165" fontId="10" fillId="35" borderId="0" xfId="57" applyNumberFormat="1" applyFont="1" applyFill="1"/>
    <xf numFmtId="165" fontId="10" fillId="0" borderId="1" xfId="57" applyNumberFormat="1" applyFont="1" applyFill="1" applyBorder="1"/>
    <xf numFmtId="165" fontId="10" fillId="35" borderId="1" xfId="57" applyNumberFormat="1" applyFont="1" applyFill="1" applyBorder="1"/>
    <xf numFmtId="164" fontId="10" fillId="0" borderId="9" xfId="32" applyNumberFormat="1" applyFont="1" applyFill="1" applyBorder="1"/>
    <xf numFmtId="164" fontId="10" fillId="35" borderId="9" xfId="32" applyNumberFormat="1" applyFont="1" applyFill="1" applyBorder="1"/>
    <xf numFmtId="164" fontId="10" fillId="35" borderId="0" xfId="32" applyNumberFormat="1" applyFont="1" applyFill="1"/>
    <xf numFmtId="0" fontId="10" fillId="35" borderId="0" xfId="43" applyFill="1"/>
    <xf numFmtId="164" fontId="10" fillId="35" borderId="0" xfId="32" applyNumberFormat="1" applyFont="1" applyFill="1" applyBorder="1"/>
    <xf numFmtId="165" fontId="10" fillId="35" borderId="0" xfId="1" applyNumberFormat="1" applyFont="1" applyFill="1" applyBorder="1"/>
    <xf numFmtId="164" fontId="11" fillId="0" borderId="0" xfId="32" applyNumberFormat="1" applyFont="1" applyFill="1" applyBorder="1"/>
    <xf numFmtId="164" fontId="11" fillId="35" borderId="0" xfId="32" applyNumberFormat="1" applyFont="1" applyFill="1" applyBorder="1"/>
    <xf numFmtId="165" fontId="25" fillId="35" borderId="0" xfId="1" applyNumberFormat="1" applyFont="1" applyFill="1" applyBorder="1"/>
    <xf numFmtId="165" fontId="10" fillId="35" borderId="0" xfId="57" applyNumberFormat="1" applyFont="1" applyFill="1" applyBorder="1"/>
    <xf numFmtId="165" fontId="10" fillId="0" borderId="0" xfId="32" applyNumberFormat="1" applyFont="1" applyFill="1" applyBorder="1"/>
    <xf numFmtId="165" fontId="10" fillId="35" borderId="0" xfId="32" applyNumberFormat="1" applyFont="1" applyFill="1" applyBorder="1"/>
    <xf numFmtId="165" fontId="10" fillId="0" borderId="1" xfId="32" applyNumberFormat="1" applyFont="1" applyFill="1" applyBorder="1"/>
    <xf numFmtId="165" fontId="10" fillId="35" borderId="1" xfId="32" applyNumberFormat="1" applyFont="1" applyFill="1" applyBorder="1"/>
    <xf numFmtId="164" fontId="11" fillId="35" borderId="0" xfId="1" applyNumberFormat="1" applyFont="1" applyFill="1" applyBorder="1"/>
    <xf numFmtId="164" fontId="11" fillId="35" borderId="0" xfId="47" applyNumberFormat="1" applyFont="1" applyFill="1"/>
    <xf numFmtId="185" fontId="10" fillId="0" borderId="0" xfId="32" applyNumberFormat="1" applyFont="1" applyFill="1" applyBorder="1"/>
    <xf numFmtId="185" fontId="10" fillId="35" borderId="0" xfId="32" applyNumberFormat="1" applyFont="1" applyFill="1" applyBorder="1"/>
    <xf numFmtId="185" fontId="10" fillId="0" borderId="9" xfId="32" applyNumberFormat="1" applyFont="1" applyFill="1" applyBorder="1"/>
    <xf numFmtId="185" fontId="10" fillId="35" borderId="9" xfId="32" applyNumberFormat="1" applyFont="1" applyFill="1" applyBorder="1"/>
    <xf numFmtId="185" fontId="11" fillId="0" borderId="0" xfId="32" applyNumberFormat="1" applyFont="1" applyFill="1" applyBorder="1"/>
    <xf numFmtId="185" fontId="11" fillId="35" borderId="0" xfId="32" applyNumberFormat="1" applyFont="1" applyFill="1" applyBorder="1"/>
    <xf numFmtId="165" fontId="10" fillId="35" borderId="0" xfId="1" quotePrefix="1" applyNumberFormat="1" applyFont="1" applyFill="1" applyBorder="1"/>
    <xf numFmtId="164" fontId="10" fillId="35" borderId="0" xfId="1" quotePrefix="1" applyNumberFormat="1" applyFont="1" applyFill="1" applyBorder="1"/>
    <xf numFmtId="165" fontId="10" fillId="35" borderId="1" xfId="1" quotePrefix="1" applyNumberFormat="1" applyFont="1" applyFill="1" applyBorder="1"/>
    <xf numFmtId="164" fontId="11" fillId="35" borderId="0" xfId="47" quotePrefix="1" applyNumberFormat="1" applyFont="1" applyFill="1"/>
    <xf numFmtId="165" fontId="10" fillId="0" borderId="0" xfId="32" applyNumberFormat="1" applyFont="1" applyFill="1"/>
    <xf numFmtId="165" fontId="10" fillId="35" borderId="0" xfId="32" applyNumberFormat="1" applyFont="1" applyFill="1"/>
    <xf numFmtId="165" fontId="10" fillId="0" borderId="0" xfId="32" quotePrefix="1" applyNumberFormat="1" applyFont="1" applyFill="1" applyBorder="1"/>
    <xf numFmtId="165" fontId="10" fillId="35" borderId="0" xfId="32" quotePrefix="1" applyNumberFormat="1" applyFont="1" applyFill="1" applyBorder="1"/>
    <xf numFmtId="165" fontId="10" fillId="0" borderId="1" xfId="32" quotePrefix="1" applyNumberFormat="1" applyFont="1" applyFill="1" applyBorder="1"/>
    <xf numFmtId="165" fontId="10" fillId="35" borderId="1" xfId="32" quotePrefix="1" applyNumberFormat="1" applyFont="1" applyFill="1" applyBorder="1"/>
    <xf numFmtId="164" fontId="10" fillId="35" borderId="0" xfId="1" applyNumberFormat="1" applyFont="1" applyFill="1" applyBorder="1"/>
    <xf numFmtId="164" fontId="10" fillId="35" borderId="1" xfId="47" applyNumberFormat="1" applyFont="1" applyFill="1" applyBorder="1"/>
    <xf numFmtId="164" fontId="10" fillId="35" borderId="0" xfId="47" applyNumberFormat="1" applyFont="1" applyFill="1"/>
    <xf numFmtId="164" fontId="30" fillId="35" borderId="0" xfId="32" applyNumberFormat="1" applyFont="1" applyFill="1"/>
    <xf numFmtId="165" fontId="22" fillId="35" borderId="0" xfId="1" applyNumberFormat="1" applyFont="1" applyFill="1" applyBorder="1"/>
    <xf numFmtId="165" fontId="10" fillId="36" borderId="0" xfId="1" applyNumberFormat="1" applyFont="1" applyFill="1" applyBorder="1"/>
    <xf numFmtId="0" fontId="10" fillId="36" borderId="0" xfId="43" applyFill="1"/>
    <xf numFmtId="164" fontId="10" fillId="31" borderId="0" xfId="32" applyNumberFormat="1" applyFont="1" applyFill="1"/>
    <xf numFmtId="164" fontId="11" fillId="0" borderId="0" xfId="32" applyNumberFormat="1" applyFont="1" applyFill="1"/>
    <xf numFmtId="165" fontId="10" fillId="34" borderId="0" xfId="57" applyNumberFormat="1" applyFont="1" applyFill="1" applyAlignment="1"/>
    <xf numFmtId="165" fontId="10" fillId="0" borderId="0" xfId="57" applyNumberFormat="1" applyFont="1" applyAlignment="1"/>
    <xf numFmtId="165" fontId="10" fillId="0" borderId="0" xfId="43" applyNumberFormat="1"/>
    <xf numFmtId="41" fontId="10" fillId="0" borderId="0" xfId="32" applyNumberFormat="1" applyFont="1" applyFill="1" applyBorder="1" applyAlignment="1"/>
    <xf numFmtId="164" fontId="10" fillId="0" borderId="0" xfId="32" applyNumberFormat="1" applyFont="1" applyFill="1" applyBorder="1" applyAlignment="1"/>
    <xf numFmtId="41" fontId="10" fillId="0" borderId="0" xfId="44" applyFont="1" applyFill="1" applyBorder="1" applyAlignment="1"/>
    <xf numFmtId="10" fontId="10" fillId="0" borderId="0" xfId="104" applyNumberFormat="1" applyFont="1" applyFill="1" applyBorder="1" applyAlignment="1"/>
    <xf numFmtId="10" fontId="10" fillId="0" borderId="0" xfId="43" applyNumberFormat="1"/>
    <xf numFmtId="164" fontId="11" fillId="0" borderId="1" xfId="32" applyNumberFormat="1" applyFont="1" applyFill="1" applyBorder="1"/>
    <xf numFmtId="41" fontId="11" fillId="0" borderId="3" xfId="32" applyNumberFormat="1" applyFont="1" applyFill="1" applyBorder="1"/>
    <xf numFmtId="0" fontId="10" fillId="34" borderId="0" xfId="43" applyFill="1"/>
    <xf numFmtId="37" fontId="10" fillId="34" borderId="0" xfId="43" applyNumberFormat="1" applyFill="1"/>
    <xf numFmtId="43" fontId="10" fillId="0" borderId="0" xfId="43" applyNumberFormat="1"/>
    <xf numFmtId="0" fontId="11" fillId="37" borderId="14" xfId="0" applyFont="1" applyFill="1" applyBorder="1" applyAlignment="1">
      <alignment horizontal="center"/>
    </xf>
    <xf numFmtId="44" fontId="10" fillId="0" borderId="0" xfId="0" applyNumberFormat="1" applyFont="1"/>
    <xf numFmtId="165" fontId="31" fillId="0" borderId="0" xfId="26" applyNumberFormat="1" applyFont="1"/>
    <xf numFmtId="10" fontId="31" fillId="0" borderId="0" xfId="23" applyNumberFormat="1" applyFont="1"/>
    <xf numFmtId="10" fontId="31" fillId="34" borderId="0" xfId="23" applyNumberFormat="1" applyFont="1" applyFill="1" applyAlignment="1">
      <alignment horizontal="center"/>
    </xf>
    <xf numFmtId="164" fontId="11" fillId="27" borderId="9" xfId="24" applyNumberFormat="1" applyFont="1" applyFill="1" applyBorder="1" applyAlignment="1">
      <alignment horizontal="center"/>
    </xf>
    <xf numFmtId="0" fontId="10" fillId="33" borderId="0" xfId="43" applyFill="1" applyAlignment="1"/>
    <xf numFmtId="0" fontId="10" fillId="39" borderId="0" xfId="43" applyFill="1" applyAlignment="1"/>
    <xf numFmtId="0" fontId="10" fillId="40" borderId="0" xfId="43" applyFill="1" applyAlignment="1"/>
    <xf numFmtId="165" fontId="0" fillId="38" borderId="0" xfId="26" applyNumberFormat="1" applyFont="1" applyFill="1"/>
    <xf numFmtId="165" fontId="10" fillId="38" borderId="0" xfId="26" applyNumberFormat="1" applyFont="1" applyFill="1"/>
    <xf numFmtId="41" fontId="30" fillId="0" borderId="0" xfId="26" applyNumberFormat="1" applyFont="1" applyFill="1" applyBorder="1" applyAlignment="1">
      <alignment horizontal="right"/>
    </xf>
    <xf numFmtId="41" fontId="30" fillId="0" borderId="0" xfId="0" applyNumberFormat="1" applyFont="1" applyFill="1"/>
    <xf numFmtId="41" fontId="30" fillId="0" borderId="0" xfId="26" applyNumberFormat="1" applyFont="1" applyFill="1"/>
    <xf numFmtId="42" fontId="30" fillId="0" borderId="0" xfId="24" applyNumberFormat="1" applyFont="1" applyFill="1" applyBorder="1" applyAlignment="1">
      <alignment horizontal="right"/>
    </xf>
    <xf numFmtId="42" fontId="30" fillId="0" borderId="0" xfId="24" applyNumberFormat="1" applyFont="1" applyFill="1"/>
    <xf numFmtId="42" fontId="30" fillId="0" borderId="0" xfId="1" applyNumberFormat="1" applyFont="1" applyFill="1" applyBorder="1" applyAlignment="1">
      <alignment horizontal="right"/>
    </xf>
    <xf numFmtId="41" fontId="30" fillId="0" borderId="0" xfId="1" applyNumberFormat="1" applyFont="1" applyFill="1" applyBorder="1" applyAlignment="1">
      <alignment horizontal="right"/>
    </xf>
    <xf numFmtId="41" fontId="30" fillId="0" borderId="1" xfId="1" applyNumberFormat="1" applyFont="1" applyFill="1" applyBorder="1" applyAlignment="1">
      <alignment horizontal="right"/>
    </xf>
    <xf numFmtId="41" fontId="30" fillId="0" borderId="0" xfId="0" applyNumberFormat="1" applyFont="1" applyFill="1" applyAlignment="1">
      <alignment horizontal="center"/>
    </xf>
    <xf numFmtId="41" fontId="30" fillId="0" borderId="0" xfId="24" applyNumberFormat="1" applyFont="1" applyFill="1" applyAlignment="1">
      <alignment horizontal="center"/>
    </xf>
    <xf numFmtId="41" fontId="31" fillId="34" borderId="0" xfId="1" applyNumberFormat="1" applyFont="1" applyFill="1" applyBorder="1" applyAlignment="1">
      <alignment horizontal="right"/>
    </xf>
    <xf numFmtId="41" fontId="31" fillId="34" borderId="0" xfId="26" applyNumberFormat="1" applyFont="1" applyFill="1" applyBorder="1" applyAlignment="1">
      <alignment horizontal="right"/>
    </xf>
    <xf numFmtId="42" fontId="31" fillId="34" borderId="0" xfId="24" applyNumberFormat="1" applyFont="1" applyFill="1" applyBorder="1" applyAlignment="1">
      <alignment horizontal="right"/>
    </xf>
    <xf numFmtId="165" fontId="11" fillId="0" borderId="0" xfId="26" applyNumberFormat="1" applyFont="1"/>
    <xf numFmtId="9" fontId="10" fillId="0" borderId="0" xfId="23" applyFont="1"/>
    <xf numFmtId="10" fontId="10" fillId="0" borderId="0" xfId="23" applyNumberFormat="1" applyFont="1"/>
    <xf numFmtId="0" fontId="10" fillId="41" borderId="0" xfId="43" applyFill="1" applyAlignment="1"/>
    <xf numFmtId="165" fontId="10" fillId="0" borderId="41" xfId="26" applyNumberFormat="1" applyFont="1" applyBorder="1"/>
    <xf numFmtId="165" fontId="10" fillId="0" borderId="42" xfId="26" applyNumberFormat="1" applyFont="1" applyBorder="1"/>
    <xf numFmtId="165" fontId="10" fillId="0" borderId="0" xfId="18" applyNumberFormat="1" applyFont="1" applyFill="1" applyBorder="1" applyAlignment="1"/>
    <xf numFmtId="9" fontId="10" fillId="0" borderId="0" xfId="23" applyNumberFormat="1" applyFont="1" applyFill="1" applyBorder="1" applyAlignment="1">
      <alignment horizontal="center"/>
    </xf>
    <xf numFmtId="41" fontId="10" fillId="0" borderId="0" xfId="0" applyNumberFormat="1" applyFont="1" applyAlignment="1"/>
    <xf numFmtId="44" fontId="10" fillId="0" borderId="0" xfId="0" applyNumberFormat="1" applyFont="1" applyAlignment="1"/>
    <xf numFmtId="164" fontId="10" fillId="0" borderId="0" xfId="43" applyNumberFormat="1" applyAlignment="1"/>
    <xf numFmtId="165" fontId="10" fillId="0" borderId="1" xfId="1" applyNumberFormat="1" applyFont="1" applyFill="1" applyBorder="1" applyAlignment="1">
      <alignment horizontal="center"/>
    </xf>
    <xf numFmtId="165" fontId="10" fillId="0" borderId="0" xfId="1" applyNumberFormat="1" applyFont="1" applyFill="1" applyBorder="1" applyAlignment="1">
      <alignment horizontal="center"/>
    </xf>
    <xf numFmtId="0" fontId="10" fillId="0" borderId="0" xfId="50" applyFont="1" applyAlignment="1">
      <alignment horizontal="center"/>
    </xf>
    <xf numFmtId="0" fontId="10" fillId="0" borderId="0" xfId="0" applyFont="1" applyAlignment="1">
      <alignment horizontal="center"/>
    </xf>
    <xf numFmtId="0" fontId="10" fillId="0" borderId="0" xfId="58" applyFont="1" applyAlignment="1">
      <alignment horizontal="center"/>
    </xf>
    <xf numFmtId="0" fontId="10" fillId="0" borderId="0" xfId="43" applyAlignment="1">
      <alignment horizontal="center" wrapText="1"/>
    </xf>
    <xf numFmtId="164" fontId="11" fillId="0" borderId="1" xfId="24" applyNumberFormat="1" applyFont="1" applyFill="1" applyBorder="1" applyAlignment="1">
      <alignment horizontal="center"/>
    </xf>
    <xf numFmtId="0" fontId="11" fillId="0" borderId="1" xfId="43" applyFont="1" applyBorder="1" applyAlignment="1">
      <alignment horizontal="center"/>
    </xf>
    <xf numFmtId="0" fontId="67" fillId="37" borderId="40" xfId="0" applyFont="1" applyFill="1" applyBorder="1" applyAlignment="1">
      <alignment horizontal="center"/>
    </xf>
    <xf numFmtId="0" fontId="67" fillId="37" borderId="0" xfId="0" applyFont="1" applyFill="1" applyBorder="1" applyAlignment="1">
      <alignment horizontal="center"/>
    </xf>
    <xf numFmtId="0" fontId="68" fillId="37" borderId="40" xfId="0" applyFont="1" applyFill="1" applyBorder="1" applyAlignment="1">
      <alignment horizontal="center"/>
    </xf>
    <xf numFmtId="0" fontId="68" fillId="37" borderId="0" xfId="0" applyFont="1" applyFill="1" applyBorder="1" applyAlignment="1">
      <alignment horizontal="center"/>
    </xf>
    <xf numFmtId="0" fontId="0" fillId="0" borderId="0" xfId="0" applyAlignment="1">
      <alignment horizontal="center"/>
    </xf>
  </cellXfs>
  <cellStyles count="111">
    <cellStyle name="20% - Accent2" xfId="12" builtinId="34"/>
    <cellStyle name="20% - Accent3" xfId="8" builtinId="38"/>
    <cellStyle name="20% - Accent4" xfId="4" builtinId="42"/>
    <cellStyle name="20% - Accent6" xfId="27" builtinId="50"/>
    <cellStyle name="40% - Accent1" xfId="15" builtinId="31"/>
    <cellStyle name="40% - Accent2" xfId="11" builtinId="35"/>
    <cellStyle name="40% - Accent3" xfId="7" builtinId="39"/>
    <cellStyle name="40% - Accent4" xfId="3" builtinId="43"/>
    <cellStyle name="40% - Accent4 2" xfId="51" xr:uid="{00000000-0005-0000-0000-000008000000}"/>
    <cellStyle name="40% - Accent5" xfId="2" builtinId="47"/>
    <cellStyle name="40% - Accent5 2" xfId="45" xr:uid="{00000000-0005-0000-0000-00000A000000}"/>
    <cellStyle name="40% - Accent5 2 2" xfId="47" xr:uid="{00000000-0005-0000-0000-00000B000000}"/>
    <cellStyle name="40% - Accent5 2 3" xfId="68" xr:uid="{00000000-0005-0000-0000-00000C000000}"/>
    <cellStyle name="60% - Accent1" xfId="14" builtinId="32"/>
    <cellStyle name="60% - Accent2" xfId="10" builtinId="36"/>
    <cellStyle name="60% - Accent3" xfId="6" builtinId="40"/>
    <cellStyle name="60% - Accent5" xfId="30" builtinId="48"/>
    <cellStyle name="Accent1" xfId="16" builtinId="29"/>
    <cellStyle name="Accent2" xfId="13" builtinId="33"/>
    <cellStyle name="Accent3" xfId="9" builtinId="37"/>
    <cellStyle name="Accent4" xfId="5" builtinId="41"/>
    <cellStyle name="Accent5" xfId="28" builtinId="45"/>
    <cellStyle name="Accent6" xfId="1" builtinId="49"/>
    <cellStyle name="Accent6 2" xfId="61" xr:uid="{00000000-0005-0000-0000-000017000000}"/>
    <cellStyle name="Comma" xfId="26" builtinId="3"/>
    <cellStyle name="Comma [0]" xfId="25" builtinId="6"/>
    <cellStyle name="Comma [0] 2" xfId="44" xr:uid="{00000000-0005-0000-0000-00001A000000}"/>
    <cellStyle name="Comma 10" xfId="81" xr:uid="{00000000-0005-0000-0000-00001B000000}"/>
    <cellStyle name="Comma 11" xfId="83" xr:uid="{00000000-0005-0000-0000-00001C000000}"/>
    <cellStyle name="Comma 12" xfId="82" xr:uid="{00000000-0005-0000-0000-00001D000000}"/>
    <cellStyle name="Comma 13" xfId="84" xr:uid="{00000000-0005-0000-0000-00001E000000}"/>
    <cellStyle name="Comma 13 2" xfId="59" xr:uid="{00000000-0005-0000-0000-00001F000000}"/>
    <cellStyle name="Comma 14" xfId="85" xr:uid="{00000000-0005-0000-0000-000020000000}"/>
    <cellStyle name="Comma 14 2" xfId="60" xr:uid="{00000000-0005-0000-0000-000021000000}"/>
    <cellStyle name="Comma 15" xfId="86" xr:uid="{00000000-0005-0000-0000-000022000000}"/>
    <cellStyle name="Comma 150" xfId="57" xr:uid="{00000000-0005-0000-0000-000023000000}"/>
    <cellStyle name="Comma 16" xfId="87" xr:uid="{00000000-0005-0000-0000-000024000000}"/>
    <cellStyle name="Comma 17" xfId="88" xr:uid="{00000000-0005-0000-0000-000025000000}"/>
    <cellStyle name="Comma 18" xfId="89" xr:uid="{00000000-0005-0000-0000-000026000000}"/>
    <cellStyle name="Comma 19" xfId="90" xr:uid="{00000000-0005-0000-0000-000027000000}"/>
    <cellStyle name="Comma 2" xfId="69" xr:uid="{00000000-0005-0000-0000-000028000000}"/>
    <cellStyle name="Comma 2 2" xfId="65" xr:uid="{00000000-0005-0000-0000-000029000000}"/>
    <cellStyle name="Comma 2 3" xfId="103" xr:uid="{AB654498-F926-479F-87BF-0A7026461322}"/>
    <cellStyle name="Comma 20" xfId="91" xr:uid="{00000000-0005-0000-0000-00002A000000}"/>
    <cellStyle name="Comma 21" xfId="92" xr:uid="{00000000-0005-0000-0000-00002B000000}"/>
    <cellStyle name="Comma 22" xfId="93" xr:uid="{00000000-0005-0000-0000-00002C000000}"/>
    <cellStyle name="Comma 23" xfId="94" xr:uid="{00000000-0005-0000-0000-00002D000000}"/>
    <cellStyle name="Comma 24" xfId="96" xr:uid="{00000000-0005-0000-0000-00002E000000}"/>
    <cellStyle name="Comma 25" xfId="97" xr:uid="{00000000-0005-0000-0000-00002F000000}"/>
    <cellStyle name="Comma 26" xfId="98" xr:uid="{00000000-0005-0000-0000-000030000000}"/>
    <cellStyle name="Comma 27" xfId="106" xr:uid="{B743DEA0-17EA-4E50-A9FB-5C785D29C8F9}"/>
    <cellStyle name="Comma 28" xfId="109" xr:uid="{8866C6CC-EAC4-45A2-85D9-50BC7B714D27}"/>
    <cellStyle name="Comma 3" xfId="66" xr:uid="{00000000-0005-0000-0000-000031000000}"/>
    <cellStyle name="Comma 4" xfId="73" xr:uid="{00000000-0005-0000-0000-000032000000}"/>
    <cellStyle name="Comma 5" xfId="76" xr:uid="{00000000-0005-0000-0000-000033000000}"/>
    <cellStyle name="Comma 6" xfId="77" xr:uid="{00000000-0005-0000-0000-000034000000}"/>
    <cellStyle name="Comma 7" xfId="78" xr:uid="{00000000-0005-0000-0000-000035000000}"/>
    <cellStyle name="Comma 8" xfId="79" xr:uid="{00000000-0005-0000-0000-000036000000}"/>
    <cellStyle name="Comma 9" xfId="80" xr:uid="{00000000-0005-0000-0000-000037000000}"/>
    <cellStyle name="Currency" xfId="24" builtinId="4"/>
    <cellStyle name="Currency [0]" xfId="31" builtinId="7"/>
    <cellStyle name="Currency [0] 2" xfId="46" xr:uid="{00000000-0005-0000-0000-00003A000000}"/>
    <cellStyle name="Currency 2" xfId="32" xr:uid="{00000000-0005-0000-0000-00003B000000}"/>
    <cellStyle name="Currency 2 2" xfId="62" xr:uid="{00000000-0005-0000-0000-00003C000000}"/>
    <cellStyle name="Currency 3" xfId="49" xr:uid="{00000000-0005-0000-0000-00003D000000}"/>
    <cellStyle name="Currency 4" xfId="107" xr:uid="{2BCDBDF3-A70A-43E7-A9ED-84240882D1A4}"/>
    <cellStyle name="Explanatory Text" xfId="18" builtinId="53"/>
    <cellStyle name="Explanatory Text 2" xfId="70" xr:uid="{00000000-0005-0000-0000-00003F000000}"/>
    <cellStyle name="Good" xfId="20" builtinId="26"/>
    <cellStyle name="Heading 2 2" xfId="64" xr:uid="{00000000-0005-0000-0000-000041000000}"/>
    <cellStyle name="Heading 3" xfId="22" builtinId="18"/>
    <cellStyle name="Heading 4" xfId="21" builtinId="19"/>
    <cellStyle name="Normal" xfId="0" builtinId="0"/>
    <cellStyle name="Normal 10" xfId="55" xr:uid="{00000000-0005-0000-0000-000045000000}"/>
    <cellStyle name="Normal 2" xfId="43" xr:uid="{00000000-0005-0000-0000-000046000000}"/>
    <cellStyle name="Normal 2 2" xfId="74" xr:uid="{00000000-0005-0000-0000-000047000000}"/>
    <cellStyle name="Normal 2 3" xfId="75" xr:uid="{00000000-0005-0000-0000-000048000000}"/>
    <cellStyle name="Normal 2 3 2" xfId="100" xr:uid="{4B8BE5C7-ED1A-485E-A3BC-619EB52926B7}"/>
    <cellStyle name="Normal 2 4" xfId="53" xr:uid="{00000000-0005-0000-0000-000049000000}"/>
    <cellStyle name="Normal 276" xfId="52" xr:uid="{00000000-0005-0000-0000-00004A000000}"/>
    <cellStyle name="Normal 3" xfId="72" xr:uid="{00000000-0005-0000-0000-00004B000000}"/>
    <cellStyle name="Normal 3 4" xfId="58" xr:uid="{00000000-0005-0000-0000-00004C000000}"/>
    <cellStyle name="Normal 34" xfId="34" xr:uid="{00000000-0005-0000-0000-00004D000000}"/>
    <cellStyle name="Normal 4" xfId="50" xr:uid="{00000000-0005-0000-0000-00004E000000}"/>
    <cellStyle name="Normal 4 2" xfId="39" xr:uid="{00000000-0005-0000-0000-00004F000000}"/>
    <cellStyle name="Normal 42" xfId="37" xr:uid="{00000000-0005-0000-0000-000050000000}"/>
    <cellStyle name="Normal 5" xfId="95" xr:uid="{00000000-0005-0000-0000-000051000000}"/>
    <cellStyle name="Normal 51" xfId="38" xr:uid="{00000000-0005-0000-0000-000052000000}"/>
    <cellStyle name="Normal 6" xfId="101" xr:uid="{C2AD3982-CC4C-4D31-8FA6-ED87F566D653}"/>
    <cellStyle name="Normal 7" xfId="105" xr:uid="{EF297D9D-B2F0-40E8-BCDC-925FCFF1ADD1}"/>
    <cellStyle name="Normal 8" xfId="108" xr:uid="{FC3D24EC-B10B-44DC-8AAA-9EF72AF2A449}"/>
    <cellStyle name="Normal_COS Exercise 6 with answers" xfId="36" xr:uid="{00000000-0005-0000-0000-000053000000}"/>
    <cellStyle name="Normal_Purchased Power 2005" xfId="40" xr:uid="{00000000-0005-0000-0000-000054000000}"/>
    <cellStyle name="Normal_Rate Case Stmt - Joy" xfId="33" xr:uid="{00000000-0005-0000-0000-000055000000}"/>
    <cellStyle name="Normal_Sched D-1C" xfId="71" xr:uid="{00000000-0005-0000-0000-000056000000}"/>
    <cellStyle name="Normal_Sched H-18 " xfId="42" xr:uid="{00000000-0005-0000-0000-000057000000}"/>
    <cellStyle name="Normal_Sched H-XX" xfId="41" xr:uid="{00000000-0005-0000-0000-000058000000}"/>
    <cellStyle name="Normal_Schedules - Curt" xfId="35" xr:uid="{00000000-0005-0000-0000-000059000000}"/>
    <cellStyle name="Normal_Sheet1" xfId="54" xr:uid="{00000000-0005-0000-0000-00005A000000}"/>
    <cellStyle name="Output" xfId="29" builtinId="21"/>
    <cellStyle name="Percent" xfId="23" builtinId="5"/>
    <cellStyle name="Percent 2" xfId="48" xr:uid="{00000000-0005-0000-0000-00005D000000}"/>
    <cellStyle name="Percent 2 2" xfId="102" xr:uid="{C41696E4-3545-46CC-B35D-BE95D8A7A7FC}"/>
    <cellStyle name="Percent 2 3" xfId="104" xr:uid="{B0226178-42C7-45B6-9B4B-99E1879C4FE9}"/>
    <cellStyle name="Percent 3" xfId="99" xr:uid="{694564D8-CB1D-4667-B7DE-919F38B3B7FE}"/>
    <cellStyle name="Percent 4" xfId="110" xr:uid="{FEFFE84F-B79A-4658-B1F9-9CADE5199295}"/>
    <cellStyle name="Style 1 6" xfId="56" xr:uid="{00000000-0005-0000-0000-00005E000000}"/>
    <cellStyle name="Total" xfId="17" builtinId="25"/>
    <cellStyle name="Total 2" xfId="63" xr:uid="{00000000-0005-0000-0000-000060000000}"/>
    <cellStyle name="Warning Text" xfId="19" builtinId="11"/>
    <cellStyle name="Warning Text 2" xfId="67" xr:uid="{00000000-0005-0000-0000-000062000000}"/>
  </cellStyles>
  <dxfs count="2">
    <dxf>
      <font>
        <b/>
        <i val="0"/>
        <condense val="0"/>
        <extend val="0"/>
        <color indexed="10"/>
      </font>
    </dxf>
    <dxf>
      <font>
        <b/>
        <i val="0"/>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color rgb="FFCC99FF"/>
      <color rgb="FFFFFF99"/>
      <color rgb="FFFF66CC"/>
      <color rgb="FF0000FF"/>
      <color rgb="FFFF9797"/>
      <color rgb="FFCC00FF"/>
      <color rgb="FFFFFFCC"/>
      <color rgb="FF00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6.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6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morriso\Local%20Settings\Temporary%20Internet%20Files\OLK22F\Projects\BHCRates\PSCModels\2005.04.14\Clean\CAS%20Electric%20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EXCEL\LINDA\LIA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orriso\Local%20Settings\Temporary%20Internet%20Files\OLK22F\BHP\2005\Rate%20Case\BHP%20Cost%20of%20Service%20Model%20(Excel)%203.07.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morriso\Local%20Settings\Temporary%20Internet%20Files\OLK22F\DOCUME~1\bkrauter\LOCALS~1\Temp\notes6030C8\~04851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kmorriso\Local%20Settings\Temporary%20Internet%20Files\OLK22F\Documents%20and%20Settings\ckilpatr\My%20Documents\Rate%20Class%20Info\COS%20Exercise%206%20with%20answe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HSC\Accounting\BHP\BHP%20-%20Journal%20Entries\2010\05_2010\PJ%2088_ES%20Bal%20Rcls_May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3.63"/>
      <sheetName val="ENRON"/>
      <sheetName val="PNG PREMIUM"/>
      <sheetName val="NMU PREMIUM"/>
      <sheetName val="228.13"/>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Stmt A pg1"/>
      <sheetName val="Stmt A pg2"/>
      <sheetName val="Stmt A-1"/>
      <sheetName val="Sched A"/>
      <sheetName val="Stmt B"/>
      <sheetName val="Stmt B-1"/>
      <sheetName val="Sched B"/>
      <sheetName val="Stmt C"/>
      <sheetName val="Stmt D"/>
      <sheetName val="Stmt D-1"/>
      <sheetName val="Sched D-1"/>
      <sheetName val="Sched D-2"/>
      <sheetName val="Sched D-3"/>
      <sheetName val="Sched D-4"/>
      <sheetName val="Sched D-5"/>
      <sheetName val="Sched D-6"/>
      <sheetName val="Stmt E"/>
      <sheetName val="Stmt E-1"/>
      <sheetName val="Sched E-1"/>
      <sheetName val="Sched E-2"/>
      <sheetName val="Stmt F"/>
      <sheetName val="Sched F-1"/>
      <sheetName val="Sched F-2"/>
      <sheetName val="Sched F-3"/>
      <sheetName val="Sched F-4"/>
      <sheetName val="Sched F-5"/>
      <sheetName val="Stmt G"/>
      <sheetName val="Sched G-1"/>
      <sheetName val="Sched G-2"/>
      <sheetName val="Sched G-3"/>
      <sheetName val="Stmt H"/>
      <sheetName val="Sched H-1"/>
      <sheetName val="Sched H-2"/>
      <sheetName val="Sched H-3"/>
      <sheetName val="Sched H-4"/>
      <sheetName val="Sched H-5"/>
      <sheetName val="Sched H-6"/>
      <sheetName val="Sched H-7"/>
      <sheetName val="Sched H-8"/>
      <sheetName val="Sched H-9"/>
      <sheetName val="Sched H-10"/>
      <sheetName val="Sched H-10A"/>
      <sheetName val="Sched H-11 pg 1"/>
      <sheetName val="Sched H-11 pg 2"/>
      <sheetName val="Sched H-12"/>
      <sheetName val="Sched H-13"/>
      <sheetName val="Sched H-14"/>
      <sheetName val="Stmt I"/>
      <sheetName val="Stmt I-1"/>
      <sheetName val="Sched I-1"/>
      <sheetName val="Sched I-2"/>
      <sheetName val="Stmt J"/>
      <sheetName val="Stmt K"/>
      <sheetName val="Stmt K-1"/>
      <sheetName val="Stmt K-2"/>
      <sheetName val="Sched K"/>
      <sheetName val="Stmt L"/>
      <sheetName val="Sched L"/>
      <sheetName val="Stmt M"/>
      <sheetName val="Sched M"/>
      <sheetName val="Stmt N"/>
      <sheetName val="Stmt O"/>
      <sheetName val="Stmt P"/>
      <sheetName val="Stmt P-1"/>
      <sheetName val="Stmt Q"/>
      <sheetName val="Stmt R"/>
      <sheetName val="WP"/>
      <sheetName val="+F68Stmt A pg1"/>
    </sheetNames>
    <sheetDataSet>
      <sheetData sheetId="0"/>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10"/>
      <sheetName val="0210"/>
      <sheetName val="0310"/>
      <sheetName val="0410"/>
      <sheetName val="05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59B34-6142-4806-9DDB-7D57DB4A1C7F}">
  <dimension ref="A1:D18"/>
  <sheetViews>
    <sheetView workbookViewId="0"/>
  </sheetViews>
  <sheetFormatPr defaultColWidth="9.33203125" defaultRowHeight="15.75"/>
  <cols>
    <col min="1" max="1" width="14.6640625" style="1179" bestFit="1" customWidth="1"/>
    <col min="2" max="2" width="2.6640625" style="1179" customWidth="1"/>
    <col min="3" max="3" width="45" style="1179" bestFit="1" customWidth="1"/>
    <col min="4" max="4" width="9.33203125" style="1179"/>
    <col min="5" max="16384" width="9.33203125" style="62"/>
  </cols>
  <sheetData>
    <row r="1" spans="1:3">
      <c r="A1" s="69" t="str">
        <f>Company</f>
        <v>BLACK HILLS NEBRASKA GAS, LLC</v>
      </c>
    </row>
    <row r="2" spans="1:3">
      <c r="A2" s="69" t="s">
        <v>1110</v>
      </c>
    </row>
    <row r="5" spans="1:3">
      <c r="A5" s="1179" t="s">
        <v>361</v>
      </c>
      <c r="B5" s="1179" t="s">
        <v>1111</v>
      </c>
      <c r="C5" s="1179" t="s">
        <v>1112</v>
      </c>
    </row>
    <row r="6" spans="1:3">
      <c r="A6" s="1179" t="s">
        <v>362</v>
      </c>
      <c r="B6" s="1179" t="s">
        <v>1111</v>
      </c>
      <c r="C6" s="1179" t="s">
        <v>1113</v>
      </c>
    </row>
    <row r="7" spans="1:3">
      <c r="A7" s="1179" t="s">
        <v>363</v>
      </c>
      <c r="B7" s="1179" t="s">
        <v>1111</v>
      </c>
      <c r="C7" s="1179" t="s">
        <v>1114</v>
      </c>
    </row>
    <row r="8" spans="1:3">
      <c r="A8" s="1179" t="s">
        <v>364</v>
      </c>
      <c r="B8" s="1179" t="s">
        <v>1111</v>
      </c>
      <c r="C8" s="1179" t="s">
        <v>254</v>
      </c>
    </row>
    <row r="9" spans="1:3">
      <c r="A9" s="1179" t="s">
        <v>823</v>
      </c>
      <c r="B9" s="1179" t="s">
        <v>1111</v>
      </c>
      <c r="C9" s="1179" t="s">
        <v>1115</v>
      </c>
    </row>
    <row r="10" spans="1:3">
      <c r="A10" s="1179" t="s">
        <v>824</v>
      </c>
      <c r="B10" s="1179" t="s">
        <v>1111</v>
      </c>
      <c r="C10" s="1179" t="s">
        <v>256</v>
      </c>
    </row>
    <row r="11" spans="1:3">
      <c r="A11" s="1179" t="s">
        <v>802</v>
      </c>
      <c r="C11" s="1179" t="s">
        <v>878</v>
      </c>
    </row>
    <row r="12" spans="1:3">
      <c r="A12" s="1179" t="s">
        <v>394</v>
      </c>
      <c r="C12" s="1179" t="s">
        <v>1116</v>
      </c>
    </row>
    <row r="13" spans="1:3">
      <c r="A13" s="1179" t="s">
        <v>401</v>
      </c>
      <c r="C13" s="1179" t="s">
        <v>315</v>
      </c>
    </row>
    <row r="14" spans="1:3">
      <c r="A14" s="1179" t="s">
        <v>400</v>
      </c>
      <c r="C14" s="1179" t="s">
        <v>30</v>
      </c>
    </row>
    <row r="15" spans="1:3">
      <c r="A15" s="1179" t="s">
        <v>399</v>
      </c>
      <c r="C15" s="1179" t="s">
        <v>1117</v>
      </c>
    </row>
    <row r="16" spans="1:3">
      <c r="A16" s="1179" t="s">
        <v>801</v>
      </c>
      <c r="C16" s="1179" t="s">
        <v>257</v>
      </c>
    </row>
    <row r="17" spans="1:3">
      <c r="A17" s="1179" t="s">
        <v>398</v>
      </c>
      <c r="C17" s="1179" t="s">
        <v>1118</v>
      </c>
    </row>
    <row r="18" spans="1:3">
      <c r="A18" s="1179" t="s">
        <v>479</v>
      </c>
      <c r="C18" s="1179" t="s">
        <v>1119</v>
      </c>
    </row>
  </sheetData>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93526-5B54-4B7D-9A82-E085EED54A53}">
  <sheetPr>
    <pageSetUpPr fitToPage="1"/>
  </sheetPr>
  <dimension ref="A1:O89"/>
  <sheetViews>
    <sheetView topLeftCell="A43" workbookViewId="0"/>
  </sheetViews>
  <sheetFormatPr defaultRowHeight="12.75"/>
  <cols>
    <col min="1" max="1" width="6.83203125" customWidth="1"/>
    <col min="2" max="2" width="8.1640625" style="1033" customWidth="1"/>
    <col min="3" max="3" width="93.6640625" customWidth="1"/>
    <col min="4" max="4" width="1.1640625" customWidth="1"/>
    <col min="5" max="5" width="13.6640625" customWidth="1"/>
    <col min="8" max="8" width="3.1640625" customWidth="1"/>
    <col min="9" max="10" width="18.83203125" customWidth="1"/>
    <col min="11" max="11" width="21.6640625" customWidth="1"/>
    <col min="14" max="14" width="3.83203125" customWidth="1"/>
  </cols>
  <sheetData>
    <row r="1" spans="1:11">
      <c r="A1" s="69" t="str">
        <f>Company</f>
        <v>BLACK HILLS NEBRASKA GAS, LLC</v>
      </c>
      <c r="E1" s="615" t="s">
        <v>1324</v>
      </c>
      <c r="I1" s="62"/>
    </row>
    <row r="2" spans="1:11">
      <c r="A2" s="74" t="s">
        <v>1270</v>
      </c>
      <c r="E2" s="72" t="str">
        <f>Attach</f>
        <v>FINAL - BH January 15, 2021 Rev. Req. Model</v>
      </c>
    </row>
    <row r="3" spans="1:11">
      <c r="A3" s="70" t="str">
        <f>TYEnded</f>
        <v>FOR THE TEST YEAR ENDING DECEMBER 31, 2020</v>
      </c>
      <c r="E3" s="84" t="s">
        <v>1040</v>
      </c>
    </row>
    <row r="4" spans="1:11">
      <c r="E4" s="1209"/>
    </row>
    <row r="6" spans="1:11" ht="15">
      <c r="A6" s="1041" t="s">
        <v>365</v>
      </c>
      <c r="B6" s="1041" t="s">
        <v>241</v>
      </c>
      <c r="C6" s="1041"/>
      <c r="D6" s="1042"/>
      <c r="E6" s="1043"/>
      <c r="H6" s="82">
        <f>1+H5</f>
        <v>1</v>
      </c>
      <c r="I6" s="86" t="str">
        <f>References!$C$17</f>
        <v>Exhibit No. MCC-2 NEG</v>
      </c>
      <c r="J6" s="86" t="str">
        <f>References!$D$17</f>
        <v>Exhibit No. MCC-2 NEGD</v>
      </c>
      <c r="K6" s="86" t="str">
        <f>References!$E$17</f>
        <v>FINAL - BH January 15, 2021 Rev. Req. Model</v>
      </c>
    </row>
    <row r="7" spans="1:11" ht="15">
      <c r="A7" s="1044" t="s">
        <v>195</v>
      </c>
      <c r="B7" s="1044" t="s">
        <v>515</v>
      </c>
      <c r="C7" s="759" t="s">
        <v>715</v>
      </c>
      <c r="D7" s="1042"/>
      <c r="E7" s="1045" t="s">
        <v>286</v>
      </c>
      <c r="H7" s="82">
        <f t="shared" ref="H7:H47" si="0">1+H6</f>
        <v>2</v>
      </c>
      <c r="I7" s="82" t="str">
        <f>References!$C$18</f>
        <v>NEG</v>
      </c>
      <c r="J7" s="82" t="str">
        <f>References!$D$18</f>
        <v>NEGD</v>
      </c>
      <c r="K7" s="82" t="str">
        <f>References!$E$18</f>
        <v>Tot Co</v>
      </c>
    </row>
    <row r="8" spans="1:11">
      <c r="H8" s="82">
        <f t="shared" si="0"/>
        <v>3</v>
      </c>
    </row>
    <row r="9" spans="1:11">
      <c r="A9" s="1046">
        <v>1</v>
      </c>
      <c r="H9" s="82">
        <f t="shared" si="0"/>
        <v>4</v>
      </c>
    </row>
    <row r="10" spans="1:11">
      <c r="A10" s="1046">
        <f t="shared" ref="A10:A50" si="1">1+A9</f>
        <v>2</v>
      </c>
      <c r="C10" s="732" t="str">
        <f>'Sched D-1'!C10</f>
        <v>INTANGIBLE PLANT</v>
      </c>
      <c r="H10" s="82">
        <f t="shared" si="0"/>
        <v>5</v>
      </c>
    </row>
    <row r="11" spans="1:11">
      <c r="A11" s="1046">
        <f t="shared" si="1"/>
        <v>3</v>
      </c>
      <c r="B11" s="1033">
        <f>'Sched D-1'!B11</f>
        <v>301</v>
      </c>
      <c r="C11" s="731" t="str">
        <f>'Sched D-1'!C11</f>
        <v>Intangibles Organization</v>
      </c>
      <c r="E11" s="1029">
        <f>HLOOKUP(Attach,$I$6:$K$77,H11,FALSE)</f>
        <v>0</v>
      </c>
      <c r="H11" s="82">
        <f t="shared" si="0"/>
        <v>6</v>
      </c>
      <c r="I11" s="940">
        <v>0</v>
      </c>
      <c r="J11" s="940">
        <v>0</v>
      </c>
      <c r="K11" s="937">
        <f>I11+J11</f>
        <v>0</v>
      </c>
    </row>
    <row r="12" spans="1:11">
      <c r="A12" s="1046">
        <f t="shared" si="1"/>
        <v>4</v>
      </c>
      <c r="B12" s="1250">
        <f>'Sched D-1'!B12</f>
        <v>302</v>
      </c>
      <c r="C12" s="731" t="str">
        <f>'Sched D-1'!C12</f>
        <v>Intangibles Franchises &amp; Consents</v>
      </c>
      <c r="E12" s="680">
        <f>HLOOKUP(Attach,$I$6:$K$77,H12,FALSE)</f>
        <v>0</v>
      </c>
      <c r="H12" s="82">
        <f t="shared" si="0"/>
        <v>7</v>
      </c>
      <c r="I12" s="940">
        <v>0</v>
      </c>
      <c r="J12" s="940">
        <v>0</v>
      </c>
      <c r="K12" s="937">
        <f t="shared" ref="K12:K15" si="2">I12+J12</f>
        <v>0</v>
      </c>
    </row>
    <row r="13" spans="1:11">
      <c r="A13" s="1046">
        <f t="shared" si="1"/>
        <v>5</v>
      </c>
      <c r="B13" s="1250">
        <f>'Sched D-1'!B13</f>
        <v>303</v>
      </c>
      <c r="C13" s="731" t="str">
        <f>'Sched D-1'!C13</f>
        <v>Intangibles Miscellaneous</v>
      </c>
      <c r="E13" s="680">
        <f>HLOOKUP(Attach,$I$6:$K$77,H13,FALSE)</f>
        <v>0</v>
      </c>
      <c r="H13" s="82">
        <f t="shared" si="0"/>
        <v>8</v>
      </c>
      <c r="I13" s="940">
        <v>0</v>
      </c>
      <c r="J13" s="940">
        <v>0</v>
      </c>
      <c r="K13" s="937">
        <f t="shared" si="2"/>
        <v>0</v>
      </c>
    </row>
    <row r="14" spans="1:11">
      <c r="A14" s="1046">
        <f t="shared" si="1"/>
        <v>6</v>
      </c>
      <c r="B14" s="1250">
        <f>'Sched D-1'!B14</f>
        <v>303.01</v>
      </c>
      <c r="C14" s="731" t="str">
        <f>'Sched D-1'!C14</f>
        <v>Intangibles Miscellaneous - Easements</v>
      </c>
      <c r="E14" s="733">
        <f>HLOOKUP(Attach,$I$6:$K$77,H14,FALSE)</f>
        <v>0</v>
      </c>
      <c r="H14" s="82">
        <f t="shared" si="0"/>
        <v>9</v>
      </c>
      <c r="I14" s="941">
        <v>0</v>
      </c>
      <c r="J14" s="941">
        <v>0</v>
      </c>
      <c r="K14" s="946">
        <f t="shared" si="2"/>
        <v>0</v>
      </c>
    </row>
    <row r="15" spans="1:11">
      <c r="A15" s="1046">
        <f t="shared" si="1"/>
        <v>7</v>
      </c>
      <c r="C15" s="78" t="str">
        <f>'Sched D-1'!C15</f>
        <v>Total Intangible Plant</v>
      </c>
      <c r="E15" s="1029">
        <f>SUM(E11:E14)</f>
        <v>0</v>
      </c>
      <c r="H15" s="82">
        <f t="shared" si="0"/>
        <v>10</v>
      </c>
      <c r="I15" s="937">
        <f>SUM(I11:I14)</f>
        <v>0</v>
      </c>
      <c r="J15" s="937">
        <f>SUM(J11:J14)</f>
        <v>0</v>
      </c>
      <c r="K15" s="937">
        <f t="shared" si="2"/>
        <v>0</v>
      </c>
    </row>
    <row r="16" spans="1:11">
      <c r="A16" s="1046">
        <f t="shared" si="1"/>
        <v>8</v>
      </c>
      <c r="C16" s="62"/>
      <c r="E16" s="680"/>
      <c r="H16" s="82">
        <f t="shared" si="0"/>
        <v>11</v>
      </c>
    </row>
    <row r="17" spans="1:11">
      <c r="A17" s="1046">
        <f t="shared" si="1"/>
        <v>9</v>
      </c>
      <c r="C17" s="732" t="str">
        <f>'Sched D-1'!C17</f>
        <v>TRANSMISSION PLANT</v>
      </c>
      <c r="E17" s="680"/>
      <c r="H17" s="82">
        <f t="shared" si="0"/>
        <v>12</v>
      </c>
    </row>
    <row r="18" spans="1:11">
      <c r="A18" s="1046">
        <f t="shared" si="1"/>
        <v>10</v>
      </c>
      <c r="B18" s="1033">
        <f>'Sched D-1'!B18</f>
        <v>365.03</v>
      </c>
      <c r="C18" s="62" t="str">
        <f>'Sched D-1'!C18</f>
        <v xml:space="preserve">Right-of-Way </v>
      </c>
      <c r="E18" s="1029">
        <f>HLOOKUP(Attach,$I$6:$K$77,H18,FALSE)</f>
        <v>0</v>
      </c>
      <c r="H18" s="82">
        <f t="shared" si="0"/>
        <v>13</v>
      </c>
      <c r="I18" s="973">
        <v>0</v>
      </c>
      <c r="J18" s="973">
        <v>0</v>
      </c>
      <c r="K18" s="937">
        <f t="shared" ref="K18:K21" si="3">I18+J18</f>
        <v>0</v>
      </c>
    </row>
    <row r="19" spans="1:11">
      <c r="A19" s="1046">
        <f t="shared" si="1"/>
        <v>11</v>
      </c>
      <c r="B19" s="1250">
        <f>'Sched D-1'!B19</f>
        <v>366.01</v>
      </c>
      <c r="C19" s="62" t="str">
        <f>'Sched D-1'!C19</f>
        <v>Structures and Improvements</v>
      </c>
      <c r="E19" s="680">
        <f>HLOOKUP(Attach,$I$6:$K$77,H19,FALSE)</f>
        <v>0</v>
      </c>
      <c r="H19" s="82">
        <f t="shared" si="0"/>
        <v>14</v>
      </c>
      <c r="I19" s="973">
        <v>0</v>
      </c>
      <c r="J19" s="973">
        <v>0</v>
      </c>
      <c r="K19" s="937">
        <f t="shared" si="3"/>
        <v>0</v>
      </c>
    </row>
    <row r="20" spans="1:11">
      <c r="A20" s="1046">
        <f t="shared" si="1"/>
        <v>12</v>
      </c>
      <c r="B20" s="1250">
        <f>'Sched D-1'!B20</f>
        <v>367</v>
      </c>
      <c r="C20" s="62" t="str">
        <f>'Sched D-1'!C20</f>
        <v xml:space="preserve">Transmission Plant - Mains </v>
      </c>
      <c r="E20" s="680">
        <f>HLOOKUP(Attach,$I$6:$K$77,H20,FALSE)</f>
        <v>0</v>
      </c>
      <c r="H20" s="82">
        <f t="shared" si="0"/>
        <v>15</v>
      </c>
      <c r="I20" s="973">
        <v>0</v>
      </c>
      <c r="J20" s="973">
        <v>0</v>
      </c>
      <c r="K20" s="937">
        <f t="shared" si="3"/>
        <v>0</v>
      </c>
    </row>
    <row r="21" spans="1:11">
      <c r="A21" s="1046">
        <f t="shared" si="1"/>
        <v>13</v>
      </c>
      <c r="B21" s="1250">
        <f>'Sched D-1'!B21</f>
        <v>369.03</v>
      </c>
      <c r="C21" s="62" t="str">
        <f>'Sched D-1'!C21</f>
        <v xml:space="preserve">Transmission Plant - Meas. &amp; Reg. Sta. Equip. </v>
      </c>
      <c r="E21" s="733">
        <f>HLOOKUP(Attach,$I$6:$K$77,H21,FALSE)</f>
        <v>0</v>
      </c>
      <c r="H21" s="82">
        <f t="shared" si="0"/>
        <v>16</v>
      </c>
      <c r="I21" s="973">
        <v>0</v>
      </c>
      <c r="J21" s="973">
        <v>0</v>
      </c>
      <c r="K21" s="946">
        <f t="shared" si="3"/>
        <v>0</v>
      </c>
    </row>
    <row r="22" spans="1:11">
      <c r="A22" s="1046">
        <f t="shared" si="1"/>
        <v>14</v>
      </c>
      <c r="C22" s="78" t="str">
        <f>'Sched D-1'!C22</f>
        <v>Total Transmission Plant</v>
      </c>
      <c r="E22" s="1029">
        <f>SUM(E18:E21)</f>
        <v>0</v>
      </c>
      <c r="H22" s="82">
        <f t="shared" si="0"/>
        <v>17</v>
      </c>
      <c r="I22" s="950">
        <f>ROUND(SUM(I18:I21),0)</f>
        <v>0</v>
      </c>
      <c r="J22" s="950">
        <f>ROUND(SUM(J18:J21),0)</f>
        <v>0</v>
      </c>
      <c r="K22" s="937">
        <f>SUM(K18:K21)</f>
        <v>0</v>
      </c>
    </row>
    <row r="23" spans="1:11">
      <c r="A23" s="1046">
        <f t="shared" si="1"/>
        <v>15</v>
      </c>
      <c r="C23" s="62"/>
      <c r="E23" s="680"/>
      <c r="H23" s="82">
        <f t="shared" si="0"/>
        <v>18</v>
      </c>
      <c r="I23" s="82"/>
      <c r="J23" s="760"/>
      <c r="K23" s="506"/>
    </row>
    <row r="24" spans="1:11">
      <c r="A24" s="1046">
        <f t="shared" si="1"/>
        <v>16</v>
      </c>
      <c r="C24" s="732" t="str">
        <f>'Sched D-1'!C24</f>
        <v>DISTRIBUTION PLANT</v>
      </c>
      <c r="E24" s="680"/>
      <c r="H24" s="82">
        <f t="shared" si="0"/>
        <v>19</v>
      </c>
      <c r="I24" s="82"/>
      <c r="J24" s="760"/>
      <c r="K24" s="506"/>
    </row>
    <row r="25" spans="1:11">
      <c r="A25" s="1046">
        <f t="shared" si="1"/>
        <v>17</v>
      </c>
      <c r="B25" s="1033">
        <f>'Sched D-1'!B25</f>
        <v>374.01</v>
      </c>
      <c r="C25" s="62" t="str">
        <f>'Sched D-1'!C25</f>
        <v>Distribution Plant - Land</v>
      </c>
      <c r="E25" s="1029">
        <f t="shared" ref="E25:E41" si="4">HLOOKUP(Attach,$I$6:$K$77,H25,FALSE)</f>
        <v>-750374.05</v>
      </c>
      <c r="H25" s="82">
        <f t="shared" si="0"/>
        <v>20</v>
      </c>
      <c r="I25" s="973">
        <v>-103.76</v>
      </c>
      <c r="J25" s="1031">
        <v>-750270.29</v>
      </c>
      <c r="K25" s="947">
        <f t="shared" ref="K25:K41" si="5">I25+J25</f>
        <v>-750374.05</v>
      </c>
    </row>
    <row r="26" spans="1:11">
      <c r="A26" s="1046">
        <f t="shared" si="1"/>
        <v>18</v>
      </c>
      <c r="B26" s="1250">
        <f>'Sched D-1'!B26</f>
        <v>374.02</v>
      </c>
      <c r="C26" s="62" t="str">
        <f>'Sched D-1'!C26</f>
        <v>Land Rights (Non-Depreciable)</v>
      </c>
      <c r="E26" s="680">
        <f t="shared" si="4"/>
        <v>0</v>
      </c>
      <c r="H26" s="82">
        <f t="shared" si="0"/>
        <v>21</v>
      </c>
      <c r="I26" s="973"/>
      <c r="J26" s="1031"/>
      <c r="K26" s="947">
        <f t="shared" si="5"/>
        <v>0</v>
      </c>
    </row>
    <row r="27" spans="1:11">
      <c r="A27" s="1046">
        <f t="shared" si="1"/>
        <v>19</v>
      </c>
      <c r="B27" s="1250">
        <f>'Sched D-1'!B27</f>
        <v>374.03</v>
      </c>
      <c r="C27" s="62" t="str">
        <f>'Sched D-1'!C27</f>
        <v>Land Rights - Right of Way (Depreciable)</v>
      </c>
      <c r="E27" s="680">
        <f t="shared" si="4"/>
        <v>0</v>
      </c>
      <c r="H27" s="82">
        <f t="shared" si="0"/>
        <v>22</v>
      </c>
      <c r="I27" s="973"/>
      <c r="J27" s="1031"/>
      <c r="K27" s="947">
        <f t="shared" si="5"/>
        <v>0</v>
      </c>
    </row>
    <row r="28" spans="1:11">
      <c r="A28" s="1046">
        <f t="shared" si="1"/>
        <v>20</v>
      </c>
      <c r="B28" s="1250">
        <f>'Sched D-1'!B28</f>
        <v>375.01</v>
      </c>
      <c r="C28" s="62" t="str">
        <f>'Sched D-1'!C28</f>
        <v>Structures and Improvements</v>
      </c>
      <c r="E28" s="680">
        <f t="shared" si="4"/>
        <v>-2379315.2599999998</v>
      </c>
      <c r="H28" s="82">
        <f t="shared" si="0"/>
        <v>23</v>
      </c>
      <c r="I28" s="973"/>
      <c r="J28" s="1031">
        <v>-2379315.2599999998</v>
      </c>
      <c r="K28" s="947">
        <f t="shared" si="5"/>
        <v>-2379315.2599999998</v>
      </c>
    </row>
    <row r="29" spans="1:11">
      <c r="A29" s="1046">
        <f t="shared" si="1"/>
        <v>21</v>
      </c>
      <c r="B29" s="1250">
        <f>'Sched D-1'!B29</f>
        <v>375.2</v>
      </c>
      <c r="C29" s="62" t="str">
        <f>'Sched D-1'!C29</f>
        <v>Structures and Improvements - Other</v>
      </c>
      <c r="E29" s="680">
        <f t="shared" si="4"/>
        <v>0</v>
      </c>
      <c r="H29" s="82">
        <f t="shared" si="0"/>
        <v>24</v>
      </c>
      <c r="I29" s="973"/>
      <c r="J29" s="1031"/>
      <c r="K29" s="947">
        <f t="shared" si="5"/>
        <v>0</v>
      </c>
    </row>
    <row r="30" spans="1:11">
      <c r="A30" s="1046">
        <f t="shared" si="1"/>
        <v>22</v>
      </c>
      <c r="B30" s="1250">
        <f>'Sched D-1'!B30</f>
        <v>376</v>
      </c>
      <c r="C30" s="62" t="str">
        <f>'Sched D-1'!C30</f>
        <v>Distribution Plant - Mains</v>
      </c>
      <c r="E30" s="680">
        <f t="shared" si="4"/>
        <v>-747438.26</v>
      </c>
      <c r="H30" s="82">
        <f t="shared" si="0"/>
        <v>25</v>
      </c>
      <c r="I30" s="973">
        <v>-157450.23000000001</v>
      </c>
      <c r="J30" s="1031">
        <v>-589988.03</v>
      </c>
      <c r="K30" s="947">
        <f t="shared" si="5"/>
        <v>-747438.26</v>
      </c>
    </row>
    <row r="31" spans="1:11">
      <c r="A31" s="1046">
        <f t="shared" si="1"/>
        <v>23</v>
      </c>
      <c r="B31" s="1250">
        <f>'Sched D-1'!B31</f>
        <v>378</v>
      </c>
      <c r="C31" s="62" t="str">
        <f>'Sched D-1'!C31</f>
        <v>Distribution Plant - Meas. &amp; Reg. Sta. Equip. - General</v>
      </c>
      <c r="E31" s="680">
        <f t="shared" si="4"/>
        <v>0</v>
      </c>
      <c r="H31" s="82">
        <f t="shared" si="0"/>
        <v>26</v>
      </c>
      <c r="I31" s="973"/>
      <c r="J31" s="1031"/>
      <c r="K31" s="947">
        <f t="shared" si="5"/>
        <v>0</v>
      </c>
    </row>
    <row r="32" spans="1:11">
      <c r="A32" s="1046">
        <f t="shared" si="1"/>
        <v>24</v>
      </c>
      <c r="B32" s="1250">
        <f>'Sched D-1'!B32</f>
        <v>379</v>
      </c>
      <c r="C32" s="62" t="str">
        <f>'Sched D-1'!C32</f>
        <v>Measuring &amp; Regulating Station Equip.- City Gate Check Stn.</v>
      </c>
      <c r="E32" s="680">
        <f t="shared" si="4"/>
        <v>0</v>
      </c>
      <c r="H32" s="82">
        <f t="shared" si="0"/>
        <v>27</v>
      </c>
      <c r="I32" s="973"/>
      <c r="J32" s="1031"/>
      <c r="K32" s="947">
        <f t="shared" si="5"/>
        <v>0</v>
      </c>
    </row>
    <row r="33" spans="1:11">
      <c r="A33" s="1046">
        <f t="shared" si="1"/>
        <v>25</v>
      </c>
      <c r="B33" s="1250">
        <f>'Sched D-1'!B33</f>
        <v>380</v>
      </c>
      <c r="C33" s="62" t="str">
        <f>'Sched D-1'!C33</f>
        <v>Distribution Plant - Services</v>
      </c>
      <c r="E33" s="680">
        <f t="shared" si="4"/>
        <v>-484328.68</v>
      </c>
      <c r="H33" s="82">
        <f t="shared" si="0"/>
        <v>28</v>
      </c>
      <c r="I33" s="973">
        <v>-32.200000000000003</v>
      </c>
      <c r="J33" s="1031">
        <v>-484296.48</v>
      </c>
      <c r="K33" s="947">
        <f t="shared" si="5"/>
        <v>-484328.68</v>
      </c>
    </row>
    <row r="34" spans="1:11">
      <c r="A34" s="1046">
        <f t="shared" si="1"/>
        <v>26</v>
      </c>
      <c r="B34" s="1250">
        <f>'Sched D-1'!B34</f>
        <v>381</v>
      </c>
      <c r="C34" s="62" t="str">
        <f>'Sched D-1'!C34</f>
        <v>Meters</v>
      </c>
      <c r="E34" s="680">
        <f t="shared" si="4"/>
        <v>0</v>
      </c>
      <c r="H34" s="82">
        <f t="shared" si="0"/>
        <v>29</v>
      </c>
      <c r="I34" s="973"/>
      <c r="J34" s="1031"/>
      <c r="K34" s="947">
        <f t="shared" si="5"/>
        <v>0</v>
      </c>
    </row>
    <row r="35" spans="1:11">
      <c r="A35" s="1046">
        <f t="shared" si="1"/>
        <v>27</v>
      </c>
      <c r="B35" s="1250">
        <f>'Sched D-1'!B35</f>
        <v>382.01</v>
      </c>
      <c r="C35" s="62" t="str">
        <f>'Sched D-1'!C35</f>
        <v>Meter Installations</v>
      </c>
      <c r="E35" s="680">
        <f t="shared" si="4"/>
        <v>0</v>
      </c>
      <c r="H35" s="82">
        <f t="shared" si="0"/>
        <v>30</v>
      </c>
      <c r="I35" s="973"/>
      <c r="J35" s="1031"/>
      <c r="K35" s="947">
        <f t="shared" si="5"/>
        <v>0</v>
      </c>
    </row>
    <row r="36" spans="1:11">
      <c r="A36" s="1046">
        <f t="shared" si="1"/>
        <v>28</v>
      </c>
      <c r="B36" s="1250">
        <f>'Sched D-1'!B36</f>
        <v>383.01</v>
      </c>
      <c r="C36" s="62" t="str">
        <f>'Sched D-1'!C36</f>
        <v>Distribution Plant - House Regulators</v>
      </c>
      <c r="E36" s="680">
        <f t="shared" si="4"/>
        <v>0</v>
      </c>
      <c r="H36" s="82">
        <f t="shared" si="0"/>
        <v>31</v>
      </c>
      <c r="I36" s="973"/>
      <c r="J36" s="1031"/>
      <c r="K36" s="947">
        <f t="shared" si="5"/>
        <v>0</v>
      </c>
    </row>
    <row r="37" spans="1:11">
      <c r="A37" s="1046">
        <f t="shared" si="1"/>
        <v>29</v>
      </c>
      <c r="B37" s="1250">
        <f>'Sched D-1'!B37</f>
        <v>383.71</v>
      </c>
      <c r="C37" s="62" t="str">
        <f>'Sched D-1'!C37</f>
        <v>Distribution Plant - House Regulators - Farm Taps</v>
      </c>
      <c r="E37" s="680">
        <f t="shared" si="4"/>
        <v>0</v>
      </c>
      <c r="H37" s="82">
        <f t="shared" si="0"/>
        <v>32</v>
      </c>
      <c r="I37" s="973"/>
      <c r="J37" s="1031"/>
      <c r="K37" s="947">
        <f t="shared" si="5"/>
        <v>0</v>
      </c>
    </row>
    <row r="38" spans="1:11">
      <c r="A38" s="1046">
        <f t="shared" si="1"/>
        <v>30</v>
      </c>
      <c r="B38" s="1250">
        <f>'Sched D-1'!B38</f>
        <v>384.01</v>
      </c>
      <c r="C38" s="62" t="str">
        <f>'Sched D-1'!C38</f>
        <v>House regulator installations</v>
      </c>
      <c r="E38" s="680">
        <f t="shared" si="4"/>
        <v>0</v>
      </c>
      <c r="H38" s="82">
        <f t="shared" si="0"/>
        <v>33</v>
      </c>
      <c r="I38" s="973"/>
      <c r="J38" s="1031"/>
      <c r="K38" s="947">
        <f t="shared" si="5"/>
        <v>0</v>
      </c>
    </row>
    <row r="39" spans="1:11">
      <c r="A39" s="1046">
        <f t="shared" si="1"/>
        <v>31</v>
      </c>
      <c r="B39" s="1250">
        <f>'Sched D-1'!B39</f>
        <v>385</v>
      </c>
      <c r="C39" s="62" t="str">
        <f>'Sched D-1'!C39</f>
        <v>Industrial Measuring &amp; Regulating Station Equipment</v>
      </c>
      <c r="E39" s="680">
        <f t="shared" si="4"/>
        <v>0</v>
      </c>
      <c r="H39" s="82">
        <f t="shared" si="0"/>
        <v>34</v>
      </c>
      <c r="I39" s="973"/>
      <c r="J39" s="1031"/>
      <c r="K39" s="947">
        <f t="shared" si="5"/>
        <v>0</v>
      </c>
    </row>
    <row r="40" spans="1:11">
      <c r="A40" s="1046">
        <f t="shared" si="1"/>
        <v>32</v>
      </c>
      <c r="B40" s="1250">
        <f>'Sched D-1'!B40</f>
        <v>386</v>
      </c>
      <c r="C40" s="62" t="str">
        <f>'Sched D-1'!C40</f>
        <v>Other Property on Customers' Premises</v>
      </c>
      <c r="E40" s="680">
        <f t="shared" si="4"/>
        <v>0</v>
      </c>
      <c r="H40" s="82">
        <f t="shared" si="0"/>
        <v>35</v>
      </c>
      <c r="I40" s="973"/>
      <c r="J40" s="973"/>
      <c r="K40" s="947">
        <f t="shared" si="5"/>
        <v>0</v>
      </c>
    </row>
    <row r="41" spans="1:11">
      <c r="A41" s="1046">
        <f t="shared" si="1"/>
        <v>33</v>
      </c>
      <c r="B41" s="1250">
        <f>'Sched D-1'!B41</f>
        <v>387</v>
      </c>
      <c r="C41" s="62" t="str">
        <f>'Sched D-1'!C41</f>
        <v>Other Equipment</v>
      </c>
      <c r="E41" s="733">
        <f t="shared" si="4"/>
        <v>0</v>
      </c>
      <c r="H41" s="82">
        <f t="shared" si="0"/>
        <v>36</v>
      </c>
      <c r="I41" s="1035">
        <v>0</v>
      </c>
      <c r="J41" s="1035">
        <v>0</v>
      </c>
      <c r="K41" s="946">
        <f t="shared" si="5"/>
        <v>0</v>
      </c>
    </row>
    <row r="42" spans="1:11">
      <c r="A42" s="1046">
        <f t="shared" si="1"/>
        <v>34</v>
      </c>
      <c r="C42" s="78" t="str">
        <f>'Sched D-1'!C42</f>
        <v xml:space="preserve">Total Distribution Plant </v>
      </c>
      <c r="E42" s="1029">
        <f>SUM(E25:E41)</f>
        <v>-4361456.2499999991</v>
      </c>
      <c r="H42" s="82">
        <f t="shared" si="0"/>
        <v>37</v>
      </c>
      <c r="I42" s="937">
        <f>SUM(I25:I41)</f>
        <v>-157586.19000000003</v>
      </c>
      <c r="J42" s="937">
        <f>SUM(J25:J41)</f>
        <v>-4203870.0600000005</v>
      </c>
      <c r="K42" s="937">
        <f>SUM(K25:K41)</f>
        <v>-4361456.2499999991</v>
      </c>
    </row>
    <row r="43" spans="1:11">
      <c r="A43" s="1046">
        <f t="shared" si="1"/>
        <v>35</v>
      </c>
      <c r="C43" s="62"/>
      <c r="E43" s="680"/>
      <c r="H43" s="82">
        <f t="shared" si="0"/>
        <v>38</v>
      </c>
      <c r="I43" s="82"/>
      <c r="J43" s="82"/>
      <c r="K43" s="506"/>
    </row>
    <row r="44" spans="1:11">
      <c r="A44" s="1046">
        <f t="shared" si="1"/>
        <v>36</v>
      </c>
      <c r="C44" s="732" t="str">
        <f>'Sched D-1'!C44</f>
        <v>GENERAL PLANT</v>
      </c>
      <c r="E44" s="680"/>
      <c r="H44" s="82">
        <f t="shared" si="0"/>
        <v>39</v>
      </c>
      <c r="I44" s="82"/>
      <c r="J44" s="760"/>
      <c r="K44" s="506"/>
    </row>
    <row r="45" spans="1:11">
      <c r="A45" s="1046">
        <f t="shared" si="1"/>
        <v>37</v>
      </c>
      <c r="B45" s="1033">
        <f>'Sched D-1'!B45</f>
        <v>389.01</v>
      </c>
      <c r="C45" s="62" t="str">
        <f>'Sched D-1'!C45</f>
        <v>Land</v>
      </c>
      <c r="E45" s="1029">
        <f t="shared" ref="E45:E67" si="6">HLOOKUP(Attach,$I$6:$K$77,H45,FALSE)</f>
        <v>-3944.27000000001</v>
      </c>
      <c r="H45" s="82">
        <f t="shared" si="0"/>
        <v>40</v>
      </c>
      <c r="I45" s="1036"/>
      <c r="J45" s="1037">
        <v>-3944.27000000001</v>
      </c>
      <c r="K45" s="947">
        <f t="shared" ref="K45:K67" si="7">I45+J45</f>
        <v>-3944.27000000001</v>
      </c>
    </row>
    <row r="46" spans="1:11">
      <c r="A46" s="1046">
        <f t="shared" si="1"/>
        <v>38</v>
      </c>
      <c r="B46" s="1250">
        <f>'Sched D-1'!B46</f>
        <v>389.02</v>
      </c>
      <c r="C46" s="62" t="str">
        <f>'Sched D-1'!C46</f>
        <v>Land Rights - Right of Way</v>
      </c>
      <c r="E46" s="680">
        <f t="shared" si="6"/>
        <v>0</v>
      </c>
      <c r="H46" s="82">
        <f t="shared" si="0"/>
        <v>41</v>
      </c>
      <c r="I46" s="1036"/>
      <c r="J46" s="1037"/>
      <c r="K46" s="947">
        <f t="shared" si="7"/>
        <v>0</v>
      </c>
    </row>
    <row r="47" spans="1:11">
      <c r="A47" s="1046">
        <f t="shared" si="1"/>
        <v>39</v>
      </c>
      <c r="B47" s="1250">
        <f>'Sched D-1'!B47</f>
        <v>390.01</v>
      </c>
      <c r="C47" s="62" t="str">
        <f>'Sched D-1'!C47</f>
        <v xml:space="preserve">Structures and Improvements </v>
      </c>
      <c r="E47" s="680">
        <f t="shared" si="6"/>
        <v>-490714.67000000097</v>
      </c>
      <c r="H47" s="82">
        <f t="shared" si="0"/>
        <v>42</v>
      </c>
      <c r="I47" s="1036"/>
      <c r="J47" s="1037">
        <v>-490714.67000000097</v>
      </c>
      <c r="K47" s="947">
        <f t="shared" si="7"/>
        <v>-490714.67000000097</v>
      </c>
    </row>
    <row r="48" spans="1:11">
      <c r="A48" s="1046">
        <f t="shared" si="1"/>
        <v>40</v>
      </c>
      <c r="B48" s="1250">
        <f>'Sched D-1'!B48</f>
        <v>390.51</v>
      </c>
      <c r="C48" s="62" t="str">
        <f>'Sched D-1'!C48</f>
        <v>Leasehold Improvements</v>
      </c>
      <c r="E48" s="680">
        <f t="shared" si="6"/>
        <v>0</v>
      </c>
      <c r="H48" s="82">
        <f t="shared" ref="H48:H77" si="8">1+H47</f>
        <v>43</v>
      </c>
      <c r="I48" s="1036"/>
      <c r="J48" s="1037"/>
      <c r="K48" s="947">
        <f t="shared" si="7"/>
        <v>0</v>
      </c>
    </row>
    <row r="49" spans="1:11">
      <c r="A49" s="1046">
        <f t="shared" si="1"/>
        <v>41</v>
      </c>
      <c r="B49" s="1250">
        <f>'Sched D-1'!B49</f>
        <v>391.01</v>
      </c>
      <c r="C49" s="62" t="str">
        <f>'Sched D-1'!C49</f>
        <v>Office Machines</v>
      </c>
      <c r="E49" s="680">
        <f t="shared" si="6"/>
        <v>0</v>
      </c>
      <c r="H49" s="82">
        <f t="shared" si="8"/>
        <v>44</v>
      </c>
      <c r="I49" s="1036"/>
      <c r="J49" s="1037"/>
      <c r="K49" s="947">
        <f t="shared" si="7"/>
        <v>0</v>
      </c>
    </row>
    <row r="50" spans="1:11">
      <c r="A50" s="1046">
        <f t="shared" si="1"/>
        <v>42</v>
      </c>
      <c r="B50" s="1250">
        <f>'Sched D-1'!B50</f>
        <v>391.02</v>
      </c>
      <c r="C50" s="62" t="str">
        <f>'Sched D-1'!C50</f>
        <v>Office Furniture</v>
      </c>
      <c r="E50" s="680">
        <f t="shared" si="6"/>
        <v>0</v>
      </c>
      <c r="H50" s="82">
        <f t="shared" si="8"/>
        <v>45</v>
      </c>
      <c r="I50" s="1036"/>
      <c r="J50" s="1037"/>
      <c r="K50" s="947">
        <f t="shared" si="7"/>
        <v>0</v>
      </c>
    </row>
    <row r="51" spans="1:11">
      <c r="A51" s="1046">
        <f t="shared" ref="A51:A83" si="9">1+A50</f>
        <v>43</v>
      </c>
      <c r="B51" s="1250">
        <f>'Sched D-1'!B51</f>
        <v>391.03</v>
      </c>
      <c r="C51" s="62" t="str">
        <f>'Sched D-1'!C51</f>
        <v>Computer Hardware</v>
      </c>
      <c r="E51" s="680">
        <f t="shared" si="6"/>
        <v>0</v>
      </c>
      <c r="H51" s="82">
        <f t="shared" si="8"/>
        <v>46</v>
      </c>
      <c r="I51" s="1036"/>
      <c r="J51" s="1037"/>
      <c r="K51" s="947">
        <f t="shared" si="7"/>
        <v>0</v>
      </c>
    </row>
    <row r="52" spans="1:11">
      <c r="A52" s="1046">
        <f t="shared" si="9"/>
        <v>44</v>
      </c>
      <c r="B52" s="1250">
        <f>'Sched D-1'!B52</f>
        <v>391.04</v>
      </c>
      <c r="C52" s="62" t="str">
        <f>'Sched D-1'!C52</f>
        <v>Software</v>
      </c>
      <c r="E52" s="680">
        <f t="shared" si="6"/>
        <v>0</v>
      </c>
      <c r="H52" s="82">
        <f t="shared" si="8"/>
        <v>47</v>
      </c>
      <c r="I52" s="1036"/>
      <c r="J52" s="1037"/>
      <c r="K52" s="947">
        <f t="shared" si="7"/>
        <v>0</v>
      </c>
    </row>
    <row r="53" spans="1:11">
      <c r="A53" s="1046">
        <f t="shared" si="9"/>
        <v>45</v>
      </c>
      <c r="B53" s="1250">
        <f>'Sched D-1'!B53</f>
        <v>391.05</v>
      </c>
      <c r="C53" s="62" t="str">
        <f>'Sched D-1'!C53</f>
        <v>System Development</v>
      </c>
      <c r="E53" s="680">
        <f t="shared" si="6"/>
        <v>0</v>
      </c>
      <c r="H53" s="82">
        <f t="shared" si="8"/>
        <v>48</v>
      </c>
      <c r="I53" s="1036"/>
      <c r="J53" s="1037"/>
      <c r="K53" s="947">
        <f t="shared" si="7"/>
        <v>0</v>
      </c>
    </row>
    <row r="54" spans="1:11">
      <c r="A54" s="1046">
        <f t="shared" si="9"/>
        <v>46</v>
      </c>
      <c r="B54" s="1250">
        <f>'Sched D-1'!B54</f>
        <v>391.07</v>
      </c>
      <c r="C54" s="62" t="str">
        <f>'Sched D-1'!C54</f>
        <v>Ipad Hardware</v>
      </c>
      <c r="E54" s="680">
        <f t="shared" si="6"/>
        <v>0</v>
      </c>
      <c r="H54" s="82">
        <f t="shared" si="8"/>
        <v>49</v>
      </c>
      <c r="I54" s="1036"/>
      <c r="J54" s="1037"/>
      <c r="K54" s="947">
        <f t="shared" si="7"/>
        <v>0</v>
      </c>
    </row>
    <row r="55" spans="1:11">
      <c r="A55" s="1046">
        <f t="shared" si="9"/>
        <v>47</v>
      </c>
      <c r="B55" s="1250">
        <f>'Sched D-1'!B55</f>
        <v>392.01</v>
      </c>
      <c r="C55" s="62" t="str">
        <f>'Sched D-1'!C55</f>
        <v>Transportation Equipment</v>
      </c>
      <c r="E55" s="680">
        <f t="shared" si="6"/>
        <v>0</v>
      </c>
      <c r="H55" s="82">
        <f t="shared" si="8"/>
        <v>50</v>
      </c>
      <c r="I55" s="1037"/>
      <c r="J55" s="1037"/>
      <c r="K55" s="947">
        <f t="shared" si="7"/>
        <v>0</v>
      </c>
    </row>
    <row r="56" spans="1:11">
      <c r="A56" s="1046">
        <f t="shared" si="9"/>
        <v>48</v>
      </c>
      <c r="B56" s="1250">
        <f>'Sched D-1'!B56</f>
        <v>392.02</v>
      </c>
      <c r="C56" s="62" t="str">
        <f>'Sched D-1'!C56</f>
        <v>Cars</v>
      </c>
      <c r="E56" s="680">
        <f t="shared" si="6"/>
        <v>-959036.23</v>
      </c>
      <c r="H56" s="82">
        <f t="shared" si="8"/>
        <v>51</v>
      </c>
      <c r="I56" s="1037"/>
      <c r="J56" s="1037">
        <v>-959036.23</v>
      </c>
      <c r="K56" s="947">
        <f t="shared" si="7"/>
        <v>-959036.23</v>
      </c>
    </row>
    <row r="57" spans="1:11">
      <c r="A57" s="1046">
        <f t="shared" si="9"/>
        <v>49</v>
      </c>
      <c r="B57" s="1250">
        <f>'Sched D-1'!B57</f>
        <v>392.03</v>
      </c>
      <c r="C57" s="62" t="str">
        <f>'Sched D-1'!C57</f>
        <v>Light Trucks</v>
      </c>
      <c r="E57" s="680">
        <f t="shared" si="6"/>
        <v>-1468256.08</v>
      </c>
      <c r="H57" s="82">
        <f t="shared" si="8"/>
        <v>52</v>
      </c>
      <c r="I57" s="1037">
        <v>-625131.16</v>
      </c>
      <c r="J57" s="1037">
        <v>-843124.92</v>
      </c>
      <c r="K57" s="947">
        <f t="shared" si="7"/>
        <v>-1468256.08</v>
      </c>
    </row>
    <row r="58" spans="1:11">
      <c r="A58" s="1046">
        <f t="shared" si="9"/>
        <v>50</v>
      </c>
      <c r="B58" s="1250">
        <f>'Sched D-1'!B58</f>
        <v>392.04</v>
      </c>
      <c r="C58" s="62" t="str">
        <f>'Sched D-1'!C58</f>
        <v>Medium Trucks</v>
      </c>
      <c r="E58" s="680">
        <f t="shared" si="6"/>
        <v>-57896.01</v>
      </c>
      <c r="H58" s="82">
        <f t="shared" si="8"/>
        <v>53</v>
      </c>
      <c r="I58" s="1037">
        <v>-57896.01</v>
      </c>
      <c r="J58" s="1037"/>
      <c r="K58" s="947">
        <f t="shared" si="7"/>
        <v>-57896.01</v>
      </c>
    </row>
    <row r="59" spans="1:11">
      <c r="A59" s="1046">
        <f t="shared" si="9"/>
        <v>51</v>
      </c>
      <c r="B59" s="1250">
        <f>'Sched D-1'!B59</f>
        <v>392.05</v>
      </c>
      <c r="C59" s="62" t="str">
        <f>'Sched D-1'!C59</f>
        <v>Heavy Trucks</v>
      </c>
      <c r="E59" s="680">
        <f t="shared" si="6"/>
        <v>-69831.28</v>
      </c>
      <c r="H59" s="82">
        <f t="shared" si="8"/>
        <v>54</v>
      </c>
      <c r="I59" s="1037">
        <v>-38249.769999999997</v>
      </c>
      <c r="J59" s="1037">
        <v>-31581.51</v>
      </c>
      <c r="K59" s="947">
        <f t="shared" si="7"/>
        <v>-69831.28</v>
      </c>
    </row>
    <row r="60" spans="1:11">
      <c r="A60" s="1046">
        <f t="shared" si="9"/>
        <v>52</v>
      </c>
      <c r="B60" s="1250">
        <f>'Sched D-1'!B60</f>
        <v>392.06</v>
      </c>
      <c r="C60" s="62" t="str">
        <f>'Sched D-1'!C60</f>
        <v>Trailers</v>
      </c>
      <c r="E60" s="680">
        <f t="shared" si="6"/>
        <v>-41645.71</v>
      </c>
      <c r="H60" s="82">
        <f t="shared" si="8"/>
        <v>55</v>
      </c>
      <c r="I60" s="1036">
        <v>-23686.77</v>
      </c>
      <c r="J60" s="1037">
        <v>-17958.939999999999</v>
      </c>
      <c r="K60" s="947">
        <f t="shared" si="7"/>
        <v>-41645.71</v>
      </c>
    </row>
    <row r="61" spans="1:11">
      <c r="A61" s="1046">
        <f t="shared" si="9"/>
        <v>53</v>
      </c>
      <c r="B61" s="1250">
        <f>'Sched D-1'!B61</f>
        <v>393</v>
      </c>
      <c r="C61" s="62" t="str">
        <f>'Sched D-1'!C61</f>
        <v>Stores Equipment</v>
      </c>
      <c r="E61" s="680">
        <f t="shared" si="6"/>
        <v>0</v>
      </c>
      <c r="H61" s="82">
        <f t="shared" si="8"/>
        <v>56</v>
      </c>
      <c r="I61" s="1036"/>
      <c r="J61" s="1037"/>
      <c r="K61" s="947">
        <f t="shared" si="7"/>
        <v>0</v>
      </c>
    </row>
    <row r="62" spans="1:11">
      <c r="A62" s="1046">
        <f t="shared" si="9"/>
        <v>54</v>
      </c>
      <c r="B62" s="1250">
        <f>'Sched D-1'!B62</f>
        <v>394</v>
      </c>
      <c r="C62" s="62" t="str">
        <f>'Sched D-1'!C62</f>
        <v>Tools, Shop, and Garage Equipment</v>
      </c>
      <c r="E62" s="680">
        <f t="shared" si="6"/>
        <v>0</v>
      </c>
      <c r="H62" s="82">
        <f t="shared" si="8"/>
        <v>57</v>
      </c>
      <c r="I62" s="1036"/>
      <c r="J62" s="1037"/>
      <c r="K62" s="947">
        <f t="shared" si="7"/>
        <v>0</v>
      </c>
    </row>
    <row r="63" spans="1:11">
      <c r="A63" s="1046">
        <f t="shared" si="9"/>
        <v>55</v>
      </c>
      <c r="B63" s="1250">
        <f>'Sched D-1'!B63</f>
        <v>395</v>
      </c>
      <c r="C63" s="62" t="str">
        <f>'Sched D-1'!C63</f>
        <v>Laboratory Equipment</v>
      </c>
      <c r="E63" s="680">
        <f t="shared" si="6"/>
        <v>0</v>
      </c>
      <c r="H63" s="82">
        <f t="shared" si="8"/>
        <v>58</v>
      </c>
      <c r="I63" s="1036"/>
      <c r="J63" s="1037"/>
      <c r="K63" s="947">
        <f t="shared" si="7"/>
        <v>0</v>
      </c>
    </row>
    <row r="64" spans="1:11">
      <c r="A64" s="1046">
        <f t="shared" si="9"/>
        <v>56</v>
      </c>
      <c r="B64" s="1250">
        <f>'Sched D-1'!B64</f>
        <v>396</v>
      </c>
      <c r="C64" s="62" t="str">
        <f>'Sched D-1'!C64</f>
        <v xml:space="preserve">Power Operated Equipment </v>
      </c>
      <c r="E64" s="680">
        <f t="shared" si="6"/>
        <v>-268625.03000000003</v>
      </c>
      <c r="H64" s="82">
        <f t="shared" si="8"/>
        <v>59</v>
      </c>
      <c r="I64" s="1036">
        <v>-104818.51999999999</v>
      </c>
      <c r="J64" s="1037">
        <v>-163806.51</v>
      </c>
      <c r="K64" s="947">
        <f t="shared" si="7"/>
        <v>-268625.03000000003</v>
      </c>
    </row>
    <row r="65" spans="1:13">
      <c r="A65" s="1046">
        <f t="shared" si="9"/>
        <v>57</v>
      </c>
      <c r="B65" s="1250">
        <f>'Sched D-1'!B65</f>
        <v>397</v>
      </c>
      <c r="C65" s="62" t="str">
        <f>'Sched D-1'!C65</f>
        <v>Communication Equipment</v>
      </c>
      <c r="E65" s="680">
        <f t="shared" si="6"/>
        <v>0</v>
      </c>
      <c r="H65" s="82">
        <f t="shared" si="8"/>
        <v>60</v>
      </c>
      <c r="I65" s="1036"/>
      <c r="J65" s="1037"/>
      <c r="K65" s="947">
        <f t="shared" si="7"/>
        <v>0</v>
      </c>
    </row>
    <row r="66" spans="1:13">
      <c r="A66" s="1046">
        <f t="shared" si="9"/>
        <v>58</v>
      </c>
      <c r="B66" s="1250">
        <f>'Sched D-1'!B66</f>
        <v>398</v>
      </c>
      <c r="C66" s="62" t="str">
        <f>'Sched D-1'!C66</f>
        <v>Miscellaneous Equipment</v>
      </c>
      <c r="E66" s="680">
        <f t="shared" si="6"/>
        <v>0</v>
      </c>
      <c r="H66" s="82">
        <f t="shared" si="8"/>
        <v>61</v>
      </c>
      <c r="I66" s="1036"/>
      <c r="J66" s="1037"/>
      <c r="K66" s="947">
        <f t="shared" si="7"/>
        <v>0</v>
      </c>
    </row>
    <row r="67" spans="1:13">
      <c r="A67" s="1046">
        <f t="shared" si="9"/>
        <v>59</v>
      </c>
      <c r="B67" s="1250">
        <f>'Sched D-1'!B67</f>
        <v>399</v>
      </c>
      <c r="C67" s="62" t="str">
        <f>'Sched D-1'!C67</f>
        <v>Other Tangible Property</v>
      </c>
      <c r="E67" s="733">
        <f t="shared" si="6"/>
        <v>0</v>
      </c>
      <c r="H67" s="82">
        <f t="shared" si="8"/>
        <v>62</v>
      </c>
      <c r="I67" s="1035">
        <v>0</v>
      </c>
      <c r="J67" s="1035">
        <v>0</v>
      </c>
      <c r="K67" s="946">
        <f t="shared" si="7"/>
        <v>0</v>
      </c>
    </row>
    <row r="68" spans="1:13">
      <c r="A68" s="1046">
        <f t="shared" si="9"/>
        <v>60</v>
      </c>
      <c r="C68" s="78" t="str">
        <f>'Sched D-1'!C68</f>
        <v>Total General Plant</v>
      </c>
      <c r="E68" s="1029">
        <f>SUM(E45:E67)</f>
        <v>-3359949.2800000003</v>
      </c>
      <c r="H68" s="82">
        <f t="shared" si="8"/>
        <v>63</v>
      </c>
      <c r="I68" s="937">
        <f t="shared" ref="I68:J68" si="10">SUM(I45:I67)</f>
        <v>-849782.2300000001</v>
      </c>
      <c r="J68" s="937">
        <f t="shared" si="10"/>
        <v>-2510167.0500000007</v>
      </c>
      <c r="K68" s="937">
        <f>SUM(K45:K67)</f>
        <v>-3359949.2800000003</v>
      </c>
    </row>
    <row r="69" spans="1:13">
      <c r="A69" s="1046">
        <f t="shared" si="9"/>
        <v>61</v>
      </c>
      <c r="C69" s="62"/>
      <c r="E69" s="680"/>
      <c r="H69" s="82">
        <f t="shared" si="8"/>
        <v>64</v>
      </c>
      <c r="I69" s="82"/>
      <c r="J69" s="82"/>
      <c r="K69" s="506"/>
    </row>
    <row r="70" spans="1:13">
      <c r="A70" s="1046">
        <f t="shared" si="9"/>
        <v>62</v>
      </c>
      <c r="B70" s="62">
        <f>'Sched D-1'!B70</f>
        <v>118</v>
      </c>
      <c r="C70" s="62" t="str">
        <f>'Sched D-1'!C70</f>
        <v>Other Utility Plant (Corporate Shared Assets - Note 1a)</v>
      </c>
      <c r="E70" s="1029">
        <f>HLOOKUP(Attach,$I$6:$K$77,H70,FALSE)</f>
        <v>-12041346.438632</v>
      </c>
      <c r="H70" s="82">
        <f t="shared" si="8"/>
        <v>65</v>
      </c>
      <c r="I70" s="1036">
        <v>-8559005.8309439998</v>
      </c>
      <c r="J70" s="1037">
        <v>-3482340.607688</v>
      </c>
      <c r="K70" s="947">
        <f t="shared" ref="K70:K74" si="11">I70+J70</f>
        <v>-12041346.438632</v>
      </c>
      <c r="M70" s="927"/>
    </row>
    <row r="71" spans="1:13" s="62" customFormat="1">
      <c r="A71" s="1046">
        <f t="shared" si="9"/>
        <v>63</v>
      </c>
      <c r="B71" s="62">
        <f>'Sched D-1'!B71</f>
        <v>118</v>
      </c>
      <c r="C71" s="62" t="str">
        <f>'Sched D-1'!C71</f>
        <v>Other Utility Plant (Corporate Shared Assets - Note 1b)</v>
      </c>
      <c r="E71" s="680">
        <f>HLOOKUP(Attach,$I$6:$K$77,H71,FALSE)</f>
        <v>-321263.32669199992</v>
      </c>
      <c r="H71" s="82">
        <f t="shared" si="8"/>
        <v>66</v>
      </c>
      <c r="I71" s="1036">
        <v>-228345.51709199997</v>
      </c>
      <c r="J71" s="1037">
        <v>-92917.809599999979</v>
      </c>
      <c r="K71" s="947">
        <f t="shared" si="11"/>
        <v>-321263.32669199992</v>
      </c>
      <c r="M71" s="927"/>
    </row>
    <row r="72" spans="1:13" s="62" customFormat="1">
      <c r="A72" s="1046">
        <f t="shared" si="9"/>
        <v>64</v>
      </c>
      <c r="B72" s="62">
        <f>'Sched D-1'!B72</f>
        <v>118</v>
      </c>
      <c r="C72" s="62" t="str">
        <f>'Sched D-1'!C72</f>
        <v>Other Utility Plant (Corporate Shared Assets - Note 2a)</v>
      </c>
      <c r="E72" s="680">
        <f>HLOOKUP(Attach,$I$6:$K$77,H72,FALSE)</f>
        <v>-2753328.7147239996</v>
      </c>
      <c r="H72" s="82">
        <f t="shared" si="8"/>
        <v>67</v>
      </c>
      <c r="I72" s="1036">
        <v>-1589303.594576</v>
      </c>
      <c r="J72" s="1037">
        <v>-1164025.1201479998</v>
      </c>
      <c r="K72" s="947">
        <f t="shared" si="11"/>
        <v>-2753328.7147239996</v>
      </c>
      <c r="M72" s="927"/>
    </row>
    <row r="73" spans="1:13" s="62" customFormat="1">
      <c r="A73" s="1046">
        <f t="shared" si="9"/>
        <v>65</v>
      </c>
      <c r="B73" s="62">
        <f>'Sched D-1'!B73</f>
        <v>118</v>
      </c>
      <c r="C73" s="62" t="str">
        <f>'Sched D-1'!C73</f>
        <v>Other Utility Plant (Corporate Shared Assets - Note 2b)</v>
      </c>
      <c r="E73" s="680">
        <f>HLOOKUP(Attach,$I$6:$K$77,H73,FALSE)</f>
        <v>-996106.4411830001</v>
      </c>
      <c r="H73" s="82">
        <f t="shared" si="8"/>
        <v>68</v>
      </c>
      <c r="I73" s="1036">
        <v>-574828.45059200015</v>
      </c>
      <c r="J73" s="1037">
        <v>-421277.99059099995</v>
      </c>
      <c r="K73" s="947">
        <f t="shared" si="11"/>
        <v>-996106.4411830001</v>
      </c>
      <c r="M73" s="927"/>
    </row>
    <row r="74" spans="1:13">
      <c r="A74" s="1046">
        <f t="shared" si="9"/>
        <v>66</v>
      </c>
      <c r="B74" s="62">
        <f>'Sched D-1'!B74</f>
        <v>118</v>
      </c>
      <c r="C74" s="62" t="str">
        <f>'Sched D-1'!C74</f>
        <v>Other Utility Plant (Corporate Shared Assets - Note 2c)</v>
      </c>
      <c r="E74" s="733">
        <f>HLOOKUP(Attach,$I$6:$K$77,H74,FALSE)</f>
        <v>-161376.23636400001</v>
      </c>
      <c r="H74" s="82">
        <f t="shared" si="8"/>
        <v>69</v>
      </c>
      <c r="I74" s="1035">
        <v>-93330.496146000005</v>
      </c>
      <c r="J74" s="1035">
        <v>-68045.740218000006</v>
      </c>
      <c r="K74" s="946">
        <f t="shared" si="11"/>
        <v>-161376.23636400001</v>
      </c>
      <c r="M74" s="927"/>
    </row>
    <row r="75" spans="1:13">
      <c r="A75" s="1046">
        <f t="shared" si="9"/>
        <v>67</v>
      </c>
      <c r="C75" s="78" t="str">
        <f>'Sched D-1'!C75</f>
        <v>Total Other Utility Plant</v>
      </c>
      <c r="E75" s="1029">
        <f>SUM(E70:E74)</f>
        <v>-16273421.157595001</v>
      </c>
      <c r="H75" s="82">
        <f t="shared" si="8"/>
        <v>70</v>
      </c>
      <c r="I75" s="937">
        <f>SUM(I70:I74)</f>
        <v>-11044813.889350001</v>
      </c>
      <c r="J75" s="937">
        <f>SUM(J70:J74)</f>
        <v>-5228607.2682449985</v>
      </c>
      <c r="K75" s="937">
        <f>SUM(K70:K74)</f>
        <v>-16273421.157595001</v>
      </c>
    </row>
    <row r="76" spans="1:13">
      <c r="A76" s="1046">
        <f t="shared" si="9"/>
        <v>68</v>
      </c>
      <c r="C76" s="62"/>
      <c r="E76" s="680"/>
      <c r="H76" s="82">
        <f t="shared" si="8"/>
        <v>71</v>
      </c>
      <c r="I76" s="1182"/>
      <c r="J76" s="1182"/>
      <c r="K76" s="124"/>
    </row>
    <row r="77" spans="1:13" ht="13.5" thickBot="1">
      <c r="A77" s="1046">
        <f t="shared" si="9"/>
        <v>69</v>
      </c>
      <c r="C77" s="62" t="str">
        <f>'Sched D-1'!C77</f>
        <v>Total Gas Plant In Service</v>
      </c>
      <c r="E77" s="1040">
        <f>E15+E22+E42+E68+E75</f>
        <v>-23994826.687595002</v>
      </c>
      <c r="H77" s="82">
        <f t="shared" si="8"/>
        <v>72</v>
      </c>
      <c r="I77" s="945">
        <f>I15+I22+I42+I68+I75</f>
        <v>-12052182.309350001</v>
      </c>
      <c r="J77" s="945">
        <f>J15+J22+J42+J68+J75</f>
        <v>-11942644.378245</v>
      </c>
      <c r="K77" s="1034">
        <f t="shared" ref="K77" si="12">I77+J77</f>
        <v>-23994826.687595002</v>
      </c>
    </row>
    <row r="78" spans="1:13" ht="13.5" thickTop="1">
      <c r="A78" s="1046">
        <f t="shared" si="9"/>
        <v>70</v>
      </c>
    </row>
    <row r="79" spans="1:13" s="62" customFormat="1">
      <c r="A79" s="1046">
        <f t="shared" si="9"/>
        <v>71</v>
      </c>
      <c r="B79" s="1333" t="str">
        <f>'Sched D-1'!B79</f>
        <v xml:space="preserve">(Note 1a) Figure represents Other Utility Plant, Corporate Shared Assets allocated on customer count of all regulated utilities per CAM.  </v>
      </c>
    </row>
    <row r="80" spans="1:13" s="62" customFormat="1">
      <c r="A80" s="1046">
        <f t="shared" si="9"/>
        <v>72</v>
      </c>
      <c r="B80" s="1333" t="str">
        <f>'Sched D-1'!B80</f>
        <v xml:space="preserve">(Note 1b) Figure represents Other Utility Plant, Corporate Shared Assets allocated on customer count of all regulated gas utilities per CAM.  </v>
      </c>
    </row>
    <row r="81" spans="1:15" s="62" customFormat="1">
      <c r="A81" s="1046">
        <f t="shared" si="9"/>
        <v>73</v>
      </c>
      <c r="B81" s="1333" t="str">
        <f>'Sched D-1'!B81</f>
        <v xml:space="preserve">(Note 2a) Figure represents Other Utility Plant, Corporate Shared Assets allocated on the blended ratio to all entities per CAM.  </v>
      </c>
    </row>
    <row r="82" spans="1:15" s="62" customFormat="1">
      <c r="A82" s="1046">
        <f t="shared" si="9"/>
        <v>74</v>
      </c>
      <c r="B82" s="1333" t="str">
        <f>'Sched D-1'!B82</f>
        <v xml:space="preserve">(Note 2b) Figure represents Other Utility Plant, Corporate Shared Assets allocated on the blended ratio to all regulated utilities per CAM.  </v>
      </c>
    </row>
    <row r="83" spans="1:15" s="62" customFormat="1">
      <c r="A83" s="1046">
        <f t="shared" si="9"/>
        <v>75</v>
      </c>
      <c r="B83" s="1333" t="str">
        <f>'Sched D-1'!B83</f>
        <v xml:space="preserve">(Note 2c) Figure represents Other Utility Plant, Corporate Shared Assets allocated on the blended ratio to all regulated gas utilities per CAM.  </v>
      </c>
    </row>
    <row r="84" spans="1:15" s="62" customFormat="1">
      <c r="A84" s="1046"/>
      <c r="B84" s="1333"/>
    </row>
    <row r="85" spans="1:15">
      <c r="A85" s="1046"/>
      <c r="I85" s="208">
        <v>11044813.889350001</v>
      </c>
      <c r="J85" s="208">
        <v>5228607.2682450004</v>
      </c>
      <c r="K85" s="1237">
        <f>I85+J85</f>
        <v>16273421.157595001</v>
      </c>
      <c r="L85" s="8" t="s">
        <v>1465</v>
      </c>
      <c r="O85" s="927"/>
    </row>
    <row r="86" spans="1:15">
      <c r="A86" s="1046"/>
      <c r="I86" s="208">
        <v>103.76</v>
      </c>
      <c r="J86" s="208">
        <v>3624244.49</v>
      </c>
      <c r="K86" s="1237">
        <f>I86+J86</f>
        <v>3624348.25</v>
      </c>
      <c r="L86" t="s">
        <v>1182</v>
      </c>
    </row>
    <row r="87" spans="1:15">
      <c r="A87" s="1046"/>
      <c r="E87" s="244"/>
      <c r="I87" s="208">
        <v>1007264.6600000001</v>
      </c>
      <c r="J87" s="208">
        <v>3089792.62</v>
      </c>
      <c r="K87" s="1237">
        <f>I87+J87</f>
        <v>4097057.2800000003</v>
      </c>
      <c r="L87" t="s">
        <v>1464</v>
      </c>
    </row>
    <row r="88" spans="1:15">
      <c r="A88" s="1046"/>
      <c r="E88" s="899"/>
      <c r="I88" s="1338">
        <f>I77+I87+I86+I85</f>
        <v>0</v>
      </c>
      <c r="J88" s="1338">
        <f t="shared" ref="J88:K88" si="13">J77+J87+J86+J85</f>
        <v>0</v>
      </c>
      <c r="K88" s="1338">
        <f t="shared" si="13"/>
        <v>0</v>
      </c>
      <c r="L88" t="s">
        <v>968</v>
      </c>
    </row>
    <row r="89" spans="1:15">
      <c r="E89" s="244"/>
    </row>
  </sheetData>
  <printOptions horizontalCentered="1"/>
  <pageMargins left="0.5" right="0.25" top="0.5" bottom="0.2" header="0.3" footer="0.3"/>
  <pageSetup scale="69" orientation="portrait" verticalDpi="3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59"/>
  <sheetViews>
    <sheetView workbookViewId="0"/>
  </sheetViews>
  <sheetFormatPr defaultColWidth="9.33203125" defaultRowHeight="12.75"/>
  <cols>
    <col min="1" max="1" width="6.83203125" style="23" customWidth="1"/>
    <col min="2" max="2" width="44.1640625" style="23" customWidth="1"/>
    <col min="3" max="3" width="8.83203125" style="23" customWidth="1"/>
    <col min="4" max="4" width="18.1640625" style="23" bestFit="1" customWidth="1"/>
    <col min="5" max="5" width="18.1640625" style="23" customWidth="1"/>
    <col min="6" max="6" width="17.6640625" style="23" customWidth="1"/>
    <col min="7" max="7" width="25.1640625" style="23" customWidth="1"/>
    <col min="8" max="8" width="18" style="23" bestFit="1" customWidth="1"/>
    <col min="9" max="9" width="16.83203125" style="23" customWidth="1"/>
    <col min="10" max="10" width="19.1640625" style="23" bestFit="1" customWidth="1"/>
    <col min="11" max="11" width="3.6640625" style="123" customWidth="1"/>
    <col min="12" max="12" width="5.33203125" style="123" customWidth="1"/>
    <col min="13" max="14" width="15.33203125" style="123" customWidth="1"/>
    <col min="15" max="15" width="14.6640625" style="123" customWidth="1"/>
    <col min="16" max="16" width="3.1640625" style="123" customWidth="1"/>
    <col min="17" max="17" width="3.1640625" style="123" bestFit="1" customWidth="1"/>
    <col min="18" max="19" width="16.1640625" style="123" customWidth="1"/>
    <col min="20" max="20" width="14.1640625" style="123" customWidth="1"/>
    <col min="21" max="21" width="3.1640625" style="123" customWidth="1"/>
    <col min="22" max="22" width="3.1640625" style="123" bestFit="1" customWidth="1"/>
    <col min="23" max="23" width="16.33203125" style="123" customWidth="1"/>
    <col min="24" max="24" width="17.6640625" style="123" bestFit="1" customWidth="1"/>
    <col min="25" max="25" width="13.1640625" style="123" customWidth="1"/>
    <col min="26" max="27" width="9.33203125" style="123"/>
    <col min="28" max="28" width="14.1640625" style="123" bestFit="1" customWidth="1"/>
    <col min="29" max="16384" width="9.33203125" style="123"/>
  </cols>
  <sheetData>
    <row r="1" spans="1:25">
      <c r="A1" s="69" t="str">
        <f>Company</f>
        <v>BLACK HILLS NEBRASKA GAS, LLC</v>
      </c>
      <c r="B1" s="25"/>
      <c r="C1" s="25"/>
      <c r="D1" s="1053"/>
      <c r="E1" s="1053"/>
      <c r="F1" s="25"/>
      <c r="G1" s="25"/>
      <c r="H1" s="954"/>
      <c r="I1" s="25"/>
      <c r="J1" s="615" t="s">
        <v>1324</v>
      </c>
    </row>
    <row r="2" spans="1:25">
      <c r="A2" s="25" t="s">
        <v>106</v>
      </c>
      <c r="B2" s="25"/>
      <c r="C2" s="25"/>
      <c r="D2" s="25"/>
      <c r="E2" s="25"/>
      <c r="F2" s="25"/>
      <c r="G2" s="25"/>
      <c r="H2" s="25"/>
      <c r="I2" s="25"/>
      <c r="J2" s="72" t="str">
        <f>Attach</f>
        <v>FINAL - BH January 15, 2021 Rev. Req. Model</v>
      </c>
    </row>
    <row r="3" spans="1:25">
      <c r="A3" s="70" t="str">
        <f>TYEnded</f>
        <v>FOR THE TEST YEAR ENDING DECEMBER 31, 2020</v>
      </c>
      <c r="B3" s="25"/>
      <c r="C3" s="25"/>
      <c r="D3" s="25"/>
      <c r="E3" s="25"/>
      <c r="F3" s="25"/>
      <c r="G3" s="25"/>
      <c r="H3" s="25"/>
      <c r="I3" s="25"/>
      <c r="J3" s="343" t="s">
        <v>823</v>
      </c>
      <c r="K3" s="954"/>
    </row>
    <row r="4" spans="1:25">
      <c r="A4" s="1375"/>
      <c r="B4" s="25"/>
      <c r="C4" s="25"/>
      <c r="D4" s="25"/>
      <c r="E4" s="25"/>
      <c r="F4" s="25"/>
      <c r="G4" s="25"/>
      <c r="H4" s="25"/>
      <c r="I4" s="25"/>
      <c r="J4" s="344"/>
    </row>
    <row r="5" spans="1:25">
      <c r="A5" s="70"/>
      <c r="B5" s="25"/>
      <c r="C5" s="25"/>
      <c r="D5" s="15" t="s">
        <v>199</v>
      </c>
      <c r="E5" s="15" t="s">
        <v>200</v>
      </c>
      <c r="F5" s="15" t="s">
        <v>41</v>
      </c>
      <c r="G5" s="15" t="s">
        <v>202</v>
      </c>
      <c r="H5" s="15" t="s">
        <v>203</v>
      </c>
      <c r="I5" s="15" t="s">
        <v>204</v>
      </c>
      <c r="J5" s="15" t="s">
        <v>205</v>
      </c>
    </row>
    <row r="6" spans="1:25">
      <c r="A6" s="20"/>
      <c r="B6" s="20"/>
      <c r="C6" s="20"/>
      <c r="D6" s="1049">
        <v>43465</v>
      </c>
      <c r="E6" s="1049">
        <v>43830</v>
      </c>
      <c r="F6" s="708"/>
      <c r="G6" s="15" t="s">
        <v>843</v>
      </c>
      <c r="H6" s="15" t="s">
        <v>850</v>
      </c>
      <c r="I6" s="15" t="s">
        <v>1201</v>
      </c>
      <c r="J6" s="1049">
        <v>44196</v>
      </c>
      <c r="M6" s="123" t="s">
        <v>1331</v>
      </c>
      <c r="R6" s="123" t="s">
        <v>1330</v>
      </c>
      <c r="W6" s="123" t="s">
        <v>1283</v>
      </c>
    </row>
    <row r="7" spans="1:25">
      <c r="A7" s="20"/>
      <c r="B7" s="20"/>
      <c r="C7" s="20"/>
      <c r="D7" s="1050" t="s">
        <v>405</v>
      </c>
      <c r="E7" s="1050" t="s">
        <v>405</v>
      </c>
      <c r="F7" s="15" t="s">
        <v>845</v>
      </c>
      <c r="G7" s="15" t="s">
        <v>947</v>
      </c>
      <c r="H7" s="15" t="s">
        <v>947</v>
      </c>
      <c r="I7" s="15" t="s">
        <v>947</v>
      </c>
      <c r="J7" s="15" t="s">
        <v>212</v>
      </c>
    </row>
    <row r="8" spans="1:25">
      <c r="A8" s="15" t="s">
        <v>59</v>
      </c>
      <c r="B8" s="20"/>
      <c r="C8" s="20"/>
      <c r="D8" s="1050" t="s">
        <v>107</v>
      </c>
      <c r="E8" s="1050" t="s">
        <v>107</v>
      </c>
      <c r="F8" s="15" t="s">
        <v>844</v>
      </c>
      <c r="G8" s="15" t="s">
        <v>948</v>
      </c>
      <c r="H8" s="15" t="s">
        <v>84</v>
      </c>
      <c r="I8" s="15" t="s">
        <v>84</v>
      </c>
      <c r="J8" s="15" t="s">
        <v>107</v>
      </c>
      <c r="L8" s="75">
        <f>1+L7</f>
        <v>1</v>
      </c>
      <c r="M8" s="75" t="str">
        <f>References!$C$17</f>
        <v>Exhibit No. MCC-2 NEG</v>
      </c>
      <c r="N8" s="75" t="str">
        <f>References!$D$17</f>
        <v>Exhibit No. MCC-2 NEGD</v>
      </c>
      <c r="O8" s="75" t="str">
        <f>References!$E$17</f>
        <v>FINAL - BH January 15, 2021 Rev. Req. Model</v>
      </c>
      <c r="Q8" s="75">
        <f>1+Q7</f>
        <v>1</v>
      </c>
      <c r="R8" s="75" t="str">
        <f>References!$C$17</f>
        <v>Exhibit No. MCC-2 NEG</v>
      </c>
      <c r="S8" s="75" t="str">
        <f>References!$D$17</f>
        <v>Exhibit No. MCC-2 NEGD</v>
      </c>
      <c r="T8" s="75" t="str">
        <f>References!$E$17</f>
        <v>FINAL - BH January 15, 2021 Rev. Req. Model</v>
      </c>
      <c r="V8" s="75">
        <f>1+V7</f>
        <v>1</v>
      </c>
      <c r="W8" s="75" t="str">
        <f>References!$C$17</f>
        <v>Exhibit No. MCC-2 NEG</v>
      </c>
      <c r="X8" s="75" t="str">
        <f>References!$D$17</f>
        <v>Exhibit No. MCC-2 NEGD</v>
      </c>
      <c r="Y8" s="75" t="str">
        <f>References!$E$17</f>
        <v>FINAL - BH January 15, 2021 Rev. Req. Model</v>
      </c>
    </row>
    <row r="9" spans="1:25">
      <c r="A9" s="362" t="s">
        <v>195</v>
      </c>
      <c r="B9" s="422" t="s">
        <v>196</v>
      </c>
      <c r="C9" s="422"/>
      <c r="D9" s="1051" t="s">
        <v>84</v>
      </c>
      <c r="E9" s="1051" t="s">
        <v>84</v>
      </c>
      <c r="F9" s="362" t="s">
        <v>84</v>
      </c>
      <c r="G9" s="362" t="s">
        <v>949</v>
      </c>
      <c r="H9" s="362" t="s">
        <v>1213</v>
      </c>
      <c r="I9" s="362" t="s">
        <v>950</v>
      </c>
      <c r="J9" s="362" t="s">
        <v>84</v>
      </c>
      <c r="L9" s="75">
        <f t="shared" ref="L9:L30" si="0">1+L8</f>
        <v>2</v>
      </c>
      <c r="M9" s="75" t="str">
        <f>References!$C$18</f>
        <v>NEG</v>
      </c>
      <c r="N9" s="75" t="str">
        <f>References!$D$18</f>
        <v>NEGD</v>
      </c>
      <c r="O9" s="75" t="str">
        <f>References!$E$18</f>
        <v>Tot Co</v>
      </c>
      <c r="Q9" s="75">
        <f t="shared" ref="Q9:Q30" si="1">1+Q8</f>
        <v>2</v>
      </c>
      <c r="R9" s="75" t="str">
        <f>References!$C$18</f>
        <v>NEG</v>
      </c>
      <c r="S9" s="75" t="str">
        <f>References!$D$18</f>
        <v>NEGD</v>
      </c>
      <c r="T9" s="75" t="str">
        <f>References!$E$18</f>
        <v>Tot Co</v>
      </c>
      <c r="V9" s="75">
        <f t="shared" ref="V9:V30" si="2">1+V8</f>
        <v>2</v>
      </c>
      <c r="W9" s="75" t="str">
        <f>References!$C$18</f>
        <v>NEG</v>
      </c>
      <c r="X9" s="75" t="str">
        <f>References!$D$18</f>
        <v>NEGD</v>
      </c>
      <c r="Y9" s="75" t="str">
        <f>References!$E$18</f>
        <v>Tot Co</v>
      </c>
    </row>
    <row r="10" spans="1:25">
      <c r="A10" s="40"/>
      <c r="B10" s="192"/>
      <c r="C10" s="192"/>
      <c r="D10" s="40"/>
      <c r="E10" s="40"/>
      <c r="F10" s="40"/>
      <c r="G10" s="40"/>
      <c r="H10" s="40"/>
      <c r="I10" s="40"/>
      <c r="J10" s="40"/>
      <c r="L10" s="82">
        <f t="shared" si="0"/>
        <v>3</v>
      </c>
      <c r="M10" s="760"/>
      <c r="N10" s="82"/>
      <c r="O10" s="82"/>
      <c r="Q10" s="82">
        <f t="shared" si="1"/>
        <v>3</v>
      </c>
      <c r="R10" s="82"/>
      <c r="S10" s="82"/>
      <c r="T10" s="82"/>
      <c r="V10" s="82">
        <f t="shared" si="2"/>
        <v>3</v>
      </c>
      <c r="W10" s="82"/>
      <c r="X10" s="82"/>
      <c r="Y10" s="82"/>
    </row>
    <row r="11" spans="1:25">
      <c r="A11" s="103">
        <v>1</v>
      </c>
      <c r="B11" s="23" t="s">
        <v>371</v>
      </c>
      <c r="D11" s="353">
        <f>HLOOKUP(Attach,$M$8:$Q$30,L11,FALSE)</f>
        <v>954603.36</v>
      </c>
      <c r="E11" s="353">
        <f>HLOOKUP(Attach,$R$8:$U$30,Q11,FALSE)</f>
        <v>988583.61</v>
      </c>
      <c r="F11" s="353">
        <v>0</v>
      </c>
      <c r="G11" s="353">
        <v>0</v>
      </c>
      <c r="H11" s="353">
        <f>'Sched D-3'!E15</f>
        <v>0</v>
      </c>
      <c r="I11" s="353">
        <f>'Sched E-1'!K15</f>
        <v>63434</v>
      </c>
      <c r="J11" s="353">
        <f>SUM(E11:I11)</f>
        <v>1052017.6099999999</v>
      </c>
      <c r="L11" s="82">
        <f t="shared" si="0"/>
        <v>4</v>
      </c>
      <c r="M11" s="1031">
        <v>610373.88</v>
      </c>
      <c r="N11" s="973">
        <v>344229.48</v>
      </c>
      <c r="O11" s="937">
        <f t="shared" ref="O11:O30" si="3">M11+N11</f>
        <v>954603.36</v>
      </c>
      <c r="Q11" s="82">
        <f t="shared" si="1"/>
        <v>4</v>
      </c>
      <c r="R11" s="1031">
        <v>643364.49</v>
      </c>
      <c r="S11" s="973">
        <v>345219.12</v>
      </c>
      <c r="T11" s="947">
        <f t="shared" ref="T11:T30" si="4">R11+S11</f>
        <v>988583.61</v>
      </c>
      <c r="V11" s="82">
        <f t="shared" si="2"/>
        <v>4</v>
      </c>
      <c r="W11" s="938"/>
      <c r="X11" s="938"/>
      <c r="Y11" s="947">
        <f>W11+X11</f>
        <v>0</v>
      </c>
    </row>
    <row r="12" spans="1:25">
      <c r="A12" s="103">
        <f>1+A11</f>
        <v>2</v>
      </c>
      <c r="D12" s="361"/>
      <c r="E12" s="361"/>
      <c r="F12" s="361"/>
      <c r="G12" s="361"/>
      <c r="H12" s="361"/>
      <c r="I12" s="361"/>
      <c r="J12" s="353"/>
      <c r="K12" s="952"/>
      <c r="L12" s="82">
        <f t="shared" si="0"/>
        <v>5</v>
      </c>
      <c r="M12" s="1052"/>
      <c r="N12" s="642"/>
      <c r="O12" s="937">
        <f t="shared" si="3"/>
        <v>0</v>
      </c>
      <c r="Q12" s="82">
        <f t="shared" si="1"/>
        <v>5</v>
      </c>
      <c r="R12" s="1052"/>
      <c r="S12" s="642"/>
      <c r="T12" s="947">
        <f t="shared" si="4"/>
        <v>0</v>
      </c>
      <c r="V12" s="82">
        <f t="shared" si="2"/>
        <v>5</v>
      </c>
      <c r="W12" s="506"/>
      <c r="X12" s="506"/>
      <c r="Y12" s="947">
        <f t="shared" ref="Y12:Y30" si="5">W12+X12</f>
        <v>0</v>
      </c>
    </row>
    <row r="13" spans="1:25">
      <c r="A13" s="103">
        <f t="shared" ref="A13:A18" si="6">1+A12</f>
        <v>3</v>
      </c>
      <c r="B13" s="23" t="s">
        <v>1241</v>
      </c>
      <c r="D13" s="688">
        <f>HLOOKUP(Attach,$M$8:$Q$30,L13,FALSE)</f>
        <v>-18027.93</v>
      </c>
      <c r="E13" s="688">
        <f>HLOOKUP(Attach,$R$8:$U$30,Q13,FALSE)</f>
        <v>-18027.93</v>
      </c>
      <c r="F13" s="795">
        <v>0</v>
      </c>
      <c r="G13" s="795">
        <v>0</v>
      </c>
      <c r="H13" s="688">
        <f>-E13</f>
        <v>18027.93</v>
      </c>
      <c r="I13" s="207">
        <v>0</v>
      </c>
      <c r="J13" s="207">
        <f>SUM(E13:I13)</f>
        <v>0</v>
      </c>
      <c r="K13" s="954"/>
      <c r="L13" s="82">
        <f t="shared" si="0"/>
        <v>6</v>
      </c>
      <c r="M13" s="1031">
        <v>-18027.93</v>
      </c>
      <c r="N13" s="973">
        <v>0</v>
      </c>
      <c r="O13" s="937">
        <f t="shared" si="3"/>
        <v>-18027.93</v>
      </c>
      <c r="Q13" s="82">
        <f t="shared" si="1"/>
        <v>6</v>
      </c>
      <c r="R13" s="1031">
        <v>-18027.93</v>
      </c>
      <c r="S13" s="973">
        <v>0</v>
      </c>
      <c r="T13" s="947">
        <f t="shared" si="4"/>
        <v>-18027.93</v>
      </c>
      <c r="V13" s="82">
        <f t="shared" si="2"/>
        <v>6</v>
      </c>
      <c r="W13" s="938"/>
      <c r="X13" s="938"/>
      <c r="Y13" s="947">
        <f t="shared" si="5"/>
        <v>0</v>
      </c>
    </row>
    <row r="14" spans="1:25">
      <c r="A14" s="103">
        <f t="shared" si="6"/>
        <v>4</v>
      </c>
      <c r="D14" s="688"/>
      <c r="E14" s="795"/>
      <c r="F14" s="795"/>
      <c r="G14" s="795"/>
      <c r="H14" s="795"/>
      <c r="I14" s="207"/>
      <c r="J14" s="1214"/>
      <c r="L14" s="82">
        <f t="shared" si="0"/>
        <v>7</v>
      </c>
      <c r="M14" s="1052"/>
      <c r="N14" s="642"/>
      <c r="O14" s="937">
        <f t="shared" si="3"/>
        <v>0</v>
      </c>
      <c r="Q14" s="82">
        <f t="shared" si="1"/>
        <v>7</v>
      </c>
      <c r="R14" s="1052"/>
      <c r="S14" s="642"/>
      <c r="T14" s="947">
        <f t="shared" si="4"/>
        <v>0</v>
      </c>
      <c r="V14" s="82">
        <f t="shared" si="2"/>
        <v>7</v>
      </c>
      <c r="W14" s="506"/>
      <c r="X14" s="506"/>
      <c r="Y14" s="947">
        <f t="shared" si="5"/>
        <v>0</v>
      </c>
    </row>
    <row r="15" spans="1:25">
      <c r="A15" s="103">
        <f t="shared" si="6"/>
        <v>5</v>
      </c>
      <c r="B15" s="23" t="s">
        <v>694</v>
      </c>
      <c r="D15" s="688">
        <f>HLOOKUP(Attach,$M$8:$Q$30,L15,FALSE)</f>
        <v>0</v>
      </c>
      <c r="E15" s="688">
        <f>HLOOKUP(Attach,$R$8:$U$30,Q15,FALSE)</f>
        <v>0</v>
      </c>
      <c r="F15" s="795">
        <v>0</v>
      </c>
      <c r="G15" s="209">
        <v>0</v>
      </c>
      <c r="H15" s="795">
        <v>0</v>
      </c>
      <c r="I15" s="207">
        <v>0</v>
      </c>
      <c r="J15" s="207">
        <f>SUM(E15:I15)</f>
        <v>0</v>
      </c>
      <c r="L15" s="82">
        <f t="shared" si="0"/>
        <v>8</v>
      </c>
      <c r="M15" s="1031">
        <v>0</v>
      </c>
      <c r="N15" s="973">
        <v>0</v>
      </c>
      <c r="O15" s="937">
        <f t="shared" si="3"/>
        <v>0</v>
      </c>
      <c r="Q15" s="82">
        <f t="shared" si="1"/>
        <v>8</v>
      </c>
      <c r="R15" s="1031">
        <v>0</v>
      </c>
      <c r="S15" s="973">
        <v>0</v>
      </c>
      <c r="T15" s="947">
        <f t="shared" si="4"/>
        <v>0</v>
      </c>
      <c r="V15" s="82">
        <f t="shared" si="2"/>
        <v>8</v>
      </c>
      <c r="W15" s="938"/>
      <c r="X15" s="938"/>
      <c r="Y15" s="947">
        <f t="shared" si="5"/>
        <v>0</v>
      </c>
    </row>
    <row r="16" spans="1:25">
      <c r="A16" s="103">
        <f t="shared" si="6"/>
        <v>6</v>
      </c>
      <c r="D16" s="688"/>
      <c r="E16" s="361"/>
      <c r="F16" s="361"/>
      <c r="G16" s="361"/>
      <c r="H16" s="361"/>
      <c r="I16" s="207"/>
      <c r="J16" s="1214"/>
      <c r="L16" s="82">
        <f t="shared" si="0"/>
        <v>9</v>
      </c>
      <c r="M16" s="1052"/>
      <c r="N16" s="642"/>
      <c r="O16" s="937">
        <f t="shared" si="3"/>
        <v>0</v>
      </c>
      <c r="Q16" s="82">
        <f t="shared" si="1"/>
        <v>9</v>
      </c>
      <c r="R16" s="1052"/>
      <c r="S16" s="642"/>
      <c r="T16" s="947">
        <f t="shared" si="4"/>
        <v>0</v>
      </c>
      <c r="V16" s="82">
        <f t="shared" si="2"/>
        <v>9</v>
      </c>
      <c r="W16" s="506"/>
      <c r="X16" s="506"/>
      <c r="Y16" s="947">
        <f t="shared" si="5"/>
        <v>0</v>
      </c>
    </row>
    <row r="17" spans="1:25">
      <c r="A17" s="103">
        <f t="shared" si="6"/>
        <v>7</v>
      </c>
      <c r="B17" s="23" t="s">
        <v>86</v>
      </c>
      <c r="D17" s="688">
        <f>HLOOKUP(Attach,$M$8:$Q$30,L17,FALSE)</f>
        <v>4212173.63</v>
      </c>
      <c r="E17" s="688">
        <f>HLOOKUP(Attach,$R$8:$U$30,Q17,FALSE)</f>
        <v>4260643.18</v>
      </c>
      <c r="F17" s="688">
        <v>0</v>
      </c>
      <c r="G17" s="688">
        <v>0</v>
      </c>
      <c r="H17" s="688">
        <f>'Sched D-3'!E22</f>
        <v>0</v>
      </c>
      <c r="I17" s="207">
        <f>'Sched E-1'!K22</f>
        <v>50163</v>
      </c>
      <c r="J17" s="207">
        <f>SUM(E17:I17)</f>
        <v>4310806.18</v>
      </c>
      <c r="L17" s="82">
        <f t="shared" si="0"/>
        <v>10</v>
      </c>
      <c r="M17" s="1031">
        <v>4212173.63</v>
      </c>
      <c r="N17" s="973">
        <v>0</v>
      </c>
      <c r="O17" s="937">
        <f t="shared" si="3"/>
        <v>4212173.63</v>
      </c>
      <c r="Q17" s="82">
        <f t="shared" si="1"/>
        <v>10</v>
      </c>
      <c r="R17" s="1031">
        <v>4260643.18</v>
      </c>
      <c r="S17" s="973">
        <v>0</v>
      </c>
      <c r="T17" s="947">
        <f t="shared" si="4"/>
        <v>4260643.18</v>
      </c>
      <c r="V17" s="82">
        <f t="shared" si="2"/>
        <v>10</v>
      </c>
      <c r="W17" s="938"/>
      <c r="X17" s="938"/>
      <c r="Y17" s="947">
        <f t="shared" si="5"/>
        <v>0</v>
      </c>
    </row>
    <row r="18" spans="1:25">
      <c r="A18" s="103">
        <f t="shared" si="6"/>
        <v>8</v>
      </c>
      <c r="D18" s="688"/>
      <c r="E18" s="688"/>
      <c r="F18" s="688"/>
      <c r="G18" s="688"/>
      <c r="H18" s="688"/>
      <c r="I18" s="207"/>
      <c r="J18" s="1214"/>
      <c r="L18" s="82">
        <f t="shared" si="0"/>
        <v>11</v>
      </c>
      <c r="M18" s="1052"/>
      <c r="N18" s="642"/>
      <c r="O18" s="937">
        <f t="shared" si="3"/>
        <v>0</v>
      </c>
      <c r="Q18" s="82">
        <f t="shared" si="1"/>
        <v>11</v>
      </c>
      <c r="R18" s="1052"/>
      <c r="S18" s="642"/>
      <c r="T18" s="947">
        <f t="shared" si="4"/>
        <v>0</v>
      </c>
      <c r="V18" s="82">
        <f t="shared" si="2"/>
        <v>11</v>
      </c>
      <c r="W18" s="506"/>
      <c r="X18" s="506"/>
      <c r="Y18" s="947">
        <f t="shared" si="5"/>
        <v>0</v>
      </c>
    </row>
    <row r="19" spans="1:25">
      <c r="A19" s="103">
        <f t="shared" ref="A19:A43" si="7">1+A18</f>
        <v>9</v>
      </c>
      <c r="B19" s="23" t="s">
        <v>87</v>
      </c>
      <c r="D19" s="688">
        <f>HLOOKUP(Attach,$M$8:$Q$30,L19,FALSE)</f>
        <v>237496160.82000002</v>
      </c>
      <c r="E19" s="688">
        <f>HLOOKUP(Attach,$R$8:$U$30,Q19,FALSE)</f>
        <v>249936085.19</v>
      </c>
      <c r="F19" s="688">
        <v>0</v>
      </c>
      <c r="G19" s="688">
        <f>SUM('Sched M-2'!F11:F27)+SUM('Sched M-2'!F55:F71)</f>
        <v>885919.4803130636</v>
      </c>
      <c r="H19" s="688">
        <f>'Sched D-3'!E42-'Sched D-3'!E25</f>
        <v>-3611082.1999999993</v>
      </c>
      <c r="I19" s="207">
        <f>'Sched E-1'!K42</f>
        <v>18605192</v>
      </c>
      <c r="J19" s="207">
        <f>SUM(E19:I19)</f>
        <v>265816114.47031307</v>
      </c>
      <c r="L19" s="82">
        <f t="shared" si="0"/>
        <v>12</v>
      </c>
      <c r="M19" s="1031">
        <v>122692868.65000002</v>
      </c>
      <c r="N19" s="973">
        <v>114803292.17</v>
      </c>
      <c r="O19" s="937">
        <f t="shared" si="3"/>
        <v>237496160.82000002</v>
      </c>
      <c r="Q19" s="82">
        <f t="shared" si="1"/>
        <v>12</v>
      </c>
      <c r="R19" s="1031">
        <v>130145402.13</v>
      </c>
      <c r="S19" s="973">
        <v>119790683.06</v>
      </c>
      <c r="T19" s="947">
        <f t="shared" si="4"/>
        <v>249936085.19</v>
      </c>
      <c r="V19" s="82">
        <f t="shared" si="2"/>
        <v>12</v>
      </c>
      <c r="W19" s="938"/>
      <c r="X19" s="938"/>
      <c r="Y19" s="947">
        <f t="shared" si="5"/>
        <v>0</v>
      </c>
    </row>
    <row r="20" spans="1:25">
      <c r="A20" s="103">
        <f t="shared" si="7"/>
        <v>10</v>
      </c>
      <c r="D20" s="688"/>
      <c r="E20" s="688"/>
      <c r="F20" s="688"/>
      <c r="G20" s="688"/>
      <c r="H20" s="688"/>
      <c r="I20" s="207"/>
      <c r="J20" s="1214"/>
      <c r="L20" s="82">
        <f t="shared" si="0"/>
        <v>13</v>
      </c>
      <c r="M20" s="1052"/>
      <c r="N20" s="642"/>
      <c r="O20" s="937">
        <f t="shared" si="3"/>
        <v>0</v>
      </c>
      <c r="Q20" s="82">
        <f t="shared" si="1"/>
        <v>13</v>
      </c>
      <c r="R20" s="1052"/>
      <c r="S20" s="642"/>
      <c r="T20" s="947">
        <f t="shared" si="4"/>
        <v>0</v>
      </c>
      <c r="V20" s="82">
        <f t="shared" si="2"/>
        <v>13</v>
      </c>
      <c r="W20" s="506"/>
      <c r="X20" s="506"/>
      <c r="Y20" s="947">
        <f t="shared" si="5"/>
        <v>0</v>
      </c>
    </row>
    <row r="21" spans="1:25">
      <c r="A21" s="103">
        <f t="shared" si="7"/>
        <v>11</v>
      </c>
      <c r="B21" s="23" t="s">
        <v>372</v>
      </c>
      <c r="D21" s="688">
        <f>HLOOKUP(Attach,$M$8:$Q$30,L21,FALSE)</f>
        <v>16522246.790000003</v>
      </c>
      <c r="E21" s="688">
        <f>HLOOKUP(Attach,$R$8:$U$30,Q21,FALSE)</f>
        <v>15862916.420000002</v>
      </c>
      <c r="F21" s="688">
        <v>0</v>
      </c>
      <c r="G21" s="688">
        <f>SUM('Sched M-2'!F28:F50)</f>
        <v>446675.50199329894</v>
      </c>
      <c r="H21" s="688">
        <f>'Sched D-3'!E68-'Sched D-3'!E45</f>
        <v>-3356005.0100000002</v>
      </c>
      <c r="I21" s="207">
        <f>'Sched E-1'!K68</f>
        <v>4485592</v>
      </c>
      <c r="J21" s="207">
        <f>SUM(E21:I21)</f>
        <v>17439178.911993302</v>
      </c>
      <c r="L21" s="82">
        <f t="shared" si="0"/>
        <v>14</v>
      </c>
      <c r="M21" s="1031">
        <v>5832716.5700000012</v>
      </c>
      <c r="N21" s="973">
        <v>10689530.220000001</v>
      </c>
      <c r="O21" s="937">
        <f t="shared" si="3"/>
        <v>16522246.790000003</v>
      </c>
      <c r="Q21" s="82">
        <f t="shared" si="1"/>
        <v>14</v>
      </c>
      <c r="R21" s="1031">
        <v>4526038.120000001</v>
      </c>
      <c r="S21" s="973">
        <v>11336878.300000001</v>
      </c>
      <c r="T21" s="947">
        <f t="shared" si="4"/>
        <v>15862916.420000002</v>
      </c>
      <c r="V21" s="82">
        <f t="shared" si="2"/>
        <v>14</v>
      </c>
      <c r="W21" s="938"/>
      <c r="X21" s="938"/>
      <c r="Y21" s="947">
        <f t="shared" si="5"/>
        <v>0</v>
      </c>
    </row>
    <row r="22" spans="1:25">
      <c r="A22" s="103">
        <f t="shared" si="7"/>
        <v>12</v>
      </c>
      <c r="D22" s="688"/>
      <c r="E22" s="688"/>
      <c r="F22" s="688"/>
      <c r="G22" s="688"/>
      <c r="H22" s="688"/>
      <c r="I22" s="207"/>
      <c r="J22" s="1214"/>
      <c r="L22" s="82">
        <f t="shared" si="0"/>
        <v>15</v>
      </c>
      <c r="M22" s="1052"/>
      <c r="N22" s="642"/>
      <c r="O22" s="937">
        <f t="shared" si="3"/>
        <v>0</v>
      </c>
      <c r="Q22" s="82">
        <f t="shared" si="1"/>
        <v>15</v>
      </c>
      <c r="R22" s="1052"/>
      <c r="S22" s="642"/>
      <c r="T22" s="947">
        <f t="shared" si="4"/>
        <v>0</v>
      </c>
      <c r="V22" s="82">
        <f t="shared" si="2"/>
        <v>15</v>
      </c>
      <c r="W22" s="506"/>
      <c r="X22" s="506"/>
      <c r="Y22" s="947">
        <f t="shared" si="5"/>
        <v>0</v>
      </c>
    </row>
    <row r="23" spans="1:25">
      <c r="A23" s="103">
        <f t="shared" si="7"/>
        <v>13</v>
      </c>
      <c r="B23" s="23" t="str">
        <f>'Sched E-1'!C70</f>
        <v>Other Utility Plant (Corporate Shared Assets - Note 1a)</v>
      </c>
      <c r="D23" s="688">
        <f t="shared" ref="D23:D29" si="8">HLOOKUP(Attach,$M$8:$Q$30,L23,FALSE)</f>
        <v>12040899.75259953</v>
      </c>
      <c r="E23" s="688">
        <f t="shared" ref="E23:E29" si="9">HLOOKUP(Attach,$R$8:$U$30,Q23,FALSE)</f>
        <v>12887426.376180589</v>
      </c>
      <c r="F23" s="708">
        <f t="shared" ref="F23:F29" si="10">HLOOKUP(Attach,$W$8:$Y$30,V23,FALSE)</f>
        <v>-1673099.670220586</v>
      </c>
      <c r="G23" s="688">
        <f>'Sched M-2'!F77</f>
        <v>28492.860976691645</v>
      </c>
      <c r="H23" s="688">
        <f>'Sched D-3'!E70</f>
        <v>-12041346.438632</v>
      </c>
      <c r="I23" s="207">
        <f>'Sched E-1'!K70</f>
        <v>1263502.9122755202</v>
      </c>
      <c r="J23" s="207">
        <f t="shared" ref="J23:J29" si="11">SUM(E23:I23)</f>
        <v>464976.04058021586</v>
      </c>
      <c r="L23" s="82">
        <f t="shared" si="0"/>
        <v>16</v>
      </c>
      <c r="M23" s="973">
        <v>8440463.99169809</v>
      </c>
      <c r="N23" s="973">
        <v>3600435.7609014399</v>
      </c>
      <c r="O23" s="937">
        <f t="shared" si="3"/>
        <v>12040899.75259953</v>
      </c>
      <c r="Q23" s="82">
        <f t="shared" si="1"/>
        <v>16</v>
      </c>
      <c r="R23" s="973">
        <v>9076562.5365015101</v>
      </c>
      <c r="S23" s="973">
        <v>3810863.8396790801</v>
      </c>
      <c r="T23" s="947">
        <f t="shared" si="4"/>
        <v>12887426.376180589</v>
      </c>
      <c r="V23" s="82">
        <f t="shared" si="2"/>
        <v>16</v>
      </c>
      <c r="W23" s="938">
        <v>-1105403.4841815101</v>
      </c>
      <c r="X23" s="938">
        <v>-567696.18603907595</v>
      </c>
      <c r="Y23" s="947">
        <f t="shared" si="5"/>
        <v>-1673099.670220586</v>
      </c>
    </row>
    <row r="24" spans="1:25">
      <c r="A24" s="103">
        <f t="shared" si="7"/>
        <v>14</v>
      </c>
      <c r="B24" s="23" t="str">
        <f>'Sched E-1'!C71</f>
        <v>Other Utility Plant (Corporate Shared Assets - Note 1b)</v>
      </c>
      <c r="D24" s="688">
        <f t="shared" si="8"/>
        <v>155500.1040790265</v>
      </c>
      <c r="E24" s="688">
        <f t="shared" si="9"/>
        <v>233297.35720686699</v>
      </c>
      <c r="F24" s="708">
        <f t="shared" si="10"/>
        <v>-38609.432266867196</v>
      </c>
      <c r="G24" s="688">
        <f>'Sched M-2'!F78</f>
        <v>3493.6454127629677</v>
      </c>
      <c r="H24" s="688">
        <f>'Sched D-3'!E71</f>
        <v>-321263.32669199992</v>
      </c>
      <c r="I24" s="207">
        <f>'Sched E-1'!K71</f>
        <v>564348.05417807272</v>
      </c>
      <c r="J24" s="207">
        <f t="shared" si="11"/>
        <v>441266.29783883557</v>
      </c>
      <c r="L24" s="82">
        <f t="shared" si="0"/>
        <v>17</v>
      </c>
      <c r="M24" s="973">
        <v>109745.574354514</v>
      </c>
      <c r="N24" s="973">
        <v>45754.529724512497</v>
      </c>
      <c r="O24" s="937">
        <f t="shared" si="3"/>
        <v>155500.1040790265</v>
      </c>
      <c r="Q24" s="82">
        <f t="shared" si="1"/>
        <v>17</v>
      </c>
      <c r="R24" s="973">
        <v>165318.33413082399</v>
      </c>
      <c r="S24" s="973">
        <v>67979.023076042999</v>
      </c>
      <c r="T24" s="947">
        <f t="shared" si="4"/>
        <v>233297.35720686699</v>
      </c>
      <c r="V24" s="82">
        <f t="shared" si="2"/>
        <v>17</v>
      </c>
      <c r="W24" s="938">
        <v>-26939.2811908242</v>
      </c>
      <c r="X24" s="938">
        <v>-11670.151076042999</v>
      </c>
      <c r="Y24" s="947">
        <f t="shared" si="5"/>
        <v>-38609.432266867196</v>
      </c>
    </row>
    <row r="25" spans="1:25">
      <c r="A25" s="103">
        <f t="shared" si="7"/>
        <v>15</v>
      </c>
      <c r="B25" s="23" t="str">
        <f>'Sched E-1'!C72</f>
        <v>Other Utility Plant (Corporate Unrecovered Reserve - Note 1c)</v>
      </c>
      <c r="D25" s="688">
        <f t="shared" si="8"/>
        <v>-1178988.08</v>
      </c>
      <c r="E25" s="688">
        <f t="shared" si="9"/>
        <v>-1178988.08</v>
      </c>
      <c r="F25" s="708">
        <f t="shared" si="10"/>
        <v>-492173.19920000003</v>
      </c>
      <c r="G25" s="688">
        <v>0</v>
      </c>
      <c r="H25" s="688">
        <v>0</v>
      </c>
      <c r="I25" s="207">
        <f>'Sched E-1'!K72</f>
        <v>139263.43993333334</v>
      </c>
      <c r="J25" s="207">
        <f t="shared" si="11"/>
        <v>-1531897.8392666669</v>
      </c>
      <c r="L25" s="82">
        <f t="shared" si="0"/>
        <v>18</v>
      </c>
      <c r="M25" s="973">
        <v>0</v>
      </c>
      <c r="N25" s="973">
        <v>-1178988.08</v>
      </c>
      <c r="O25" s="937">
        <f t="shared" si="3"/>
        <v>-1178988.08</v>
      </c>
      <c r="Q25" s="82">
        <f t="shared" si="1"/>
        <v>18</v>
      </c>
      <c r="R25" s="973">
        <v>0</v>
      </c>
      <c r="S25" s="973">
        <v>-1178988.08</v>
      </c>
      <c r="T25" s="947">
        <f t="shared" si="4"/>
        <v>-1178988.08</v>
      </c>
      <c r="V25" s="82">
        <f t="shared" si="2"/>
        <v>18</v>
      </c>
      <c r="W25" s="938">
        <v>-1187863.7664000001</v>
      </c>
      <c r="X25" s="938">
        <v>695690.56720000005</v>
      </c>
      <c r="Y25" s="947">
        <f t="shared" si="5"/>
        <v>-492173.19920000003</v>
      </c>
    </row>
    <row r="26" spans="1:25">
      <c r="A26" s="103">
        <f t="shared" si="7"/>
        <v>16</v>
      </c>
      <c r="B26" s="23" t="str">
        <f>'Sched E-1'!C73</f>
        <v>Other Utility Plant (Corporate Shared Assets - Note 2a)</v>
      </c>
      <c r="D26" s="688">
        <f t="shared" si="8"/>
        <v>3909307.5300000003</v>
      </c>
      <c r="E26" s="688">
        <f t="shared" si="9"/>
        <v>4446443.1885503996</v>
      </c>
      <c r="F26" s="708">
        <f t="shared" si="10"/>
        <v>-142265.7071214004</v>
      </c>
      <c r="G26" s="688">
        <f>'Sched M-2'!F79</f>
        <v>100483.70043197382</v>
      </c>
      <c r="H26" s="688">
        <f>'Sched D-3'!E72</f>
        <v>-2753328.7147239996</v>
      </c>
      <c r="I26" s="207">
        <f>'Sched E-1'!K73</f>
        <v>757396.46834651986</v>
      </c>
      <c r="J26" s="207">
        <f t="shared" si="11"/>
        <v>2408728.9354834934</v>
      </c>
      <c r="L26" s="82">
        <f t="shared" si="0"/>
        <v>19</v>
      </c>
      <c r="M26" s="973">
        <v>2137097.44</v>
      </c>
      <c r="N26" s="973">
        <v>1772210.09</v>
      </c>
      <c r="O26" s="937">
        <f t="shared" si="3"/>
        <v>3909307.5300000003</v>
      </c>
      <c r="Q26" s="82">
        <f t="shared" si="1"/>
        <v>19</v>
      </c>
      <c r="R26" s="973">
        <v>2496672.6379153598</v>
      </c>
      <c r="S26" s="973">
        <v>1949770.55063504</v>
      </c>
      <c r="T26" s="947">
        <f t="shared" si="4"/>
        <v>4446443.1885503996</v>
      </c>
      <c r="V26" s="82">
        <f t="shared" si="2"/>
        <v>19</v>
      </c>
      <c r="W26" s="938">
        <v>-12172.8009193614</v>
      </c>
      <c r="X26" s="938">
        <v>-130092.906202039</v>
      </c>
      <c r="Y26" s="947">
        <f t="shared" si="5"/>
        <v>-142265.7071214004</v>
      </c>
    </row>
    <row r="27" spans="1:25">
      <c r="A27" s="103">
        <f t="shared" si="7"/>
        <v>17</v>
      </c>
      <c r="B27" s="23" t="str">
        <f>'Sched E-1'!C74</f>
        <v>Other Utility Plant (Corporate Shared Assets - Note 2b)</v>
      </c>
      <c r="D27" s="688">
        <f t="shared" si="8"/>
        <v>824923.43887571397</v>
      </c>
      <c r="E27" s="688">
        <f t="shared" si="9"/>
        <v>154562.0838461738</v>
      </c>
      <c r="F27" s="708">
        <f t="shared" si="10"/>
        <v>-8923.5656111712997</v>
      </c>
      <c r="G27" s="688">
        <f>'Sched M-2'!F80</f>
        <v>7944.8208653466054</v>
      </c>
      <c r="H27" s="688">
        <f>'Sched D-3'!E73</f>
        <v>-996106.4411830001</v>
      </c>
      <c r="I27" s="207">
        <f>'Sched E-1'!K74</f>
        <v>120410.40020320663</v>
      </c>
      <c r="J27" s="207">
        <f t="shared" si="11"/>
        <v>-722112.7018794443</v>
      </c>
      <c r="L27" s="82">
        <f t="shared" si="0"/>
        <v>20</v>
      </c>
      <c r="M27" s="973">
        <v>448620.47929107398</v>
      </c>
      <c r="N27" s="973">
        <v>376302.95958463999</v>
      </c>
      <c r="O27" s="937">
        <f>M27+N27</f>
        <v>824923.43887571397</v>
      </c>
      <c r="Q27" s="82">
        <f t="shared" si="1"/>
        <v>20</v>
      </c>
      <c r="R27" s="973">
        <v>86461.588702896101</v>
      </c>
      <c r="S27" s="973">
        <v>68100.495143277702</v>
      </c>
      <c r="T27" s="947">
        <f>R27+S27</f>
        <v>154562.0838461738</v>
      </c>
      <c r="V27" s="82">
        <f t="shared" si="2"/>
        <v>20</v>
      </c>
      <c r="W27" s="938">
        <v>-2669.5645128946198</v>
      </c>
      <c r="X27" s="938">
        <v>-6254.0010982766798</v>
      </c>
      <c r="Y27" s="947">
        <f t="shared" si="5"/>
        <v>-8923.5656111712997</v>
      </c>
    </row>
    <row r="28" spans="1:25">
      <c r="A28" s="103">
        <f t="shared" si="7"/>
        <v>18</v>
      </c>
      <c r="B28" s="23" t="str">
        <f>'Sched E-1'!C75</f>
        <v>Other Utility Plant (Corporate Shared Assets - Note 2c)</v>
      </c>
      <c r="D28" s="688">
        <f t="shared" si="8"/>
        <v>2216338.2236323799</v>
      </c>
      <c r="E28" s="688">
        <f t="shared" si="9"/>
        <v>3002681.0978552201</v>
      </c>
      <c r="F28" s="708">
        <f t="shared" si="10"/>
        <v>-543781.44625522406</v>
      </c>
      <c r="G28" s="688">
        <f>'Sched M-2'!F81</f>
        <v>71345.609739078791</v>
      </c>
      <c r="H28" s="688">
        <f>'Sched D-3'!E74</f>
        <v>-161376.23636400001</v>
      </c>
      <c r="I28" s="207">
        <f>'Sched E-1'!K75</f>
        <v>751540.19298389181</v>
      </c>
      <c r="J28" s="207">
        <f t="shared" si="11"/>
        <v>3120409.2179589663</v>
      </c>
      <c r="L28" s="82">
        <f t="shared" si="0"/>
        <v>21</v>
      </c>
      <c r="M28" s="973">
        <v>1212814.2591218799</v>
      </c>
      <c r="N28" s="973">
        <v>1003523.9645105</v>
      </c>
      <c r="O28" s="937">
        <f>M28+N28</f>
        <v>2216338.2236323799</v>
      </c>
      <c r="Q28" s="82">
        <f t="shared" si="1"/>
        <v>21</v>
      </c>
      <c r="R28" s="973">
        <v>1687377.46757332</v>
      </c>
      <c r="S28" s="973">
        <v>1315303.6302819001</v>
      </c>
      <c r="T28" s="947">
        <f>R28+S28</f>
        <v>3002681.0978552201</v>
      </c>
      <c r="V28" s="82">
        <f t="shared" si="2"/>
        <v>21</v>
      </c>
      <c r="W28" s="938">
        <v>-265294.95017332601</v>
      </c>
      <c r="X28" s="938">
        <v>-278486.49608189799</v>
      </c>
      <c r="Y28" s="947">
        <f t="shared" si="5"/>
        <v>-543781.44625522406</v>
      </c>
    </row>
    <row r="29" spans="1:25">
      <c r="A29" s="103">
        <f t="shared" si="7"/>
        <v>19</v>
      </c>
      <c r="B29" s="23" t="str">
        <f>'Sched E-1'!C76</f>
        <v>Other Utility Plant (Corporate Unrecovered Reserve - Note 2d)</v>
      </c>
      <c r="D29" s="688">
        <f t="shared" si="8"/>
        <v>-4681760.92</v>
      </c>
      <c r="E29" s="688">
        <f t="shared" si="9"/>
        <v>-4681760.92</v>
      </c>
      <c r="F29" s="708">
        <f t="shared" si="10"/>
        <v>-84363.732799999882</v>
      </c>
      <c r="G29" s="688">
        <v>0</v>
      </c>
      <c r="H29" s="688">
        <v>0</v>
      </c>
      <c r="I29" s="207">
        <f>'Sched E-1'!K76</f>
        <v>397177.05439999996</v>
      </c>
      <c r="J29" s="207">
        <f t="shared" si="11"/>
        <v>-4368947.5983999996</v>
      </c>
      <c r="L29" s="82">
        <f t="shared" si="0"/>
        <v>22</v>
      </c>
      <c r="M29" s="973">
        <v>0</v>
      </c>
      <c r="N29" s="973">
        <v>-4681760.92</v>
      </c>
      <c r="O29" s="937">
        <f t="shared" si="3"/>
        <v>-4681760.92</v>
      </c>
      <c r="Q29" s="82">
        <f t="shared" si="1"/>
        <v>22</v>
      </c>
      <c r="R29" s="973">
        <v>0</v>
      </c>
      <c r="S29" s="973">
        <v>-4681760.92</v>
      </c>
      <c r="T29" s="947">
        <f t="shared" si="4"/>
        <v>-4681760.92</v>
      </c>
      <c r="V29" s="82">
        <f t="shared" si="2"/>
        <v>22</v>
      </c>
      <c r="W29" s="938">
        <v>-2745459.9761999999</v>
      </c>
      <c r="X29" s="938">
        <v>2661096.2434</v>
      </c>
      <c r="Y29" s="947">
        <f t="shared" si="5"/>
        <v>-84363.732799999882</v>
      </c>
    </row>
    <row r="30" spans="1:25">
      <c r="A30" s="103">
        <f t="shared" si="7"/>
        <v>20</v>
      </c>
      <c r="D30" s="361"/>
      <c r="E30" s="361"/>
      <c r="F30" s="361"/>
      <c r="G30" s="361"/>
      <c r="H30" s="361"/>
      <c r="I30" s="361"/>
      <c r="J30" s="361"/>
      <c r="L30" s="82">
        <f t="shared" si="0"/>
        <v>23</v>
      </c>
      <c r="M30" s="506"/>
      <c r="N30" s="506"/>
      <c r="O30" s="937">
        <f t="shared" si="3"/>
        <v>0</v>
      </c>
      <c r="Q30" s="82">
        <f t="shared" si="1"/>
        <v>23</v>
      </c>
      <c r="R30" s="506"/>
      <c r="S30" s="506"/>
      <c r="T30" s="947">
        <f t="shared" si="4"/>
        <v>0</v>
      </c>
      <c r="V30" s="82">
        <f t="shared" si="2"/>
        <v>23</v>
      </c>
      <c r="W30" s="506"/>
      <c r="X30" s="506"/>
      <c r="Y30" s="946">
        <f t="shared" si="5"/>
        <v>0</v>
      </c>
    </row>
    <row r="31" spans="1:25" ht="13.5" thickBot="1">
      <c r="A31" s="103">
        <f t="shared" si="7"/>
        <v>21</v>
      </c>
      <c r="B31" s="23" t="s">
        <v>743</v>
      </c>
      <c r="D31" s="113">
        <f t="shared" ref="D31:J31" si="12">ROUND(SUM(D11:D30),0)</f>
        <v>272453377</v>
      </c>
      <c r="E31" s="113">
        <f t="shared" si="12"/>
        <v>285893862</v>
      </c>
      <c r="F31" s="113">
        <f t="shared" si="12"/>
        <v>-2983217</v>
      </c>
      <c r="G31" s="113">
        <f t="shared" si="12"/>
        <v>1544356</v>
      </c>
      <c r="H31" s="113">
        <f t="shared" si="12"/>
        <v>-23222480</v>
      </c>
      <c r="I31" s="113">
        <f t="shared" si="12"/>
        <v>27198020</v>
      </c>
      <c r="J31" s="113">
        <f t="shared" si="12"/>
        <v>288430540</v>
      </c>
      <c r="M31" s="953">
        <f>ROUND(SUM(M11:M30),0)</f>
        <v>145678847</v>
      </c>
      <c r="N31" s="953">
        <f>ROUND(SUM(N11:N30),0)</f>
        <v>126774530</v>
      </c>
      <c r="O31" s="953">
        <f>ROUND(SUM(O11:O30),0)</f>
        <v>272453377</v>
      </c>
      <c r="R31" s="953">
        <f>ROUND(SUM(R11:R30),0)</f>
        <v>153069813</v>
      </c>
      <c r="S31" s="953">
        <f>ROUND(SUM(S11:S30),0)</f>
        <v>132824049</v>
      </c>
      <c r="T31" s="953">
        <f>ROUND(SUM(T11:T30),0)</f>
        <v>285893862</v>
      </c>
      <c r="W31" s="953">
        <f>ROUND(SUM(W11:W30),0)</f>
        <v>-5345804</v>
      </c>
      <c r="X31" s="953">
        <f>ROUND(SUM(X11:X30),0)</f>
        <v>2362587</v>
      </c>
      <c r="Y31" s="953">
        <f>ROUND(SUM(Y11:Y30),0)</f>
        <v>-2983217</v>
      </c>
    </row>
    <row r="32" spans="1:25" ht="13.5" thickTop="1">
      <c r="A32" s="103">
        <f t="shared" si="7"/>
        <v>22</v>
      </c>
    </row>
    <row r="33" spans="1:20">
      <c r="A33" s="103">
        <f t="shared" si="7"/>
        <v>23</v>
      </c>
      <c r="B33" s="23" t="str">
        <f>'Sched E-1'!B81</f>
        <v xml:space="preserve">(Note 1a) Figure represents Other Utility Plant, Corporate Shared Assets allocated on customer count of all regulated utilities per CAM.  </v>
      </c>
      <c r="I33" s="160"/>
    </row>
    <row r="34" spans="1:20">
      <c r="A34" s="103">
        <f t="shared" si="7"/>
        <v>24</v>
      </c>
      <c r="B34" s="23" t="str">
        <f>'Sched E-1'!B82</f>
        <v xml:space="preserve">(Note 1b) Figure represents Other Utility Plant, Corporate Shared Assets allocated on customer count of all regulated gas utilities per CAM.  </v>
      </c>
      <c r="I34" s="954"/>
      <c r="J34" s="160"/>
      <c r="M34" s="123">
        <v>145678847</v>
      </c>
      <c r="N34" s="123">
        <v>126774530</v>
      </c>
      <c r="O34" s="123">
        <v>272453377</v>
      </c>
      <c r="R34" s="123">
        <v>153069813</v>
      </c>
      <c r="S34" s="123">
        <v>132824049</v>
      </c>
      <c r="T34" s="123">
        <v>285893862</v>
      </c>
    </row>
    <row r="35" spans="1:20">
      <c r="A35" s="103">
        <f t="shared" si="7"/>
        <v>25</v>
      </c>
      <c r="B35" s="23" t="str">
        <f>'Sched E-1'!B83</f>
        <v>(Note 1c) Figure represents Other Utility Plant, Corporate Unrecovered Reserve allocated on customer count per CAM.</v>
      </c>
      <c r="M35" s="1048">
        <f>M34-M31</f>
        <v>0</v>
      </c>
      <c r="N35" s="1048">
        <f t="shared" ref="N35:O35" si="13">N34-N31</f>
        <v>0</v>
      </c>
      <c r="O35" s="1048">
        <f t="shared" si="13"/>
        <v>0</v>
      </c>
      <c r="R35" s="1048">
        <f>R34-R31</f>
        <v>0</v>
      </c>
      <c r="S35" s="1048">
        <f t="shared" ref="S35" si="14">S34-S31</f>
        <v>0</v>
      </c>
      <c r="T35" s="1048">
        <f t="shared" ref="T35" si="15">T34-T31</f>
        <v>0</v>
      </c>
    </row>
    <row r="36" spans="1:20">
      <c r="A36" s="103">
        <f t="shared" si="7"/>
        <v>26</v>
      </c>
      <c r="B36" s="23" t="str">
        <f>'Sched E-1'!B84</f>
        <v xml:space="preserve">(Note 2a) Figure represents Other Utility Plant, Corporate Shared Assets allocated on the blended ratio to all entities per CAM.  </v>
      </c>
      <c r="M36" s="1048"/>
      <c r="N36" s="1048"/>
      <c r="O36" s="1048"/>
      <c r="R36" s="1048"/>
      <c r="S36" s="1048"/>
      <c r="T36" s="1048"/>
    </row>
    <row r="37" spans="1:20">
      <c r="A37" s="103">
        <f t="shared" si="7"/>
        <v>27</v>
      </c>
      <c r="B37" s="23" t="str">
        <f>'Sched E-1'!B85</f>
        <v xml:space="preserve">(Note 2b) Figure represents Other Utility Plant, Corporate Shared Assets allocated on the blended ratio to all regulated utilities per CAM.  </v>
      </c>
      <c r="T37" s="1048"/>
    </row>
    <row r="38" spans="1:20">
      <c r="A38" s="103">
        <f t="shared" si="7"/>
        <v>28</v>
      </c>
      <c r="B38" s="23" t="str">
        <f>'Sched E-1'!B86</f>
        <v xml:space="preserve">(Note 2c) Figure represents Other Utility Plant, Corporate Shared Assets allocated on the blended ratio to all regulated gas utilities per CAM.  </v>
      </c>
      <c r="M38" s="754"/>
      <c r="N38" s="501"/>
      <c r="T38" s="1048"/>
    </row>
    <row r="39" spans="1:20">
      <c r="A39" s="103">
        <f t="shared" si="7"/>
        <v>29</v>
      </c>
      <c r="B39" s="23" t="str">
        <f>'Sched E-1'!B87</f>
        <v>(Note 2d) Figure represents Other Utility Plant, Corporate Unrecovered Reserve allocated on general ratio per CAM.</v>
      </c>
      <c r="M39" s="1048"/>
      <c r="N39" s="1048"/>
      <c r="O39" s="1048"/>
      <c r="R39" s="1048"/>
      <c r="S39" s="1048"/>
      <c r="T39" s="1048"/>
    </row>
    <row r="40" spans="1:20">
      <c r="A40" s="103">
        <f t="shared" si="7"/>
        <v>30</v>
      </c>
      <c r="B40" s="23" t="s">
        <v>1489</v>
      </c>
      <c r="M40" s="1048"/>
      <c r="N40" s="1048"/>
      <c r="O40" s="1048"/>
      <c r="R40" s="1048"/>
      <c r="S40" s="1048"/>
      <c r="T40" s="1048"/>
    </row>
    <row r="41" spans="1:20">
      <c r="A41" s="103">
        <f t="shared" si="7"/>
        <v>31</v>
      </c>
      <c r="B41" s="23" t="s">
        <v>1239</v>
      </c>
      <c r="I41" s="40"/>
    </row>
    <row r="42" spans="1:20">
      <c r="A42" s="103">
        <f t="shared" si="7"/>
        <v>32</v>
      </c>
      <c r="B42" s="23" t="s">
        <v>1240</v>
      </c>
      <c r="I42" s="505"/>
      <c r="K42" s="23"/>
      <c r="M42" s="754"/>
      <c r="N42" s="501"/>
    </row>
    <row r="43" spans="1:20">
      <c r="A43" s="103">
        <f t="shared" si="7"/>
        <v>33</v>
      </c>
      <c r="B43" s="82" t="s">
        <v>1485</v>
      </c>
      <c r="D43" s="496"/>
      <c r="E43" s="496"/>
      <c r="F43" s="496"/>
      <c r="G43" s="496"/>
      <c r="H43" s="496"/>
      <c r="I43" s="496"/>
      <c r="J43" s="502"/>
      <c r="K43" s="23"/>
    </row>
    <row r="44" spans="1:20">
      <c r="A44" s="103"/>
      <c r="J44" s="502"/>
      <c r="K44" s="23"/>
    </row>
    <row r="45" spans="1:20">
      <c r="F45" s="505"/>
      <c r="G45" s="505"/>
      <c r="H45" s="505"/>
      <c r="I45" s="505"/>
      <c r="J45" s="502"/>
      <c r="K45" s="23"/>
      <c r="M45" s="754"/>
      <c r="N45" s="501"/>
    </row>
    <row r="46" spans="1:20">
      <c r="D46" s="496" t="s">
        <v>968</v>
      </c>
      <c r="E46" s="975">
        <f>E31+('Stmt A pg 1'!F19+'Stmt A pg 1'!F23+'Stmt A pg 1'!F25)</f>
        <v>0.63000005483627319</v>
      </c>
      <c r="F46" s="160"/>
      <c r="G46" s="160"/>
      <c r="H46" s="975">
        <f>H31-('Sched D-3'!E77-E13)+('Sched D-3'!K45+'Sched D-3'!K25)+(-57005.74-42075.67)</f>
        <v>-99080.972404997417</v>
      </c>
      <c r="I46" s="975">
        <f>I31-'Sched E-1'!K79</f>
        <v>0</v>
      </c>
      <c r="J46" s="502"/>
      <c r="K46" s="496"/>
      <c r="M46" s="754"/>
      <c r="N46" s="501"/>
      <c r="R46" s="975">
        <f>R31+('Stmt A pg 1'!I19+'Stmt A pg 1'!I23+'Stmt A pg 1'!I25-695493-962053)</f>
        <v>-1657545.9499999881</v>
      </c>
      <c r="S46" s="975">
        <f>S31+('Stmt A pg 1'!J19+'Stmt A pg 1'!J23+'Stmt A pg 1'!J25-475524-12408-11.48)</f>
        <v>-487942.89999997616</v>
      </c>
    </row>
    <row r="47" spans="1:20">
      <c r="F47" s="160"/>
      <c r="G47" s="160"/>
      <c r="H47" s="975">
        <f>SUM(H23:H29)+16313370</f>
        <v>39948.842404998839</v>
      </c>
      <c r="I47" s="160"/>
      <c r="K47" s="23"/>
    </row>
    <row r="48" spans="1:20">
      <c r="D48" s="496"/>
      <c r="E48" s="496"/>
      <c r="F48" s="496"/>
      <c r="G48" s="496"/>
      <c r="H48" s="496"/>
      <c r="I48" s="496"/>
      <c r="J48" s="496"/>
      <c r="K48" s="23"/>
    </row>
    <row r="49" spans="4:23">
      <c r="K49" s="23"/>
      <c r="M49" s="754"/>
      <c r="N49" s="501"/>
      <c r="O49" s="494"/>
      <c r="R49" s="494"/>
      <c r="W49" s="494"/>
    </row>
    <row r="50" spans="4:23">
      <c r="F50" s="505"/>
      <c r="G50" s="505"/>
      <c r="H50" s="505"/>
      <c r="I50" s="505"/>
      <c r="K50" s="23"/>
      <c r="M50" s="754"/>
      <c r="N50" s="501"/>
    </row>
    <row r="51" spans="4:23">
      <c r="D51" s="502"/>
      <c r="E51" s="502"/>
      <c r="F51" s="160"/>
      <c r="G51" s="160"/>
      <c r="H51" s="160"/>
      <c r="I51" s="160"/>
      <c r="J51" s="502"/>
      <c r="K51" s="23"/>
    </row>
    <row r="52" spans="4:23">
      <c r="D52" s="502"/>
      <c r="E52" s="502"/>
      <c r="F52" s="496"/>
      <c r="G52" s="496"/>
      <c r="H52" s="496"/>
      <c r="I52" s="496"/>
      <c r="J52" s="502"/>
      <c r="K52" s="23"/>
    </row>
    <row r="53" spans="4:23">
      <c r="M53" s="754"/>
      <c r="N53" s="501"/>
    </row>
    <row r="54" spans="4:23">
      <c r="M54" s="754"/>
      <c r="N54" s="501"/>
    </row>
    <row r="55" spans="4:23">
      <c r="M55" s="501"/>
      <c r="N55" s="494"/>
    </row>
    <row r="57" spans="4:23">
      <c r="N57" s="501"/>
    </row>
    <row r="58" spans="4:23">
      <c r="M58" s="501"/>
      <c r="N58" s="754"/>
    </row>
    <row r="59" spans="4:23">
      <c r="M59" s="501"/>
      <c r="N59" s="754"/>
    </row>
  </sheetData>
  <phoneticPr fontId="12" type="noConversion"/>
  <pageMargins left="0.6" right="0.43" top="1" bottom="0.89" header="0.5" footer="0.19"/>
  <pageSetup scale="73" orientation="landscape" verticalDpi="300" r:id="rId1"/>
  <headerFooter alignWithMargins="0">
    <oddHeader xml:space="preserve">&amp;R&amp;"Times New Roman,Bold"
</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DB3E4-615A-4020-A46F-B1893D5E02DB}">
  <sheetPr transitionEvaluation="1">
    <pageSetUpPr fitToPage="1"/>
  </sheetPr>
  <dimension ref="A1:AK94"/>
  <sheetViews>
    <sheetView workbookViewId="0"/>
  </sheetViews>
  <sheetFormatPr defaultColWidth="9.33203125" defaultRowHeight="12.75"/>
  <cols>
    <col min="1" max="1" width="6.83203125" style="514" customWidth="1"/>
    <col min="2" max="2" width="8.1640625" style="514" bestFit="1" customWidth="1"/>
    <col min="3" max="3" width="51.33203125" style="514" customWidth="1"/>
    <col min="4" max="4" width="3.33203125" style="514" customWidth="1"/>
    <col min="5" max="5" width="14.83203125" style="514" customWidth="1"/>
    <col min="6" max="6" width="3.33203125" style="514" customWidth="1"/>
    <col min="7" max="7" width="17.33203125" style="962" customWidth="1"/>
    <col min="8" max="8" width="4.33203125" style="1292" customWidth="1"/>
    <col min="9" max="9" width="17.33203125" style="962" customWidth="1"/>
    <col min="10" max="10" width="3.83203125" style="1292" customWidth="1"/>
    <col min="11" max="11" width="20.6640625" style="514" customWidth="1"/>
    <col min="12" max="12" width="3.83203125" style="514" customWidth="1"/>
    <col min="13" max="13" width="5.33203125" style="514" customWidth="1"/>
    <col min="14" max="15" width="17.6640625" style="514" customWidth="1"/>
    <col min="16" max="16" width="21.6640625" style="514" customWidth="1"/>
    <col min="17" max="17" width="4.1640625" style="514" customWidth="1"/>
    <col min="18" max="18" width="5.33203125" style="514" customWidth="1"/>
    <col min="19" max="21" width="9" style="514" customWidth="1"/>
    <col min="22" max="22" width="3.33203125" style="514" customWidth="1"/>
    <col min="23" max="23" width="5" style="514" customWidth="1"/>
    <col min="24" max="26" width="14.83203125" style="514" customWidth="1"/>
    <col min="27" max="27" width="3.1640625" style="514" customWidth="1"/>
    <col min="28" max="28" width="4.6640625" style="514" customWidth="1"/>
    <col min="29" max="31" width="9" style="514" customWidth="1"/>
    <col min="32" max="33" width="9.33203125" style="514"/>
    <col min="34" max="36" width="14.83203125" style="514" customWidth="1"/>
    <col min="37" max="37" width="12" style="514" bestFit="1" customWidth="1"/>
    <col min="38" max="16384" width="9.33203125" style="514"/>
  </cols>
  <sheetData>
    <row r="1" spans="1:36">
      <c r="A1" s="513" t="s">
        <v>951</v>
      </c>
      <c r="B1" s="1268"/>
      <c r="C1" s="1268"/>
      <c r="D1" s="1268"/>
      <c r="E1" s="1272"/>
      <c r="F1" s="1268"/>
      <c r="G1" s="1269"/>
      <c r="H1" s="1270"/>
      <c r="I1" s="1269"/>
      <c r="J1" s="1270"/>
      <c r="K1" s="615" t="s">
        <v>1324</v>
      </c>
      <c r="L1" s="542"/>
      <c r="N1" s="1271"/>
      <c r="O1" s="1271"/>
      <c r="P1" s="1271"/>
    </row>
    <row r="2" spans="1:36">
      <c r="A2" s="1268" t="s">
        <v>1271</v>
      </c>
      <c r="B2" s="1268"/>
      <c r="C2" s="1268"/>
      <c r="D2" s="1268"/>
      <c r="E2" s="1272"/>
      <c r="F2" s="1268"/>
      <c r="G2" s="1273"/>
      <c r="H2" s="1274"/>
      <c r="I2" s="1273"/>
      <c r="J2" s="1274"/>
      <c r="K2" s="72" t="str">
        <f>Attach</f>
        <v>FINAL - BH January 15, 2021 Rev. Req. Model</v>
      </c>
      <c r="L2" s="1275"/>
    </row>
    <row r="3" spans="1:36">
      <c r="A3" s="70" t="s">
        <v>975</v>
      </c>
      <c r="B3" s="1268"/>
      <c r="C3" s="1268"/>
      <c r="D3" s="1268"/>
      <c r="E3" s="1276"/>
      <c r="F3" s="1268"/>
      <c r="G3" s="1273"/>
      <c r="H3" s="1274"/>
      <c r="I3" s="1273"/>
      <c r="J3" s="1274"/>
      <c r="K3" s="1275" t="s">
        <v>1184</v>
      </c>
      <c r="L3" s="1275"/>
    </row>
    <row r="4" spans="1:36">
      <c r="A4" s="1277"/>
      <c r="B4" s="1277"/>
      <c r="E4" s="1278" t="s">
        <v>199</v>
      </c>
      <c r="F4" s="1278"/>
      <c r="G4" s="1278" t="s">
        <v>200</v>
      </c>
      <c r="H4" s="1278"/>
      <c r="I4" s="1278" t="s">
        <v>41</v>
      </c>
      <c r="J4" s="1278"/>
      <c r="K4" s="1278" t="s">
        <v>202</v>
      </c>
      <c r="L4" s="1278"/>
    </row>
    <row r="5" spans="1:36">
      <c r="A5" s="1277"/>
      <c r="B5" s="1277"/>
      <c r="E5" s="1278"/>
      <c r="F5" s="1278"/>
      <c r="G5" s="1278"/>
      <c r="H5" s="1278"/>
      <c r="I5" s="1278"/>
      <c r="J5" s="1278"/>
      <c r="K5" s="411" t="s">
        <v>1043</v>
      </c>
      <c r="L5" s="1278"/>
    </row>
    <row r="6" spans="1:36">
      <c r="A6" s="1279"/>
      <c r="B6" s="1279"/>
      <c r="C6" s="519"/>
      <c r="D6" s="519"/>
      <c r="E6" s="1280" t="s">
        <v>52</v>
      </c>
      <c r="F6" s="519"/>
      <c r="G6" s="1278" t="s">
        <v>843</v>
      </c>
      <c r="H6" s="1281"/>
      <c r="I6" s="1278" t="s">
        <v>850</v>
      </c>
      <c r="J6" s="1281"/>
      <c r="K6" s="1279" t="s">
        <v>1185</v>
      </c>
      <c r="L6" s="1279"/>
      <c r="M6" s="1282" t="s">
        <v>1109</v>
      </c>
      <c r="N6" s="1283"/>
      <c r="O6" s="1284"/>
      <c r="P6" s="1284"/>
      <c r="S6" s="514" t="s">
        <v>1458</v>
      </c>
      <c r="X6" s="1285" t="s">
        <v>1459</v>
      </c>
      <c r="Y6" s="1285"/>
      <c r="AC6" s="514" t="s">
        <v>1460</v>
      </c>
      <c r="AH6" s="1285" t="s">
        <v>1461</v>
      </c>
      <c r="AI6" s="1285"/>
    </row>
    <row r="7" spans="1:36">
      <c r="A7" s="1279" t="s">
        <v>365</v>
      </c>
      <c r="B7" s="1279" t="s">
        <v>241</v>
      </c>
      <c r="C7" s="1279"/>
      <c r="D7" s="1279"/>
      <c r="E7" s="1278" t="s">
        <v>53</v>
      </c>
      <c r="F7" s="1279"/>
      <c r="G7" s="1286" t="s">
        <v>1186</v>
      </c>
      <c r="H7" s="1281"/>
      <c r="I7" s="1286" t="s">
        <v>1186</v>
      </c>
      <c r="J7" s="1281"/>
      <c r="K7" s="1279" t="s">
        <v>1187</v>
      </c>
      <c r="L7" s="1279"/>
      <c r="M7" s="514">
        <f>1+M6</f>
        <v>1</v>
      </c>
      <c r="N7" s="86" t="str">
        <f>References!$C$17</f>
        <v>Exhibit No. MCC-2 NEG</v>
      </c>
      <c r="O7" s="86" t="str">
        <f>References!$D$17</f>
        <v>Exhibit No. MCC-2 NEGD</v>
      </c>
      <c r="P7" s="86" t="str">
        <f>References!$E$17</f>
        <v>FINAL - BH January 15, 2021 Rev. Req. Model</v>
      </c>
      <c r="R7" s="514">
        <f>1+R6</f>
        <v>1</v>
      </c>
      <c r="S7" s="86" t="str">
        <f>References!$C$17</f>
        <v>Exhibit No. MCC-2 NEG</v>
      </c>
      <c r="T7" s="86" t="str">
        <f>References!$D$17</f>
        <v>Exhibit No. MCC-2 NEGD</v>
      </c>
      <c r="U7" s="86" t="str">
        <f>References!$E$17</f>
        <v>FINAL - BH January 15, 2021 Rev. Req. Model</v>
      </c>
      <c r="W7" s="514">
        <v>1</v>
      </c>
      <c r="X7" s="86" t="str">
        <f>References!$C$17</f>
        <v>Exhibit No. MCC-2 NEG</v>
      </c>
      <c r="Y7" s="86" t="str">
        <f>References!$D$17</f>
        <v>Exhibit No. MCC-2 NEGD</v>
      </c>
      <c r="Z7" s="86" t="str">
        <f>References!$E$17</f>
        <v>FINAL - BH January 15, 2021 Rev. Req. Model</v>
      </c>
      <c r="AB7" s="514">
        <v>1</v>
      </c>
      <c r="AC7" s="86" t="str">
        <f>References!$C$17</f>
        <v>Exhibit No. MCC-2 NEG</v>
      </c>
      <c r="AD7" s="86" t="str">
        <f>References!$D$17</f>
        <v>Exhibit No. MCC-2 NEGD</v>
      </c>
      <c r="AE7" s="86" t="str">
        <f>References!$E$17</f>
        <v>FINAL - BH January 15, 2021 Rev. Req. Model</v>
      </c>
      <c r="AG7" s="514">
        <v>1</v>
      </c>
      <c r="AH7" s="86" t="str">
        <f>References!$C$17</f>
        <v>Exhibit No. MCC-2 NEG</v>
      </c>
      <c r="AI7" s="86" t="str">
        <f>References!$D$17</f>
        <v>Exhibit No. MCC-2 NEGD</v>
      </c>
      <c r="AJ7" s="86" t="str">
        <f>References!$E$17</f>
        <v>FINAL - BH January 15, 2021 Rev. Req. Model</v>
      </c>
    </row>
    <row r="8" spans="1:36">
      <c r="A8" s="1287" t="s">
        <v>195</v>
      </c>
      <c r="B8" s="1287" t="s">
        <v>515</v>
      </c>
      <c r="C8" s="1287" t="s">
        <v>196</v>
      </c>
      <c r="D8" s="1287"/>
      <c r="E8" s="1288">
        <v>43830</v>
      </c>
      <c r="F8" s="1287"/>
      <c r="G8" s="1289" t="s">
        <v>1188</v>
      </c>
      <c r="H8" s="1281"/>
      <c r="I8" s="1289" t="s">
        <v>1189</v>
      </c>
      <c r="J8" s="1281"/>
      <c r="K8" s="1288">
        <v>44196</v>
      </c>
      <c r="L8" s="1290"/>
      <c r="M8" s="514">
        <f t="shared" ref="M8:M71" si="0">1+M7</f>
        <v>2</v>
      </c>
      <c r="N8" s="514" t="s">
        <v>955</v>
      </c>
      <c r="O8" s="514" t="s">
        <v>958</v>
      </c>
      <c r="P8" s="514" t="s">
        <v>535</v>
      </c>
      <c r="R8" s="514">
        <f t="shared" ref="R8:R71" si="1">1+R7</f>
        <v>2</v>
      </c>
      <c r="S8" s="514" t="s">
        <v>955</v>
      </c>
      <c r="T8" s="514" t="s">
        <v>958</v>
      </c>
      <c r="U8" s="514" t="s">
        <v>535</v>
      </c>
      <c r="W8" s="514">
        <f t="shared" ref="W8:W71" si="2">1+W7</f>
        <v>2</v>
      </c>
      <c r="X8" s="514" t="s">
        <v>955</v>
      </c>
      <c r="Y8" s="514" t="s">
        <v>958</v>
      </c>
      <c r="Z8" s="514" t="s">
        <v>535</v>
      </c>
      <c r="AB8" s="514">
        <f t="shared" ref="AB8:AB71" si="3">1+AB7</f>
        <v>2</v>
      </c>
      <c r="AC8" s="514" t="s">
        <v>955</v>
      </c>
      <c r="AD8" s="514" t="s">
        <v>958</v>
      </c>
      <c r="AE8" s="514" t="s">
        <v>535</v>
      </c>
      <c r="AG8" s="514">
        <f t="shared" ref="AG8:AG71" si="4">1+AG7</f>
        <v>2</v>
      </c>
      <c r="AH8" s="514" t="s">
        <v>955</v>
      </c>
      <c r="AI8" s="514" t="s">
        <v>958</v>
      </c>
      <c r="AJ8" s="514" t="s">
        <v>535</v>
      </c>
    </row>
    <row r="9" spans="1:36">
      <c r="A9" s="1291"/>
      <c r="B9" s="1291"/>
      <c r="C9" s="962"/>
      <c r="M9" s="514">
        <f t="shared" si="0"/>
        <v>3</v>
      </c>
      <c r="R9" s="514">
        <f t="shared" si="1"/>
        <v>3</v>
      </c>
      <c r="W9" s="514">
        <f t="shared" si="2"/>
        <v>3</v>
      </c>
      <c r="AB9" s="514">
        <f t="shared" si="3"/>
        <v>3</v>
      </c>
      <c r="AG9" s="514">
        <f t="shared" si="4"/>
        <v>3</v>
      </c>
    </row>
    <row r="10" spans="1:36">
      <c r="A10" s="1291">
        <f>1+A9</f>
        <v>1</v>
      </c>
      <c r="B10" s="1291"/>
      <c r="C10" s="1293" t="s">
        <v>366</v>
      </c>
      <c r="E10" s="962"/>
      <c r="F10" s="962"/>
      <c r="K10" s="962"/>
      <c r="L10" s="962"/>
      <c r="M10" s="514">
        <f t="shared" si="0"/>
        <v>4</v>
      </c>
      <c r="R10" s="514">
        <f t="shared" si="1"/>
        <v>4</v>
      </c>
      <c r="W10" s="514">
        <f t="shared" si="2"/>
        <v>4</v>
      </c>
      <c r="AB10" s="514">
        <f t="shared" si="3"/>
        <v>4</v>
      </c>
      <c r="AG10" s="514">
        <f t="shared" si="4"/>
        <v>4</v>
      </c>
    </row>
    <row r="11" spans="1:36">
      <c r="A11" s="1291">
        <f t="shared" ref="A11:A79" si="5">1+A10</f>
        <v>2</v>
      </c>
      <c r="B11" s="1294">
        <v>301</v>
      </c>
      <c r="C11" s="1295" t="s">
        <v>547</v>
      </c>
      <c r="E11" s="1296">
        <f>HLOOKUP(Attach,$N$7:$P$79,M11,FALSE)</f>
        <v>256</v>
      </c>
      <c r="F11" s="1029"/>
      <c r="G11" s="1296">
        <f>HLOOKUP(Attach,$X$7:$Z$79,R11,FALSE)</f>
        <v>6.8266666666666671</v>
      </c>
      <c r="H11" s="1296"/>
      <c r="I11" s="1296">
        <f>HLOOKUP(Attach,$AH$7:$AJ$79,AG11,FALSE)</f>
        <v>0</v>
      </c>
      <c r="J11" s="1296"/>
      <c r="K11" s="1296">
        <f>SUM(G11:I11)</f>
        <v>6.8266666666666671</v>
      </c>
      <c r="L11" s="1029"/>
      <c r="M11" s="514">
        <f t="shared" si="0"/>
        <v>5</v>
      </c>
      <c r="N11" s="1299">
        <f>IFERROR(VLOOKUP(B11,'Sched D-1'!B:Y,22,FALSE),0)</f>
        <v>256</v>
      </c>
      <c r="O11" s="1299">
        <f>IFERROR(VLOOKUP(B11,'Sched D-1'!B:Y,23,FALSE),0)</f>
        <v>0</v>
      </c>
      <c r="P11" s="1299">
        <f>+N11+O11</f>
        <v>256</v>
      </c>
      <c r="R11" s="514">
        <f t="shared" si="1"/>
        <v>5</v>
      </c>
      <c r="S11" s="1300">
        <v>0.04</v>
      </c>
      <c r="T11" s="1300">
        <v>0</v>
      </c>
      <c r="U11" s="1299"/>
      <c r="W11" s="514">
        <f t="shared" si="2"/>
        <v>5</v>
      </c>
      <c r="X11" s="1297">
        <f>(N11*S11)/12*8</f>
        <v>6.8266666666666671</v>
      </c>
      <c r="Y11" s="1298">
        <f>(O11*T11)/12*8</f>
        <v>0</v>
      </c>
      <c r="Z11" s="1299">
        <f>+X11+Y11</f>
        <v>6.8266666666666671</v>
      </c>
      <c r="AB11" s="514">
        <f t="shared" si="3"/>
        <v>5</v>
      </c>
      <c r="AC11" s="1300"/>
      <c r="AD11" s="1300"/>
      <c r="AE11" s="1301">
        <f>IFERROR(VLOOKUP(B11,'Sched J-1'!B:K,10,FALSE),0)</f>
        <v>0</v>
      </c>
      <c r="AG11" s="514">
        <f t="shared" si="4"/>
        <v>5</v>
      </c>
      <c r="AH11" s="1297">
        <f>(N11*AE11)/12*4</f>
        <v>0</v>
      </c>
      <c r="AI11" s="1298">
        <f>(O11*AE11)/12*4</f>
        <v>0</v>
      </c>
      <c r="AJ11" s="1299">
        <f>+AH11+AI11</f>
        <v>0</v>
      </c>
    </row>
    <row r="12" spans="1:36">
      <c r="A12" s="1291">
        <f t="shared" si="5"/>
        <v>3</v>
      </c>
      <c r="B12" s="1291">
        <v>302</v>
      </c>
      <c r="C12" s="1295" t="s">
        <v>549</v>
      </c>
      <c r="E12" s="1303">
        <f>HLOOKUP(Attach,$N$7:$P$79,M12,FALSE)</f>
        <v>121062.49</v>
      </c>
      <c r="F12" s="1302"/>
      <c r="G12" s="1303">
        <f>HLOOKUP(Attach,$X$7:$Z$79,R12,FALSE)</f>
        <v>3008.4028666666668</v>
      </c>
      <c r="H12" s="1304"/>
      <c r="I12" s="1303">
        <f>HLOOKUP(Attach,$AH$7:$AJ$79,AG12,FALSE)</f>
        <v>234.05414733333333</v>
      </c>
      <c r="J12" s="1303"/>
      <c r="K12" s="1303">
        <f>SUM(G12:I12)</f>
        <v>3242.4570140000001</v>
      </c>
      <c r="L12" s="1305"/>
      <c r="M12" s="514">
        <f t="shared" si="0"/>
        <v>6</v>
      </c>
      <c r="N12" s="1299">
        <f>IFERROR(VLOOKUP(B12,'Sched D-1'!B:Y,22,FALSE),0)</f>
        <v>88072.960000000006</v>
      </c>
      <c r="O12" s="1299">
        <f>IFERROR(VLOOKUP(B12,'Sched D-1'!B:Y,23,FALSE),0)</f>
        <v>32989.53</v>
      </c>
      <c r="P12" s="1299">
        <f t="shared" ref="P12:P14" si="6">+N12+O12</f>
        <v>121062.49</v>
      </c>
      <c r="R12" s="514">
        <f t="shared" si="1"/>
        <v>6</v>
      </c>
      <c r="S12" s="1300">
        <v>0.04</v>
      </c>
      <c r="T12" s="1300">
        <v>0.03</v>
      </c>
      <c r="U12" s="1299"/>
      <c r="W12" s="514">
        <f t="shared" si="2"/>
        <v>6</v>
      </c>
      <c r="X12" s="1297">
        <f t="shared" ref="X12:X14" si="7">(N12*S12)/12*8</f>
        <v>2348.612266666667</v>
      </c>
      <c r="Y12" s="1298">
        <f t="shared" ref="Y12:Y14" si="8">(O12*T12)/12*8</f>
        <v>659.79059999999993</v>
      </c>
      <c r="Z12" s="1299">
        <f t="shared" ref="Z12:Z14" si="9">+X12+Y12</f>
        <v>3008.4028666666668</v>
      </c>
      <c r="AB12" s="514">
        <f t="shared" si="3"/>
        <v>6</v>
      </c>
      <c r="AC12" s="1300"/>
      <c r="AD12" s="1300"/>
      <c r="AE12" s="1301">
        <f>IFERROR(VLOOKUP(B12,'Sched J-1'!B:K,10,FALSE),0)</f>
        <v>5.7999999999999996E-3</v>
      </c>
      <c r="AG12" s="514">
        <f t="shared" si="4"/>
        <v>6</v>
      </c>
      <c r="AH12" s="1297">
        <f t="shared" ref="AH12:AH14" si="10">(N12*AE12)/12*4</f>
        <v>170.27438933333335</v>
      </c>
      <c r="AI12" s="1298">
        <f t="shared" ref="AI12:AI14" si="11">(O12*AE12)/12*4</f>
        <v>63.779757999999994</v>
      </c>
      <c r="AJ12" s="1299">
        <f t="shared" ref="AJ12:AJ14" si="12">+AH12+AI12</f>
        <v>234.05414733333333</v>
      </c>
    </row>
    <row r="13" spans="1:36">
      <c r="A13" s="1291">
        <f t="shared" si="5"/>
        <v>4</v>
      </c>
      <c r="B13" s="1291">
        <v>303</v>
      </c>
      <c r="C13" s="1295" t="s">
        <v>548</v>
      </c>
      <c r="E13" s="1303">
        <f>HLOOKUP(Attach,$N$7:$P$79,M13,FALSE)</f>
        <v>742880.94</v>
      </c>
      <c r="F13" s="1302"/>
      <c r="G13" s="1303">
        <f>HLOOKUP(Attach,$X$7:$Z$79,R13,FALSE)</f>
        <v>18733.467799999999</v>
      </c>
      <c r="H13" s="1304"/>
      <c r="I13" s="1303">
        <f>HLOOKUP(Attach,$AH$7:$AJ$79,AG13,FALSE)</f>
        <v>16368.143378000001</v>
      </c>
      <c r="J13" s="1303"/>
      <c r="K13" s="1303">
        <f>SUM(G13:I13)</f>
        <v>35101.611177999999</v>
      </c>
      <c r="L13" s="1305"/>
      <c r="M13" s="514">
        <f t="shared" si="0"/>
        <v>7</v>
      </c>
      <c r="N13" s="1299">
        <f>IFERROR(VLOOKUP(B13,'Sched D-1'!B:Y,22,FALSE),0)</f>
        <v>581377.35</v>
      </c>
      <c r="O13" s="1299">
        <f>IFERROR(VLOOKUP(B13,'Sched D-1'!B:Y,23,FALSE),0)</f>
        <v>161503.59</v>
      </c>
      <c r="P13" s="1299">
        <f t="shared" si="6"/>
        <v>742880.94</v>
      </c>
      <c r="R13" s="514">
        <f t="shared" si="1"/>
        <v>7</v>
      </c>
      <c r="S13" s="1300">
        <v>0.04</v>
      </c>
      <c r="T13" s="1300">
        <v>0.03</v>
      </c>
      <c r="U13" s="1299"/>
      <c r="W13" s="514">
        <f t="shared" si="2"/>
        <v>7</v>
      </c>
      <c r="X13" s="1297">
        <f t="shared" si="7"/>
        <v>15503.396000000001</v>
      </c>
      <c r="Y13" s="1298">
        <f t="shared" si="8"/>
        <v>3230.0717999999997</v>
      </c>
      <c r="Z13" s="1299">
        <f t="shared" si="9"/>
        <v>18733.467799999999</v>
      </c>
      <c r="AB13" s="514">
        <f t="shared" si="3"/>
        <v>7</v>
      </c>
      <c r="AC13" s="1300"/>
      <c r="AD13" s="1300"/>
      <c r="AE13" s="1301">
        <f>IFERROR(VLOOKUP(B13,'Sched J-1'!B:K,10,FALSE),0)</f>
        <v>6.6100000000000006E-2</v>
      </c>
      <c r="AG13" s="514">
        <f t="shared" si="4"/>
        <v>7</v>
      </c>
      <c r="AH13" s="1297">
        <f t="shared" si="10"/>
        <v>12809.680945</v>
      </c>
      <c r="AI13" s="1298">
        <f t="shared" si="11"/>
        <v>3558.4624330000001</v>
      </c>
      <c r="AJ13" s="1299">
        <f t="shared" si="12"/>
        <v>16368.143378000001</v>
      </c>
    </row>
    <row r="14" spans="1:36">
      <c r="A14" s="1291">
        <f t="shared" si="5"/>
        <v>5</v>
      </c>
      <c r="B14" s="1291">
        <v>303.01</v>
      </c>
      <c r="C14" s="1295" t="s">
        <v>1162</v>
      </c>
      <c r="E14" s="1306">
        <f>HLOOKUP(Attach,$N$7:$P$79,M14,FALSE)</f>
        <v>500000</v>
      </c>
      <c r="F14" s="1302"/>
      <c r="G14" s="1306">
        <f>HLOOKUP(Attach,$X$7:$Z$79,R14,FALSE)</f>
        <v>16666.666666666668</v>
      </c>
      <c r="H14" s="1304"/>
      <c r="I14" s="1306">
        <f>HLOOKUP(Attach,$AH$7:$AJ$79,AG14,FALSE)</f>
        <v>8416.6666666666661</v>
      </c>
      <c r="J14" s="1303"/>
      <c r="K14" s="1306">
        <f>SUM(G14:I14)</f>
        <v>25083.333333333336</v>
      </c>
      <c r="L14" s="1307"/>
      <c r="M14" s="514">
        <f t="shared" si="0"/>
        <v>8</v>
      </c>
      <c r="N14" s="1299">
        <f>IFERROR(VLOOKUP(B14,'Sched D-1'!B:Y,22,FALSE),0)</f>
        <v>500000</v>
      </c>
      <c r="O14" s="1299">
        <f>IFERROR(VLOOKUP(B14,'Sched D-1'!B:Y,23,FALSE),0)</f>
        <v>0</v>
      </c>
      <c r="P14" s="1299">
        <f t="shared" si="6"/>
        <v>500000</v>
      </c>
      <c r="R14" s="514">
        <f t="shared" si="1"/>
        <v>8</v>
      </c>
      <c r="S14" s="1300">
        <v>0.05</v>
      </c>
      <c r="T14" s="1300">
        <v>0</v>
      </c>
      <c r="U14" s="1299"/>
      <c r="W14" s="514">
        <f t="shared" si="2"/>
        <v>8</v>
      </c>
      <c r="X14" s="1297">
        <f t="shared" si="7"/>
        <v>16666.666666666668</v>
      </c>
      <c r="Y14" s="1298">
        <f t="shared" si="8"/>
        <v>0</v>
      </c>
      <c r="Z14" s="1299">
        <f t="shared" si="9"/>
        <v>16666.666666666668</v>
      </c>
      <c r="AB14" s="514">
        <f t="shared" si="3"/>
        <v>8</v>
      </c>
      <c r="AC14" s="1300"/>
      <c r="AD14" s="1300"/>
      <c r="AE14" s="1301">
        <f>IFERROR(VLOOKUP(B14,'Sched J-1'!B:K,10,FALSE),0)</f>
        <v>5.0500000000000003E-2</v>
      </c>
      <c r="AG14" s="514">
        <f t="shared" si="4"/>
        <v>8</v>
      </c>
      <c r="AH14" s="1297">
        <f t="shared" si="10"/>
        <v>8416.6666666666661</v>
      </c>
      <c r="AI14" s="1298">
        <f t="shared" si="11"/>
        <v>0</v>
      </c>
      <c r="AJ14" s="1299">
        <f t="shared" si="12"/>
        <v>8416.6666666666661</v>
      </c>
    </row>
    <row r="15" spans="1:36">
      <c r="A15" s="1291">
        <f t="shared" si="5"/>
        <v>6</v>
      </c>
      <c r="B15" s="1291"/>
      <c r="C15" s="1308" t="s">
        <v>367</v>
      </c>
      <c r="E15" s="1309">
        <f>ROUND(SUM(E11:E14),0)</f>
        <v>1364199</v>
      </c>
      <c r="F15" s="1029"/>
      <c r="G15" s="1309">
        <f>ROUND(SUM(G11:G14),0)</f>
        <v>38415</v>
      </c>
      <c r="H15" s="1296"/>
      <c r="I15" s="1309">
        <f>ROUND(SUM(I11:I14),0)</f>
        <v>25019</v>
      </c>
      <c r="J15" s="1296"/>
      <c r="K15" s="1309">
        <f>ROUND(SUM(K11:K14),0)</f>
        <v>63434</v>
      </c>
      <c r="L15" s="1296"/>
      <c r="M15" s="514">
        <f t="shared" si="0"/>
        <v>9</v>
      </c>
      <c r="N15" s="1310">
        <f t="shared" ref="N15:O15" si="13">ROUND(SUM(N11:N14),0)</f>
        <v>1169706</v>
      </c>
      <c r="O15" s="1310">
        <f t="shared" si="13"/>
        <v>194493</v>
      </c>
      <c r="P15" s="1310">
        <f>ROUND(SUM(P11:P14),0)</f>
        <v>1364199</v>
      </c>
      <c r="R15" s="514">
        <f t="shared" si="1"/>
        <v>9</v>
      </c>
      <c r="S15" s="1311"/>
      <c r="T15" s="1311"/>
      <c r="U15" s="1311"/>
      <c r="W15" s="514">
        <f t="shared" si="2"/>
        <v>9</v>
      </c>
      <c r="X15" s="1310">
        <f t="shared" ref="X15:Y15" si="14">ROUND(SUM(X11:X14),0)</f>
        <v>34526</v>
      </c>
      <c r="Y15" s="1310">
        <f t="shared" si="14"/>
        <v>3890</v>
      </c>
      <c r="Z15" s="1310">
        <f>ROUND(SUM(Z11:Z14),0)</f>
        <v>38415</v>
      </c>
      <c r="AB15" s="514">
        <f t="shared" si="3"/>
        <v>9</v>
      </c>
      <c r="AC15" s="1311"/>
      <c r="AD15" s="1311"/>
      <c r="AE15" s="1311"/>
      <c r="AG15" s="514">
        <f t="shared" si="4"/>
        <v>9</v>
      </c>
      <c r="AH15" s="1310">
        <f t="shared" ref="AH15:AI15" si="15">ROUND(SUM(AH11:AH14),0)</f>
        <v>21397</v>
      </c>
      <c r="AI15" s="1310">
        <f t="shared" si="15"/>
        <v>3622</v>
      </c>
      <c r="AJ15" s="1310">
        <f>ROUND(SUM(AJ11:AJ14),0)</f>
        <v>25019</v>
      </c>
    </row>
    <row r="16" spans="1:36">
      <c r="A16" s="1291">
        <f t="shared" si="5"/>
        <v>7</v>
      </c>
      <c r="B16" s="1291"/>
      <c r="C16" s="1308"/>
      <c r="E16" s="1296"/>
      <c r="F16" s="1029"/>
      <c r="G16" s="1296"/>
      <c r="H16" s="1296"/>
      <c r="I16" s="1296"/>
      <c r="J16" s="1296"/>
      <c r="K16" s="1296"/>
      <c r="L16" s="1296"/>
      <c r="M16" s="514">
        <f t="shared" si="0"/>
        <v>10</v>
      </c>
      <c r="N16" s="1312"/>
      <c r="O16" s="1312"/>
      <c r="P16" s="1312"/>
      <c r="R16" s="514">
        <f t="shared" si="1"/>
        <v>10</v>
      </c>
      <c r="S16" s="1312"/>
      <c r="T16" s="1312"/>
      <c r="U16" s="1312"/>
      <c r="W16" s="514">
        <f t="shared" si="2"/>
        <v>10</v>
      </c>
      <c r="X16" s="1312"/>
      <c r="Y16" s="1312"/>
      <c r="Z16" s="1312"/>
      <c r="AB16" s="514">
        <f t="shared" si="3"/>
        <v>10</v>
      </c>
      <c r="AC16" s="1312"/>
      <c r="AD16" s="1312"/>
      <c r="AE16" s="1312"/>
      <c r="AG16" s="514">
        <f t="shared" si="4"/>
        <v>10</v>
      </c>
      <c r="AH16" s="1312"/>
      <c r="AI16" s="1312"/>
      <c r="AJ16" s="1312"/>
    </row>
    <row r="17" spans="1:36">
      <c r="A17" s="1291">
        <f t="shared" si="5"/>
        <v>8</v>
      </c>
      <c r="B17" s="1291"/>
      <c r="C17" s="1313" t="s">
        <v>299</v>
      </c>
      <c r="E17" s="1029"/>
      <c r="F17" s="1029"/>
      <c r="G17" s="1029"/>
      <c r="H17" s="1296"/>
      <c r="I17" s="1029"/>
      <c r="J17" s="1296"/>
      <c r="K17" s="1029"/>
      <c r="L17" s="1029"/>
      <c r="M17" s="514">
        <f t="shared" si="0"/>
        <v>11</v>
      </c>
      <c r="P17" s="1299">
        <f t="shared" ref="P17:P79" si="16">+N17+O17</f>
        <v>0</v>
      </c>
      <c r="R17" s="514">
        <f t="shared" si="1"/>
        <v>11</v>
      </c>
      <c r="W17" s="514">
        <f t="shared" si="2"/>
        <v>11</v>
      </c>
      <c r="Z17" s="1312"/>
      <c r="AB17" s="514">
        <f t="shared" si="3"/>
        <v>11</v>
      </c>
      <c r="AG17" s="514">
        <f t="shared" si="4"/>
        <v>11</v>
      </c>
      <c r="AJ17" s="1312"/>
    </row>
    <row r="18" spans="1:36">
      <c r="A18" s="1291">
        <f t="shared" si="5"/>
        <v>9</v>
      </c>
      <c r="B18" s="1291">
        <v>365.03</v>
      </c>
      <c r="C18" s="1295" t="s">
        <v>1190</v>
      </c>
      <c r="E18" s="1029">
        <f>HLOOKUP(Attach,$N$7:$P$79,M18,FALSE)</f>
        <v>170272.49</v>
      </c>
      <c r="F18" s="1305"/>
      <c r="G18" s="1029">
        <f>HLOOKUP(Attach,$X$7:$Z$79,R18,FALSE)</f>
        <v>1782.185395333333</v>
      </c>
      <c r="H18" s="1307"/>
      <c r="I18" s="1029">
        <f>HLOOKUP(Attach,$AH$7:$AJ$79,AG18,FALSE)</f>
        <v>431.35697466666664</v>
      </c>
      <c r="J18" s="1307"/>
      <c r="K18" s="1029">
        <f>SUM(G18:I18)</f>
        <v>2213.5423699999997</v>
      </c>
      <c r="L18" s="1305"/>
      <c r="M18" s="514">
        <f t="shared" si="0"/>
        <v>12</v>
      </c>
      <c r="N18" s="1299">
        <f>IFERROR(VLOOKUP(B18,'Sched D-1'!B:Y,22,FALSE),0)</f>
        <v>170272.49</v>
      </c>
      <c r="O18" s="1299">
        <f>IFERROR(VLOOKUP(B18,'Sched D-1'!B:Y,23,FALSE),0)</f>
        <v>0</v>
      </c>
      <c r="P18" s="1299">
        <f t="shared" si="16"/>
        <v>170272.49</v>
      </c>
      <c r="R18" s="514">
        <f t="shared" si="1"/>
        <v>12</v>
      </c>
      <c r="S18" s="1300">
        <v>1.5699999999999999E-2</v>
      </c>
      <c r="T18" s="1300">
        <v>0</v>
      </c>
      <c r="U18" s="1299"/>
      <c r="W18" s="514">
        <f t="shared" si="2"/>
        <v>12</v>
      </c>
      <c r="X18" s="1297">
        <f>(N18*S18)/12*8</f>
        <v>1782.185395333333</v>
      </c>
      <c r="Y18" s="1298">
        <f>(O18*T18)/12*8</f>
        <v>0</v>
      </c>
      <c r="Z18" s="1299">
        <f t="shared" ref="Z18:Z41" si="17">+X18+Y18</f>
        <v>1782.185395333333</v>
      </c>
      <c r="AB18" s="514">
        <f t="shared" si="3"/>
        <v>12</v>
      </c>
      <c r="AC18" s="1300"/>
      <c r="AD18" s="1300"/>
      <c r="AE18" s="1301">
        <f>IFERROR(VLOOKUP(B18,'Sched J-1'!B:K,10,FALSE),0)</f>
        <v>7.6E-3</v>
      </c>
      <c r="AG18" s="514">
        <f t="shared" si="4"/>
        <v>12</v>
      </c>
      <c r="AH18" s="1297">
        <f>(N18*AE18)/12*4</f>
        <v>431.35697466666664</v>
      </c>
      <c r="AI18" s="1298">
        <f>(O18*AE18)/12*4</f>
        <v>0</v>
      </c>
      <c r="AJ18" s="1299">
        <f t="shared" ref="AJ18:AJ41" si="18">+AH18+AI18</f>
        <v>431.35697466666664</v>
      </c>
    </row>
    <row r="19" spans="1:36">
      <c r="A19" s="1291">
        <f t="shared" si="5"/>
        <v>10</v>
      </c>
      <c r="B19" s="1291">
        <v>366.01</v>
      </c>
      <c r="C19" s="1295" t="s">
        <v>551</v>
      </c>
      <c r="E19" s="1303">
        <f>HLOOKUP(Attach,$N$7:$P$79,M19,FALSE)</f>
        <v>8173.65</v>
      </c>
      <c r="F19" s="1305"/>
      <c r="G19" s="1303">
        <f>HLOOKUP(Attach,$X$7:$Z$79,R19,FALSE)</f>
        <v>135.13768000000002</v>
      </c>
      <c r="H19" s="1307"/>
      <c r="I19" s="1303">
        <f>HLOOKUP(Attach,$AH$7:$AJ$79,AG19,FALSE)</f>
        <v>13.350294999999997</v>
      </c>
      <c r="J19" s="1307"/>
      <c r="K19" s="1303">
        <f>SUM(G19:I19)</f>
        <v>148.48797500000001</v>
      </c>
      <c r="L19" s="1305"/>
      <c r="M19" s="514">
        <f t="shared" si="0"/>
        <v>13</v>
      </c>
      <c r="N19" s="1299">
        <f>IFERROR(VLOOKUP(B19,'Sched D-1'!B:Y,22,FALSE),0)</f>
        <v>8173.65</v>
      </c>
      <c r="O19" s="1299">
        <f>IFERROR(VLOOKUP(B19,'Sched D-1'!B:Y,23,FALSE),0)</f>
        <v>0</v>
      </c>
      <c r="P19" s="1299">
        <f t="shared" si="16"/>
        <v>8173.65</v>
      </c>
      <c r="R19" s="514">
        <f t="shared" si="1"/>
        <v>13</v>
      </c>
      <c r="S19" s="1300">
        <v>2.4800000000000003E-2</v>
      </c>
      <c r="T19" s="1300">
        <v>0</v>
      </c>
      <c r="U19" s="1299"/>
      <c r="W19" s="514">
        <f t="shared" si="2"/>
        <v>13</v>
      </c>
      <c r="X19" s="1297">
        <f t="shared" ref="X19:X21" si="19">(N19*S19)/12*8</f>
        <v>135.13768000000002</v>
      </c>
      <c r="Y19" s="1298">
        <f t="shared" ref="Y19:Y21" si="20">(O19*T19)/12*8</f>
        <v>0</v>
      </c>
      <c r="Z19" s="1299">
        <f t="shared" si="17"/>
        <v>135.13768000000002</v>
      </c>
      <c r="AB19" s="514">
        <f t="shared" si="3"/>
        <v>13</v>
      </c>
      <c r="AC19" s="1300"/>
      <c r="AD19" s="1300"/>
      <c r="AE19" s="1301">
        <f>IFERROR(VLOOKUP(B19,'Sched J-1'!B:K,10,FALSE),0)</f>
        <v>4.8999999999999998E-3</v>
      </c>
      <c r="AG19" s="514">
        <f t="shared" si="4"/>
        <v>13</v>
      </c>
      <c r="AH19" s="1297">
        <f t="shared" ref="AH19:AH21" si="21">(N19*AE19)/12*4</f>
        <v>13.350294999999997</v>
      </c>
      <c r="AI19" s="1298">
        <f t="shared" ref="AI19:AI21" si="22">(O19*AE19)/12*4</f>
        <v>0</v>
      </c>
      <c r="AJ19" s="1299">
        <f t="shared" si="18"/>
        <v>13.350294999999997</v>
      </c>
    </row>
    <row r="20" spans="1:36">
      <c r="A20" s="1291">
        <f t="shared" si="5"/>
        <v>11</v>
      </c>
      <c r="B20" s="1291">
        <v>367</v>
      </c>
      <c r="C20" s="1295" t="s">
        <v>368</v>
      </c>
      <c r="E20" s="1303">
        <f>HLOOKUP(Attach,$N$7:$P$79,M20,FALSE)</f>
        <v>5361146.8400000008</v>
      </c>
      <c r="F20" s="1305"/>
      <c r="G20" s="1303">
        <f>HLOOKUP(Attach,$X$7:$Z$79,R20,FALSE)</f>
        <v>29307.602725333334</v>
      </c>
      <c r="H20" s="1307"/>
      <c r="I20" s="1303">
        <f>HLOOKUP(Attach,$AH$7:$AJ$79,AG20,FALSE)</f>
        <v>8756.5398386666675</v>
      </c>
      <c r="J20" s="1307"/>
      <c r="K20" s="1303">
        <f>SUM(G20:I20)</f>
        <v>38064.142564000002</v>
      </c>
      <c r="L20" s="1305"/>
      <c r="M20" s="514">
        <f t="shared" si="0"/>
        <v>14</v>
      </c>
      <c r="N20" s="1299">
        <f>IFERROR(VLOOKUP(B20,'Sched D-1'!B:Y,22,FALSE),0)</f>
        <v>5361146.8400000008</v>
      </c>
      <c r="O20" s="1299">
        <f>IFERROR(VLOOKUP(B20,'Sched D-1'!B:Y,23,FALSE),0)</f>
        <v>0</v>
      </c>
      <c r="P20" s="1299">
        <f t="shared" si="16"/>
        <v>5361146.8400000008</v>
      </c>
      <c r="R20" s="514">
        <f t="shared" si="1"/>
        <v>14</v>
      </c>
      <c r="S20" s="1300">
        <v>8.199999999999999E-3</v>
      </c>
      <c r="T20" s="1300">
        <v>0</v>
      </c>
      <c r="U20" s="1299"/>
      <c r="W20" s="514">
        <f t="shared" si="2"/>
        <v>14</v>
      </c>
      <c r="X20" s="1297">
        <f t="shared" si="19"/>
        <v>29307.602725333334</v>
      </c>
      <c r="Y20" s="1298">
        <f t="shared" si="20"/>
        <v>0</v>
      </c>
      <c r="Z20" s="1299">
        <f t="shared" si="17"/>
        <v>29307.602725333334</v>
      </c>
      <c r="AB20" s="514">
        <f t="shared" si="3"/>
        <v>14</v>
      </c>
      <c r="AC20" s="1300"/>
      <c r="AD20" s="1300"/>
      <c r="AE20" s="1301">
        <f>IFERROR(VLOOKUP(B20,'Sched J-1'!B:K,10,FALSE),0)</f>
        <v>4.8999999999999998E-3</v>
      </c>
      <c r="AG20" s="514">
        <f t="shared" si="4"/>
        <v>14</v>
      </c>
      <c r="AH20" s="1297">
        <f t="shared" si="21"/>
        <v>8756.5398386666675</v>
      </c>
      <c r="AI20" s="1298">
        <f t="shared" si="22"/>
        <v>0</v>
      </c>
      <c r="AJ20" s="1299">
        <f t="shared" si="18"/>
        <v>8756.5398386666675</v>
      </c>
    </row>
    <row r="21" spans="1:36">
      <c r="A21" s="1291">
        <f t="shared" si="5"/>
        <v>12</v>
      </c>
      <c r="B21" s="1291">
        <v>369.03</v>
      </c>
      <c r="C21" s="1295" t="s">
        <v>369</v>
      </c>
      <c r="E21" s="1303">
        <f>HLOOKUP(Attach,$N$7:$P$79,M21,FALSE)</f>
        <v>624131.56999999995</v>
      </c>
      <c r="F21" s="1305"/>
      <c r="G21" s="1303">
        <f>HLOOKUP(Attach,$X$7:$Z$79,R21,FALSE)</f>
        <v>5409.1402733333334</v>
      </c>
      <c r="H21" s="1307"/>
      <c r="I21" s="1303">
        <f>HLOOKUP(Attach,$AH$7:$AJ$79,AG21,FALSE)</f>
        <v>4327.312218666666</v>
      </c>
      <c r="J21" s="1307"/>
      <c r="K21" s="1303">
        <f>SUM(G21:I21)</f>
        <v>9736.4524920000003</v>
      </c>
      <c r="L21" s="1305"/>
      <c r="M21" s="514">
        <f t="shared" si="0"/>
        <v>15</v>
      </c>
      <c r="N21" s="1299">
        <f>IFERROR(VLOOKUP(B21,'Sched D-1'!B:Y,22,FALSE),0)</f>
        <v>624131.56999999995</v>
      </c>
      <c r="O21" s="1299">
        <f>IFERROR(VLOOKUP(B21,'Sched D-1'!B:Y,23,FALSE),0)</f>
        <v>0</v>
      </c>
      <c r="P21" s="1299">
        <f t="shared" si="16"/>
        <v>624131.56999999995</v>
      </c>
      <c r="R21" s="514">
        <f t="shared" si="1"/>
        <v>15</v>
      </c>
      <c r="S21" s="1314">
        <v>1.3000000000000001E-2</v>
      </c>
      <c r="T21" s="1314">
        <v>0</v>
      </c>
      <c r="U21" s="1299"/>
      <c r="W21" s="514">
        <f t="shared" si="2"/>
        <v>15</v>
      </c>
      <c r="X21" s="1297">
        <f t="shared" si="19"/>
        <v>5409.1402733333334</v>
      </c>
      <c r="Y21" s="1298">
        <f t="shared" si="20"/>
        <v>0</v>
      </c>
      <c r="Z21" s="1299">
        <f t="shared" si="17"/>
        <v>5409.1402733333334</v>
      </c>
      <c r="AB21" s="514">
        <f t="shared" si="3"/>
        <v>15</v>
      </c>
      <c r="AC21" s="1314"/>
      <c r="AD21" s="1314"/>
      <c r="AE21" s="1301">
        <f>IFERROR(VLOOKUP(B21,'Sched J-1'!B:K,10,FALSE),0)</f>
        <v>2.0799999999999999E-2</v>
      </c>
      <c r="AG21" s="514">
        <f t="shared" si="4"/>
        <v>15</v>
      </c>
      <c r="AH21" s="1297">
        <f t="shared" si="21"/>
        <v>4327.312218666666</v>
      </c>
      <c r="AI21" s="1298">
        <f t="shared" si="22"/>
        <v>0</v>
      </c>
      <c r="AJ21" s="1299">
        <f t="shared" si="18"/>
        <v>4327.312218666666</v>
      </c>
    </row>
    <row r="22" spans="1:36">
      <c r="A22" s="1291">
        <f t="shared" si="5"/>
        <v>13</v>
      </c>
      <c r="B22" s="1291"/>
      <c r="C22" s="1308" t="s">
        <v>118</v>
      </c>
      <c r="E22" s="1309">
        <f>ROUND(SUM(E18:E21),0)</f>
        <v>6163725</v>
      </c>
      <c r="F22" s="1029"/>
      <c r="G22" s="1309">
        <f>ROUND(SUM(G18:G21),0)</f>
        <v>36634</v>
      </c>
      <c r="H22" s="1296"/>
      <c r="I22" s="1309">
        <f>ROUND(SUM(I18:I21),0)</f>
        <v>13529</v>
      </c>
      <c r="J22" s="1296"/>
      <c r="K22" s="1309">
        <f>ROUND(SUM(K18:K21),0)</f>
        <v>50163</v>
      </c>
      <c r="L22" s="1296"/>
      <c r="M22" s="514">
        <f t="shared" si="0"/>
        <v>16</v>
      </c>
      <c r="N22" s="944">
        <f>ROUND(SUM(N18:N21),0)</f>
        <v>6163725</v>
      </c>
      <c r="O22" s="944">
        <f>ROUND(SUM(O18:O21),0)</f>
        <v>0</v>
      </c>
      <c r="P22" s="1299">
        <f t="shared" si="16"/>
        <v>6163725</v>
      </c>
      <c r="R22" s="514">
        <f t="shared" si="1"/>
        <v>16</v>
      </c>
      <c r="S22" s="1299"/>
      <c r="T22" s="1299"/>
      <c r="U22" s="1299"/>
      <c r="W22" s="514">
        <f t="shared" si="2"/>
        <v>16</v>
      </c>
      <c r="X22" s="944">
        <f>SUM(X18:X21)</f>
        <v>36634.066074000002</v>
      </c>
      <c r="Y22" s="944">
        <f>SUM(Y18:Y21)</f>
        <v>0</v>
      </c>
      <c r="Z22" s="1299">
        <f t="shared" si="17"/>
        <v>36634.066074000002</v>
      </c>
      <c r="AB22" s="514">
        <f t="shared" si="3"/>
        <v>16</v>
      </c>
      <c r="AC22" s="1299"/>
      <c r="AD22" s="1299"/>
      <c r="AE22" s="1299"/>
      <c r="AG22" s="514">
        <f t="shared" si="4"/>
        <v>16</v>
      </c>
      <c r="AH22" s="944">
        <f>SUM(AH18:AH21)</f>
        <v>13528.559327000001</v>
      </c>
      <c r="AI22" s="944">
        <f>SUM(AI18:AI21)</f>
        <v>0</v>
      </c>
      <c r="AJ22" s="1299">
        <f t="shared" si="18"/>
        <v>13528.559327000001</v>
      </c>
    </row>
    <row r="23" spans="1:36">
      <c r="A23" s="1291">
        <f t="shared" si="5"/>
        <v>14</v>
      </c>
      <c r="B23" s="1291"/>
      <c r="C23" s="1315"/>
      <c r="E23" s="1296"/>
      <c r="F23" s="1029"/>
      <c r="G23" s="1296"/>
      <c r="H23" s="1296"/>
      <c r="I23" s="1296"/>
      <c r="J23" s="1296"/>
      <c r="K23" s="1296"/>
      <c r="L23" s="1296"/>
      <c r="M23" s="514">
        <f t="shared" si="0"/>
        <v>17</v>
      </c>
      <c r="P23" s="1299">
        <f t="shared" si="16"/>
        <v>0</v>
      </c>
      <c r="R23" s="514">
        <f t="shared" si="1"/>
        <v>17</v>
      </c>
      <c r="W23" s="514">
        <f t="shared" si="2"/>
        <v>17</v>
      </c>
      <c r="Z23" s="1299">
        <f t="shared" si="17"/>
        <v>0</v>
      </c>
      <c r="AB23" s="514">
        <f t="shared" si="3"/>
        <v>17</v>
      </c>
      <c r="AG23" s="514">
        <f t="shared" si="4"/>
        <v>17</v>
      </c>
      <c r="AJ23" s="1299">
        <f t="shared" si="18"/>
        <v>0</v>
      </c>
    </row>
    <row r="24" spans="1:36">
      <c r="A24" s="1291">
        <f t="shared" si="5"/>
        <v>15</v>
      </c>
      <c r="B24" s="1291"/>
      <c r="C24" s="1313" t="s">
        <v>432</v>
      </c>
      <c r="E24" s="1296"/>
      <c r="F24" s="1029"/>
      <c r="G24" s="1296"/>
      <c r="H24" s="1296"/>
      <c r="I24" s="1296"/>
      <c r="J24" s="1296"/>
      <c r="K24" s="1296"/>
      <c r="L24" s="1296"/>
      <c r="M24" s="514">
        <f t="shared" si="0"/>
        <v>18</v>
      </c>
      <c r="P24" s="1299">
        <f t="shared" si="16"/>
        <v>0</v>
      </c>
      <c r="R24" s="514">
        <f t="shared" si="1"/>
        <v>18</v>
      </c>
      <c r="W24" s="514">
        <f t="shared" si="2"/>
        <v>18</v>
      </c>
      <c r="Z24" s="1299">
        <f t="shared" si="17"/>
        <v>0</v>
      </c>
      <c r="AB24" s="514">
        <f t="shared" si="3"/>
        <v>18</v>
      </c>
      <c r="AG24" s="514">
        <f t="shared" si="4"/>
        <v>18</v>
      </c>
      <c r="AJ24" s="1299">
        <f t="shared" si="18"/>
        <v>0</v>
      </c>
    </row>
    <row r="25" spans="1:36">
      <c r="A25" s="1291">
        <f t="shared" si="5"/>
        <v>16</v>
      </c>
      <c r="B25" s="1291">
        <v>374.01</v>
      </c>
      <c r="C25" s="1295" t="s">
        <v>550</v>
      </c>
      <c r="E25" s="1029">
        <f t="shared" ref="E25:E41" si="23">HLOOKUP(Attach,$N$7:$P$79,M25,FALSE)</f>
        <v>1358867.6</v>
      </c>
      <c r="F25" s="1029"/>
      <c r="G25" s="1029">
        <f t="shared" ref="G25:G41" si="24">HLOOKUP(Attach,$X$7:$Z$79,R25,FALSE)</f>
        <v>0</v>
      </c>
      <c r="H25" s="1296"/>
      <c r="I25" s="1029">
        <f t="shared" ref="I25:I41" si="25">HLOOKUP(Attach,$AH$7:$AJ$79,AG25,FALSE)</f>
        <v>0</v>
      </c>
      <c r="J25" s="1296"/>
      <c r="K25" s="1029">
        <f t="shared" ref="K25:K41" si="26">SUM(G25:I25)</f>
        <v>0</v>
      </c>
      <c r="L25" s="1029"/>
      <c r="M25" s="514">
        <f t="shared" si="0"/>
        <v>19</v>
      </c>
      <c r="N25" s="1299">
        <f>IFERROR(VLOOKUP(B25,'Sched D-1'!B:Y,22,FALSE),0)</f>
        <v>354927.23</v>
      </c>
      <c r="O25" s="1299">
        <f>IFERROR(VLOOKUP(B25,'Sched D-1'!B:Y,23,FALSE),0)</f>
        <v>1003940.37</v>
      </c>
      <c r="P25" s="1299">
        <f t="shared" si="16"/>
        <v>1358867.6</v>
      </c>
      <c r="R25" s="514">
        <f t="shared" si="1"/>
        <v>19</v>
      </c>
      <c r="S25" s="1300">
        <v>0</v>
      </c>
      <c r="T25" s="1300">
        <v>0</v>
      </c>
      <c r="U25" s="1299"/>
      <c r="W25" s="514">
        <f t="shared" si="2"/>
        <v>19</v>
      </c>
      <c r="X25" s="1297">
        <f>(N25*S25)/12*8</f>
        <v>0</v>
      </c>
      <c r="Y25" s="1298">
        <f>(O25*T25)/12*8</f>
        <v>0</v>
      </c>
      <c r="Z25" s="1299">
        <f t="shared" si="17"/>
        <v>0</v>
      </c>
      <c r="AB25" s="514">
        <f t="shared" si="3"/>
        <v>19</v>
      </c>
      <c r="AC25" s="1300"/>
      <c r="AD25" s="1300"/>
      <c r="AE25" s="1301">
        <f>IFERROR(VLOOKUP(B25,'Sched J-1'!B:K,10,FALSE),0)</f>
        <v>0</v>
      </c>
      <c r="AF25" s="1746"/>
      <c r="AG25" s="514">
        <f t="shared" si="4"/>
        <v>19</v>
      </c>
      <c r="AH25" s="1297">
        <f>(N25*AE25)/12*4</f>
        <v>0</v>
      </c>
      <c r="AI25" s="1298">
        <f>(O25*AE25)/12*4</f>
        <v>0</v>
      </c>
      <c r="AJ25" s="1299">
        <f t="shared" si="18"/>
        <v>0</v>
      </c>
    </row>
    <row r="26" spans="1:36">
      <c r="A26" s="1291">
        <f t="shared" si="5"/>
        <v>17</v>
      </c>
      <c r="B26" s="1291">
        <v>374.02</v>
      </c>
      <c r="C26" s="1316" t="s">
        <v>849</v>
      </c>
      <c r="E26" s="1303">
        <f t="shared" si="23"/>
        <v>176100</v>
      </c>
      <c r="F26" s="1302"/>
      <c r="G26" s="1303">
        <f t="shared" si="24"/>
        <v>0</v>
      </c>
      <c r="H26" s="1307"/>
      <c r="I26" s="1303">
        <f t="shared" si="25"/>
        <v>0</v>
      </c>
      <c r="J26" s="1296"/>
      <c r="K26" s="1303">
        <f t="shared" si="26"/>
        <v>0</v>
      </c>
      <c r="L26" s="1302"/>
      <c r="M26" s="514">
        <f t="shared" si="0"/>
        <v>20</v>
      </c>
      <c r="N26" s="1299">
        <f>IFERROR(VLOOKUP(B26,'Sched D-1'!B:Y,22,FALSE),0)</f>
        <v>176100</v>
      </c>
      <c r="O26" s="1299">
        <f>IFERROR(VLOOKUP(B26,'Sched D-1'!B:Y,23,FALSE),0)</f>
        <v>0</v>
      </c>
      <c r="P26" s="1299">
        <f t="shared" si="16"/>
        <v>176100</v>
      </c>
      <c r="R26" s="514">
        <f t="shared" si="1"/>
        <v>20</v>
      </c>
      <c r="S26" s="1300">
        <v>0</v>
      </c>
      <c r="T26" s="1300">
        <v>0.03</v>
      </c>
      <c r="U26" s="1299"/>
      <c r="W26" s="514">
        <f t="shared" si="2"/>
        <v>20</v>
      </c>
      <c r="X26" s="1297">
        <f t="shared" ref="X26:X41" si="27">(N26*S26)/12*8</f>
        <v>0</v>
      </c>
      <c r="Y26" s="1298">
        <f t="shared" ref="Y26:Y41" si="28">(O26*T26)/12*8</f>
        <v>0</v>
      </c>
      <c r="Z26" s="1299">
        <f t="shared" si="17"/>
        <v>0</v>
      </c>
      <c r="AB26" s="514">
        <f t="shared" si="3"/>
        <v>20</v>
      </c>
      <c r="AC26" s="1300"/>
      <c r="AD26" s="1300"/>
      <c r="AE26" s="1301">
        <f>IFERROR(VLOOKUP(B26,'Sched J-1'!B:K,10,FALSE),0)</f>
        <v>0</v>
      </c>
      <c r="AF26" s="1746"/>
      <c r="AG26" s="514">
        <f t="shared" si="4"/>
        <v>20</v>
      </c>
      <c r="AH26" s="1297">
        <f t="shared" ref="AH26:AH41" si="29">(N26*AE26)/12*4</f>
        <v>0</v>
      </c>
      <c r="AI26" s="1298">
        <f t="shared" ref="AI26:AI41" si="30">(O26*AE26)/12*4</f>
        <v>0</v>
      </c>
      <c r="AJ26" s="1299">
        <f t="shared" si="18"/>
        <v>0</v>
      </c>
    </row>
    <row r="27" spans="1:36">
      <c r="A27" s="1291">
        <f t="shared" si="5"/>
        <v>18</v>
      </c>
      <c r="B27" s="1291">
        <v>374.03</v>
      </c>
      <c r="C27" s="1316" t="s">
        <v>1125</v>
      </c>
      <c r="E27" s="1303">
        <f t="shared" si="23"/>
        <v>6797135.5700000003</v>
      </c>
      <c r="F27" s="1302"/>
      <c r="G27" s="1303">
        <f t="shared" si="24"/>
        <v>94132.009199999986</v>
      </c>
      <c r="H27" s="1307"/>
      <c r="I27" s="1303">
        <f t="shared" si="25"/>
        <v>21524.262638333334</v>
      </c>
      <c r="J27" s="1296"/>
      <c r="K27" s="1303">
        <f t="shared" si="26"/>
        <v>115656.27183833331</v>
      </c>
      <c r="L27" s="1302"/>
      <c r="M27" s="514">
        <f t="shared" si="0"/>
        <v>21</v>
      </c>
      <c r="N27" s="1299">
        <f>IFERROR(VLOOKUP(B27,'Sched D-1'!B:Y,22,FALSE),0)</f>
        <v>2090535.11</v>
      </c>
      <c r="O27" s="1299">
        <f>IFERROR(VLOOKUP(B27,'Sched D-1'!B:Y,23,FALSE),0)</f>
        <v>4706600.46</v>
      </c>
      <c r="P27" s="1299">
        <f t="shared" si="16"/>
        <v>6797135.5700000003</v>
      </c>
      <c r="R27" s="514">
        <f t="shared" si="1"/>
        <v>21</v>
      </c>
      <c r="S27" s="1300">
        <v>0</v>
      </c>
      <c r="T27" s="1300">
        <v>0.03</v>
      </c>
      <c r="U27" s="1299"/>
      <c r="W27" s="514">
        <f t="shared" si="2"/>
        <v>21</v>
      </c>
      <c r="X27" s="1297">
        <f t="shared" si="27"/>
        <v>0</v>
      </c>
      <c r="Y27" s="1298">
        <f t="shared" si="28"/>
        <v>94132.009199999986</v>
      </c>
      <c r="Z27" s="1299">
        <f t="shared" si="17"/>
        <v>94132.009199999986</v>
      </c>
      <c r="AB27" s="514">
        <f t="shared" si="3"/>
        <v>21</v>
      </c>
      <c r="AC27" s="1300"/>
      <c r="AD27" s="1300"/>
      <c r="AE27" s="1301">
        <f>IFERROR(VLOOKUP(B27,'Sched J-1'!B:K,10,FALSE),0)</f>
        <v>9.4999999999999998E-3</v>
      </c>
      <c r="AF27" s="1746"/>
      <c r="AG27" s="514">
        <f t="shared" si="4"/>
        <v>21</v>
      </c>
      <c r="AH27" s="1297">
        <f t="shared" si="29"/>
        <v>6620.0278483333341</v>
      </c>
      <c r="AI27" s="1298">
        <f t="shared" si="30"/>
        <v>14904.23479</v>
      </c>
      <c r="AJ27" s="1299">
        <f t="shared" si="18"/>
        <v>21524.262638333334</v>
      </c>
    </row>
    <row r="28" spans="1:36">
      <c r="A28" s="1291">
        <f t="shared" si="5"/>
        <v>19</v>
      </c>
      <c r="B28" s="1291">
        <v>375.01</v>
      </c>
      <c r="C28" s="1295" t="s">
        <v>551</v>
      </c>
      <c r="E28" s="1303">
        <f t="shared" si="23"/>
        <v>4987056.08</v>
      </c>
      <c r="F28" s="1302"/>
      <c r="G28" s="1303">
        <f t="shared" si="24"/>
        <v>97402.813839999988</v>
      </c>
      <c r="H28" s="1307"/>
      <c r="I28" s="1303">
        <f t="shared" si="25"/>
        <v>12633.875402666667</v>
      </c>
      <c r="J28" s="1296"/>
      <c r="K28" s="1303">
        <f t="shared" si="26"/>
        <v>110036.68924266666</v>
      </c>
      <c r="L28" s="1302"/>
      <c r="M28" s="514">
        <f t="shared" si="0"/>
        <v>22</v>
      </c>
      <c r="N28" s="1299">
        <f>IFERROR(VLOOKUP(B28,'Sched D-1'!B:Y,22,FALSE),0)</f>
        <v>487147.45</v>
      </c>
      <c r="O28" s="1299">
        <f>IFERROR(VLOOKUP(B28,'Sched D-1'!B:Y,23,FALSE),0)</f>
        <v>4499908.63</v>
      </c>
      <c r="P28" s="1299">
        <f t="shared" si="16"/>
        <v>4987056.08</v>
      </c>
      <c r="R28" s="514">
        <f t="shared" si="1"/>
        <v>22</v>
      </c>
      <c r="S28" s="1300">
        <v>2.2800000000000001E-2</v>
      </c>
      <c r="T28" s="1300">
        <v>0.03</v>
      </c>
      <c r="U28" s="1299"/>
      <c r="W28" s="514">
        <f t="shared" si="2"/>
        <v>22</v>
      </c>
      <c r="X28" s="1297">
        <f t="shared" si="27"/>
        <v>7404.6412400000008</v>
      </c>
      <c r="Y28" s="1298">
        <f t="shared" si="28"/>
        <v>89998.172599999991</v>
      </c>
      <c r="Z28" s="1299">
        <f t="shared" si="17"/>
        <v>97402.813839999988</v>
      </c>
      <c r="AB28" s="514">
        <f t="shared" si="3"/>
        <v>22</v>
      </c>
      <c r="AC28" s="1300"/>
      <c r="AD28" s="1300"/>
      <c r="AE28" s="1301">
        <f>IFERROR(VLOOKUP(B28,'Sched J-1'!B:K,10,FALSE),0)</f>
        <v>7.6E-3</v>
      </c>
      <c r="AF28" s="1746"/>
      <c r="AG28" s="514">
        <f t="shared" si="4"/>
        <v>22</v>
      </c>
      <c r="AH28" s="1297">
        <f t="shared" si="29"/>
        <v>1234.1068733333334</v>
      </c>
      <c r="AI28" s="1298">
        <f t="shared" si="30"/>
        <v>11399.768529333332</v>
      </c>
      <c r="AJ28" s="1299">
        <f t="shared" si="18"/>
        <v>12633.875402666667</v>
      </c>
    </row>
    <row r="29" spans="1:36">
      <c r="A29" s="1291">
        <f t="shared" si="5"/>
        <v>20</v>
      </c>
      <c r="B29" s="1317">
        <v>375.2</v>
      </c>
      <c r="C29" s="1295" t="s">
        <v>1163</v>
      </c>
      <c r="E29" s="1303">
        <f t="shared" si="23"/>
        <v>12119.44</v>
      </c>
      <c r="F29" s="1302"/>
      <c r="G29" s="1303">
        <f t="shared" si="24"/>
        <v>242.38879999999997</v>
      </c>
      <c r="H29" s="1307"/>
      <c r="I29" s="1303">
        <f t="shared" si="25"/>
        <v>86.452005333333332</v>
      </c>
      <c r="J29" s="1296"/>
      <c r="K29" s="1303">
        <f t="shared" si="26"/>
        <v>328.84080533333332</v>
      </c>
      <c r="L29" s="1302"/>
      <c r="M29" s="514">
        <f t="shared" si="0"/>
        <v>23</v>
      </c>
      <c r="N29" s="1299">
        <f>IFERROR(VLOOKUP(B29,'Sched D-1'!B:Y,22,FALSE),0)</f>
        <v>0</v>
      </c>
      <c r="O29" s="1299">
        <f>IFERROR(VLOOKUP(B29,'Sched D-1'!B:Y,23,FALSE),0)</f>
        <v>12119.44</v>
      </c>
      <c r="P29" s="1299">
        <f t="shared" si="16"/>
        <v>12119.44</v>
      </c>
      <c r="R29" s="514">
        <f t="shared" si="1"/>
        <v>23</v>
      </c>
      <c r="S29" s="1300">
        <v>0</v>
      </c>
      <c r="T29" s="1300">
        <v>0.03</v>
      </c>
      <c r="U29" s="1299"/>
      <c r="W29" s="514">
        <f t="shared" si="2"/>
        <v>23</v>
      </c>
      <c r="X29" s="1297">
        <f t="shared" si="27"/>
        <v>0</v>
      </c>
      <c r="Y29" s="1298">
        <f t="shared" si="28"/>
        <v>242.38879999999997</v>
      </c>
      <c r="Z29" s="1299">
        <f t="shared" si="17"/>
        <v>242.38879999999997</v>
      </c>
      <c r="AB29" s="514">
        <f t="shared" si="3"/>
        <v>23</v>
      </c>
      <c r="AC29" s="1300"/>
      <c r="AD29" s="1300"/>
      <c r="AE29" s="1301">
        <f>IFERROR(VLOOKUP(B29,'Sched J-1'!B:K,10,FALSE),0)</f>
        <v>2.1399999999999999E-2</v>
      </c>
      <c r="AF29" s="1746"/>
      <c r="AG29" s="514">
        <f t="shared" si="4"/>
        <v>23</v>
      </c>
      <c r="AH29" s="1297">
        <f t="shared" si="29"/>
        <v>0</v>
      </c>
      <c r="AI29" s="1298">
        <f t="shared" si="30"/>
        <v>86.452005333333332</v>
      </c>
      <c r="AJ29" s="1299">
        <f t="shared" si="18"/>
        <v>86.452005333333332</v>
      </c>
    </row>
    <row r="30" spans="1:36">
      <c r="A30" s="1291">
        <f t="shared" si="5"/>
        <v>21</v>
      </c>
      <c r="B30" s="1291">
        <v>376</v>
      </c>
      <c r="C30" s="1295" t="s">
        <v>433</v>
      </c>
      <c r="E30" s="1303">
        <f t="shared" si="23"/>
        <v>404011716.14999998</v>
      </c>
      <c r="F30" s="1302"/>
      <c r="G30" s="1303">
        <f t="shared" si="24"/>
        <v>7152347.8413279988</v>
      </c>
      <c r="H30" s="1307"/>
      <c r="I30" s="1303">
        <f t="shared" si="25"/>
        <v>1844986.8370849998</v>
      </c>
      <c r="J30" s="1296"/>
      <c r="K30" s="1303">
        <f t="shared" si="26"/>
        <v>8997334.6784129981</v>
      </c>
      <c r="L30" s="1302"/>
      <c r="M30" s="514">
        <f t="shared" si="0"/>
        <v>24</v>
      </c>
      <c r="N30" s="1299">
        <f>IFERROR(VLOOKUP(B30,'Sched D-1'!B:Y,22,FALSE),0)</f>
        <v>215484462.13999996</v>
      </c>
      <c r="O30" s="1299">
        <f>IFERROR(VLOOKUP(B30,'Sched D-1'!B:Y,23,FALSE),0)</f>
        <v>188527254.00999999</v>
      </c>
      <c r="P30" s="1299">
        <f t="shared" si="16"/>
        <v>404011716.14999998</v>
      </c>
      <c r="R30" s="514">
        <f t="shared" si="1"/>
        <v>24</v>
      </c>
      <c r="S30" s="1300">
        <v>2.354092769062982E-2</v>
      </c>
      <c r="T30" s="1300">
        <v>0.03</v>
      </c>
      <c r="U30" s="1299"/>
      <c r="W30" s="514">
        <f t="shared" si="2"/>
        <v>24</v>
      </c>
      <c r="X30" s="1297">
        <f t="shared" si="27"/>
        <v>3381802.7611279991</v>
      </c>
      <c r="Y30" s="1298">
        <f t="shared" si="28"/>
        <v>3770545.0801999997</v>
      </c>
      <c r="Z30" s="1299">
        <f t="shared" si="17"/>
        <v>7152347.8413279988</v>
      </c>
      <c r="AB30" s="514">
        <f t="shared" si="3"/>
        <v>24</v>
      </c>
      <c r="AC30" s="1300"/>
      <c r="AD30" s="1300"/>
      <c r="AE30" s="1301">
        <f>IFERROR(VLOOKUP(B30,'Sched J-1'!B:K,10,FALSE),0)</f>
        <v>1.37E-2</v>
      </c>
      <c r="AF30" s="1746"/>
      <c r="AG30" s="514">
        <f t="shared" si="4"/>
        <v>24</v>
      </c>
      <c r="AH30" s="1297">
        <f t="shared" si="29"/>
        <v>984045.71043933323</v>
      </c>
      <c r="AI30" s="1298">
        <f t="shared" si="30"/>
        <v>860941.12664566666</v>
      </c>
      <c r="AJ30" s="1299">
        <f t="shared" si="18"/>
        <v>1844986.8370849998</v>
      </c>
    </row>
    <row r="31" spans="1:36">
      <c r="A31" s="1291">
        <f t="shared" si="5"/>
        <v>22</v>
      </c>
      <c r="B31" s="1291">
        <v>378</v>
      </c>
      <c r="C31" s="1295" t="s">
        <v>437</v>
      </c>
      <c r="E31" s="1303">
        <f t="shared" si="23"/>
        <v>23549301.310000002</v>
      </c>
      <c r="F31" s="1302"/>
      <c r="G31" s="1303">
        <f t="shared" si="24"/>
        <v>332699.96087266668</v>
      </c>
      <c r="H31" s="1307"/>
      <c r="I31" s="1303">
        <f t="shared" si="25"/>
        <v>212728.68850033334</v>
      </c>
      <c r="J31" s="1296"/>
      <c r="K31" s="1303">
        <f t="shared" si="26"/>
        <v>545428.64937300002</v>
      </c>
      <c r="L31" s="1302"/>
      <c r="M31" s="514">
        <f t="shared" si="0"/>
        <v>25</v>
      </c>
      <c r="N31" s="1299">
        <f>IFERROR(VLOOKUP(B31,'Sched D-1'!B:Y,22,FALSE),0)</f>
        <v>14922956.689999999</v>
      </c>
      <c r="O31" s="1299">
        <f>IFERROR(VLOOKUP(B31,'Sched D-1'!B:Y,23,FALSE),0)</f>
        <v>8626344.620000001</v>
      </c>
      <c r="P31" s="1299">
        <f t="shared" si="16"/>
        <v>23549301.310000002</v>
      </c>
      <c r="R31" s="514">
        <f t="shared" si="1"/>
        <v>25</v>
      </c>
      <c r="S31" s="1300">
        <v>1.61E-2</v>
      </c>
      <c r="T31" s="1300">
        <v>0.03</v>
      </c>
      <c r="U31" s="1299"/>
      <c r="W31" s="514">
        <f t="shared" si="2"/>
        <v>25</v>
      </c>
      <c r="X31" s="1297">
        <f t="shared" si="27"/>
        <v>160173.06847266667</v>
      </c>
      <c r="Y31" s="1298">
        <f t="shared" si="28"/>
        <v>172526.89240000001</v>
      </c>
      <c r="Z31" s="1299">
        <f t="shared" si="17"/>
        <v>332699.96087266668</v>
      </c>
      <c r="AB31" s="514">
        <f t="shared" si="3"/>
        <v>25</v>
      </c>
      <c r="AC31" s="1300"/>
      <c r="AD31" s="1300"/>
      <c r="AE31" s="1301">
        <f>IFERROR(VLOOKUP(B31,'Sched J-1'!B:K,10,FALSE),0)</f>
        <v>2.7099999999999999E-2</v>
      </c>
      <c r="AF31" s="1746"/>
      <c r="AG31" s="514">
        <f t="shared" si="4"/>
        <v>25</v>
      </c>
      <c r="AH31" s="1297">
        <f t="shared" si="29"/>
        <v>134804.04209966667</v>
      </c>
      <c r="AI31" s="1298">
        <f t="shared" si="30"/>
        <v>77924.646400666665</v>
      </c>
      <c r="AJ31" s="1299">
        <f t="shared" si="18"/>
        <v>212728.68850033334</v>
      </c>
    </row>
    <row r="32" spans="1:36">
      <c r="A32" s="1291">
        <f t="shared" si="5"/>
        <v>23</v>
      </c>
      <c r="B32" s="1291">
        <v>379</v>
      </c>
      <c r="C32" s="1295" t="s">
        <v>943</v>
      </c>
      <c r="E32" s="1303">
        <f t="shared" si="23"/>
        <v>4504804.09</v>
      </c>
      <c r="F32" s="1302"/>
      <c r="G32" s="1303">
        <f t="shared" si="24"/>
        <v>90096.081799999985</v>
      </c>
      <c r="H32" s="1307"/>
      <c r="I32" s="1303">
        <f t="shared" si="25"/>
        <v>21172.579222999997</v>
      </c>
      <c r="J32" s="1296"/>
      <c r="K32" s="1303">
        <f t="shared" si="26"/>
        <v>111268.66102299998</v>
      </c>
      <c r="L32" s="1302"/>
      <c r="M32" s="514">
        <f t="shared" si="0"/>
        <v>26</v>
      </c>
      <c r="N32" s="1299">
        <f>IFERROR(VLOOKUP(B32,'Sched D-1'!B:Y,22,FALSE),0)</f>
        <v>0</v>
      </c>
      <c r="O32" s="1299">
        <f>IFERROR(VLOOKUP(B32,'Sched D-1'!B:Y,23,FALSE),0)</f>
        <v>4504804.09</v>
      </c>
      <c r="P32" s="1299">
        <f t="shared" si="16"/>
        <v>4504804.09</v>
      </c>
      <c r="R32" s="514">
        <f t="shared" si="1"/>
        <v>26</v>
      </c>
      <c r="S32" s="1300">
        <v>0</v>
      </c>
      <c r="T32" s="1300">
        <v>0.03</v>
      </c>
      <c r="U32" s="1299"/>
      <c r="W32" s="514">
        <f t="shared" si="2"/>
        <v>26</v>
      </c>
      <c r="X32" s="1297">
        <f t="shared" si="27"/>
        <v>0</v>
      </c>
      <c r="Y32" s="1298">
        <f t="shared" si="28"/>
        <v>90096.081799999985</v>
      </c>
      <c r="Z32" s="1299">
        <f t="shared" si="17"/>
        <v>90096.081799999985</v>
      </c>
      <c r="AB32" s="514">
        <f t="shared" si="3"/>
        <v>26</v>
      </c>
      <c r="AC32" s="1300"/>
      <c r="AD32" s="1300"/>
      <c r="AE32" s="1301">
        <f>IFERROR(VLOOKUP(B32,'Sched J-1'!B:K,10,FALSE),0)</f>
        <v>1.41E-2</v>
      </c>
      <c r="AF32" s="1746"/>
      <c r="AG32" s="514">
        <f t="shared" si="4"/>
        <v>26</v>
      </c>
      <c r="AH32" s="1297">
        <f t="shared" si="29"/>
        <v>0</v>
      </c>
      <c r="AI32" s="1298">
        <f t="shared" si="30"/>
        <v>21172.579222999997</v>
      </c>
      <c r="AJ32" s="1299">
        <f t="shared" si="18"/>
        <v>21172.579222999997</v>
      </c>
    </row>
    <row r="33" spans="1:36">
      <c r="A33" s="1291">
        <f t="shared" si="5"/>
        <v>24</v>
      </c>
      <c r="B33" s="1291">
        <v>380</v>
      </c>
      <c r="C33" s="1295" t="s">
        <v>434</v>
      </c>
      <c r="E33" s="1303">
        <f t="shared" si="23"/>
        <v>134854199.39999998</v>
      </c>
      <c r="F33" s="1302"/>
      <c r="G33" s="1303">
        <f t="shared" si="24"/>
        <v>3037324.5827413332</v>
      </c>
      <c r="H33" s="1307"/>
      <c r="I33" s="1303">
        <f t="shared" si="25"/>
        <v>1204697.51464</v>
      </c>
      <c r="J33" s="1296"/>
      <c r="K33" s="1303">
        <f t="shared" si="26"/>
        <v>4242022.0973813329</v>
      </c>
      <c r="L33" s="1302"/>
      <c r="M33" s="514">
        <f t="shared" si="0"/>
        <v>27</v>
      </c>
      <c r="N33" s="1299">
        <f>IFERROR(VLOOKUP(B33,'Sched D-1'!B:Y,22,FALSE),0)</f>
        <v>98249455.629999995</v>
      </c>
      <c r="O33" s="1299">
        <f>IFERROR(VLOOKUP(B33,'Sched D-1'!B:Y,23,FALSE),0)</f>
        <v>36604743.769999996</v>
      </c>
      <c r="P33" s="1299">
        <f t="shared" si="16"/>
        <v>134854199.39999998</v>
      </c>
      <c r="R33" s="514">
        <f t="shared" si="1"/>
        <v>27</v>
      </c>
      <c r="S33" s="1300">
        <v>3.519454167801174E-2</v>
      </c>
      <c r="T33" s="1300">
        <v>0.03</v>
      </c>
      <c r="U33" s="1299"/>
      <c r="W33" s="514">
        <f t="shared" si="2"/>
        <v>27</v>
      </c>
      <c r="X33" s="1297">
        <f t="shared" si="27"/>
        <v>2305229.7073413334</v>
      </c>
      <c r="Y33" s="1298">
        <f t="shared" si="28"/>
        <v>732094.8753999999</v>
      </c>
      <c r="Z33" s="1299">
        <f t="shared" si="17"/>
        <v>3037324.5827413332</v>
      </c>
      <c r="AB33" s="514">
        <f t="shared" si="3"/>
        <v>27</v>
      </c>
      <c r="AC33" s="1300"/>
      <c r="AD33" s="1300"/>
      <c r="AE33" s="1301">
        <f>IFERROR(VLOOKUP(B33,'Sched J-1'!B:K,10,FALSE),0)</f>
        <v>2.6800000000000001E-2</v>
      </c>
      <c r="AF33" s="1746"/>
      <c r="AG33" s="514">
        <f t="shared" si="4"/>
        <v>27</v>
      </c>
      <c r="AH33" s="1297">
        <f t="shared" si="29"/>
        <v>877695.13696133334</v>
      </c>
      <c r="AI33" s="1298">
        <f t="shared" si="30"/>
        <v>327002.37767866667</v>
      </c>
      <c r="AJ33" s="1299">
        <f t="shared" si="18"/>
        <v>1204697.51464</v>
      </c>
    </row>
    <row r="34" spans="1:36">
      <c r="A34" s="1291">
        <f t="shared" si="5"/>
        <v>25</v>
      </c>
      <c r="B34" s="1291">
        <v>381</v>
      </c>
      <c r="C34" s="1295" t="s">
        <v>1191</v>
      </c>
      <c r="E34" s="1303">
        <f t="shared" si="23"/>
        <v>42421416.420000002</v>
      </c>
      <c r="F34" s="1302"/>
      <c r="G34" s="1303">
        <f t="shared" si="24"/>
        <v>1243504.8558686667</v>
      </c>
      <c r="H34" s="1307"/>
      <c r="I34" s="1303">
        <f t="shared" si="25"/>
        <v>677328.615506</v>
      </c>
      <c r="J34" s="1296"/>
      <c r="K34" s="1303">
        <f t="shared" si="26"/>
        <v>1920833.4713746668</v>
      </c>
      <c r="L34" s="1302"/>
      <c r="M34" s="514">
        <f t="shared" si="0"/>
        <v>28</v>
      </c>
      <c r="N34" s="1299">
        <f>IFERROR(VLOOKUP(B34,'Sched D-1'!B:Y,22,FALSE),0)</f>
        <v>30750495.09</v>
      </c>
      <c r="O34" s="1299">
        <f>IFERROR(VLOOKUP(B34,'Sched D-1'!B:Y,23,FALSE),0)</f>
        <v>11670921.330000002</v>
      </c>
      <c r="P34" s="1299">
        <f t="shared" si="16"/>
        <v>42421416.420000002</v>
      </c>
      <c r="R34" s="514">
        <f t="shared" si="1"/>
        <v>28</v>
      </c>
      <c r="S34" s="1300">
        <v>4.4452118943201051E-2</v>
      </c>
      <c r="T34" s="1300">
        <v>4.2698652866337165E-2</v>
      </c>
      <c r="U34" s="1299"/>
      <c r="W34" s="514">
        <f t="shared" si="2"/>
        <v>28</v>
      </c>
      <c r="X34" s="1297">
        <f t="shared" si="27"/>
        <v>911283.11020199989</v>
      </c>
      <c r="Y34" s="1298">
        <f t="shared" si="28"/>
        <v>332221.74566666677</v>
      </c>
      <c r="Z34" s="1299">
        <f t="shared" si="17"/>
        <v>1243504.8558686667</v>
      </c>
      <c r="AB34" s="514">
        <f t="shared" si="3"/>
        <v>28</v>
      </c>
      <c r="AC34" s="1300"/>
      <c r="AD34" s="1300"/>
      <c r="AE34" s="1301">
        <f>IFERROR(VLOOKUP(B34,'Sched J-1'!B:K,10,FALSE),0)</f>
        <v>4.7899999999999998E-2</v>
      </c>
      <c r="AF34" s="1746"/>
      <c r="AG34" s="514">
        <f t="shared" si="4"/>
        <v>28</v>
      </c>
      <c r="AH34" s="1297">
        <f t="shared" si="29"/>
        <v>490982.90493700001</v>
      </c>
      <c r="AI34" s="1298">
        <f t="shared" si="30"/>
        <v>186345.71056900002</v>
      </c>
      <c r="AJ34" s="1299">
        <f t="shared" si="18"/>
        <v>677328.615506</v>
      </c>
    </row>
    <row r="35" spans="1:36">
      <c r="A35" s="1291">
        <f t="shared" si="5"/>
        <v>26</v>
      </c>
      <c r="B35" s="1291">
        <v>382.01</v>
      </c>
      <c r="C35" s="1295" t="s">
        <v>552</v>
      </c>
      <c r="E35" s="1303">
        <f t="shared" si="23"/>
        <v>11094169.640000001</v>
      </c>
      <c r="F35" s="1302"/>
      <c r="G35" s="1303">
        <f t="shared" si="24"/>
        <v>192194.05362066664</v>
      </c>
      <c r="H35" s="1307"/>
      <c r="I35" s="1303">
        <f t="shared" si="25"/>
        <v>98738.109796000004</v>
      </c>
      <c r="J35" s="1296"/>
      <c r="K35" s="1303">
        <f t="shared" si="26"/>
        <v>290932.16341666668</v>
      </c>
      <c r="L35" s="1302"/>
      <c r="M35" s="514">
        <f t="shared" si="0"/>
        <v>29</v>
      </c>
      <c r="N35" s="1299">
        <f>IFERROR(VLOOKUP(B35,'Sched D-1'!B:Y,22,FALSE),0)</f>
        <v>5003821.21</v>
      </c>
      <c r="O35" s="1299">
        <f>IFERROR(VLOOKUP(B35,'Sched D-1'!B:Y,23,FALSE),0)</f>
        <v>6090348.4299999997</v>
      </c>
      <c r="P35" s="1299">
        <f t="shared" si="16"/>
        <v>11094169.640000001</v>
      </c>
      <c r="R35" s="514">
        <f t="shared" si="1"/>
        <v>29</v>
      </c>
      <c r="S35" s="1300">
        <v>2.1100000000000001E-2</v>
      </c>
      <c r="T35" s="1300">
        <v>0.03</v>
      </c>
      <c r="U35" s="1299"/>
      <c r="W35" s="514">
        <f t="shared" si="2"/>
        <v>29</v>
      </c>
      <c r="X35" s="1297">
        <f t="shared" si="27"/>
        <v>70387.085020666666</v>
      </c>
      <c r="Y35" s="1298">
        <f t="shared" si="28"/>
        <v>121806.96859999998</v>
      </c>
      <c r="Z35" s="1299">
        <f t="shared" si="17"/>
        <v>192194.05362066664</v>
      </c>
      <c r="AB35" s="514">
        <f t="shared" si="3"/>
        <v>29</v>
      </c>
      <c r="AC35" s="1300"/>
      <c r="AD35" s="1300"/>
      <c r="AE35" s="1301">
        <f>IFERROR(VLOOKUP(B35,'Sched J-1'!B:K,10,FALSE),0)</f>
        <v>2.6700000000000002E-2</v>
      </c>
      <c r="AF35" s="1746"/>
      <c r="AG35" s="514">
        <f t="shared" si="4"/>
        <v>29</v>
      </c>
      <c r="AH35" s="1297">
        <f t="shared" si="29"/>
        <v>44534.008769</v>
      </c>
      <c r="AI35" s="1298">
        <f t="shared" si="30"/>
        <v>54204.101026999997</v>
      </c>
      <c r="AJ35" s="1299">
        <f t="shared" si="18"/>
        <v>98738.109796000004</v>
      </c>
    </row>
    <row r="36" spans="1:36">
      <c r="A36" s="1291">
        <f t="shared" si="5"/>
        <v>27</v>
      </c>
      <c r="B36" s="1291">
        <v>383.01</v>
      </c>
      <c r="C36" s="1295" t="s">
        <v>435</v>
      </c>
      <c r="E36" s="1303">
        <f t="shared" si="23"/>
        <v>70846697.420000002</v>
      </c>
      <c r="F36" s="1302"/>
      <c r="G36" s="1303">
        <f t="shared" si="24"/>
        <v>1333467.246092</v>
      </c>
      <c r="H36" s="1307"/>
      <c r="I36" s="1303">
        <f t="shared" si="25"/>
        <v>632897.1636186667</v>
      </c>
      <c r="J36" s="1296"/>
      <c r="K36" s="1303">
        <f t="shared" si="26"/>
        <v>1966364.4097106666</v>
      </c>
      <c r="L36" s="1302"/>
      <c r="M36" s="514">
        <f t="shared" si="0"/>
        <v>30</v>
      </c>
      <c r="N36" s="1299">
        <f>IFERROR(VLOOKUP(B36,'Sched D-1'!B:Y,22,FALSE),0)</f>
        <v>40387114.020000003</v>
      </c>
      <c r="O36" s="1299">
        <f>IFERROR(VLOOKUP(B36,'Sched D-1'!B:Y,23,FALSE),0)</f>
        <v>30459583.400000002</v>
      </c>
      <c r="P36" s="1299">
        <f t="shared" si="16"/>
        <v>70846697.420000002</v>
      </c>
      <c r="R36" s="514">
        <f t="shared" si="1"/>
        <v>30</v>
      </c>
      <c r="S36" s="1300">
        <v>2.69E-2</v>
      </c>
      <c r="T36" s="1300">
        <v>0.03</v>
      </c>
      <c r="U36" s="1299"/>
      <c r="W36" s="514">
        <f t="shared" si="2"/>
        <v>30</v>
      </c>
      <c r="X36" s="1297">
        <f t="shared" si="27"/>
        <v>724275.5780920001</v>
      </c>
      <c r="Y36" s="1298">
        <f t="shared" si="28"/>
        <v>609191.66799999995</v>
      </c>
      <c r="Z36" s="1299">
        <f t="shared" si="17"/>
        <v>1333467.246092</v>
      </c>
      <c r="AB36" s="514">
        <f t="shared" si="3"/>
        <v>30</v>
      </c>
      <c r="AC36" s="1300"/>
      <c r="AD36" s="1300"/>
      <c r="AE36" s="1301">
        <f>IFERROR(VLOOKUP(B36,'Sched J-1'!B:K,10,FALSE),0)</f>
        <v>2.6800000000000001E-2</v>
      </c>
      <c r="AF36" s="1746"/>
      <c r="AG36" s="514">
        <f t="shared" si="4"/>
        <v>30</v>
      </c>
      <c r="AH36" s="1297">
        <f t="shared" si="29"/>
        <v>360791.551912</v>
      </c>
      <c r="AI36" s="1298">
        <f t="shared" si="30"/>
        <v>272105.61170666671</v>
      </c>
      <c r="AJ36" s="1299">
        <f t="shared" si="18"/>
        <v>632897.1636186667</v>
      </c>
    </row>
    <row r="37" spans="1:36">
      <c r="A37" s="1291">
        <f t="shared" si="5"/>
        <v>28</v>
      </c>
      <c r="B37" s="1291">
        <v>383.71</v>
      </c>
      <c r="C37" s="1295" t="s">
        <v>1165</v>
      </c>
      <c r="E37" s="1303">
        <f t="shared" si="23"/>
        <v>848957.41</v>
      </c>
      <c r="F37" s="1302"/>
      <c r="G37" s="1303">
        <f t="shared" si="24"/>
        <v>15224.636219333333</v>
      </c>
      <c r="H37" s="1307"/>
      <c r="I37" s="1303">
        <f t="shared" si="25"/>
        <v>6253.9862536666669</v>
      </c>
      <c r="J37" s="1296"/>
      <c r="K37" s="1303">
        <f t="shared" si="26"/>
        <v>21478.622472999999</v>
      </c>
      <c r="L37" s="1302"/>
      <c r="M37" s="514">
        <f t="shared" si="0"/>
        <v>31</v>
      </c>
      <c r="N37" s="1299">
        <f>IFERROR(VLOOKUP(B37,'Sched D-1'!B:Y,22,FALSE),0)</f>
        <v>848957.41</v>
      </c>
      <c r="O37" s="1299">
        <f>IFERROR(VLOOKUP(B37,'Sched D-1'!B:Y,23,FALSE),0)</f>
        <v>0</v>
      </c>
      <c r="P37" s="1299">
        <f t="shared" si="16"/>
        <v>848957.41</v>
      </c>
      <c r="R37" s="514">
        <f t="shared" si="1"/>
        <v>31</v>
      </c>
      <c r="S37" s="1300">
        <v>2.69E-2</v>
      </c>
      <c r="T37" s="1300">
        <v>0</v>
      </c>
      <c r="U37" s="1299"/>
      <c r="W37" s="514">
        <f t="shared" si="2"/>
        <v>31</v>
      </c>
      <c r="X37" s="1297">
        <f t="shared" si="27"/>
        <v>15224.636219333333</v>
      </c>
      <c r="Y37" s="1298">
        <f t="shared" si="28"/>
        <v>0</v>
      </c>
      <c r="Z37" s="1299">
        <f t="shared" si="17"/>
        <v>15224.636219333333</v>
      </c>
      <c r="AB37" s="514">
        <f t="shared" si="3"/>
        <v>31</v>
      </c>
      <c r="AC37" s="1300"/>
      <c r="AD37" s="1300"/>
      <c r="AE37" s="1301">
        <f>IFERROR(VLOOKUP(B37,'Sched J-1'!B:K,10,FALSE),0)</f>
        <v>2.2100000000000002E-2</v>
      </c>
      <c r="AF37" s="1746"/>
      <c r="AG37" s="514">
        <f t="shared" si="4"/>
        <v>31</v>
      </c>
      <c r="AH37" s="1297">
        <f t="shared" si="29"/>
        <v>6253.9862536666669</v>
      </c>
      <c r="AI37" s="1298">
        <f t="shared" si="30"/>
        <v>0</v>
      </c>
      <c r="AJ37" s="1299">
        <f t="shared" si="18"/>
        <v>6253.9862536666669</v>
      </c>
    </row>
    <row r="38" spans="1:36">
      <c r="A38" s="1291">
        <f t="shared" si="5"/>
        <v>29</v>
      </c>
      <c r="B38" s="1291">
        <v>384.01</v>
      </c>
      <c r="C38" s="1295" t="s">
        <v>570</v>
      </c>
      <c r="E38" s="1303">
        <f t="shared" si="23"/>
        <v>1505149.15</v>
      </c>
      <c r="F38" s="1302"/>
      <c r="G38" s="1303">
        <f t="shared" si="24"/>
        <v>30102.982999999997</v>
      </c>
      <c r="H38" s="1307"/>
      <c r="I38" s="1303">
        <f t="shared" si="25"/>
        <v>6070.7682383333331</v>
      </c>
      <c r="J38" s="1296"/>
      <c r="K38" s="1303">
        <f t="shared" si="26"/>
        <v>36173.751238333331</v>
      </c>
      <c r="L38" s="1302"/>
      <c r="M38" s="514">
        <f t="shared" si="0"/>
        <v>32</v>
      </c>
      <c r="N38" s="1299">
        <f>IFERROR(VLOOKUP(B38,'Sched D-1'!B:Y,22,FALSE),0)</f>
        <v>0</v>
      </c>
      <c r="O38" s="1299">
        <f>IFERROR(VLOOKUP(B38,'Sched D-1'!B:Y,23,FALSE),0)</f>
        <v>1505149.15</v>
      </c>
      <c r="P38" s="1299">
        <f t="shared" si="16"/>
        <v>1505149.15</v>
      </c>
      <c r="R38" s="514">
        <f t="shared" si="1"/>
        <v>32</v>
      </c>
      <c r="S38" s="1300">
        <v>2.69E-2</v>
      </c>
      <c r="T38" s="1300">
        <v>0.03</v>
      </c>
      <c r="U38" s="1299"/>
      <c r="W38" s="514">
        <f t="shared" si="2"/>
        <v>32</v>
      </c>
      <c r="X38" s="1297">
        <f t="shared" si="27"/>
        <v>0</v>
      </c>
      <c r="Y38" s="1298">
        <f t="shared" si="28"/>
        <v>30102.982999999997</v>
      </c>
      <c r="Z38" s="1299">
        <f t="shared" si="17"/>
        <v>30102.982999999997</v>
      </c>
      <c r="AB38" s="514">
        <f t="shared" si="3"/>
        <v>32</v>
      </c>
      <c r="AC38" s="1300"/>
      <c r="AD38" s="1300"/>
      <c r="AE38" s="1301">
        <f>IFERROR(VLOOKUP(B38,'Sched J-1'!B:K,10,FALSE),0)</f>
        <v>1.21E-2</v>
      </c>
      <c r="AF38" s="1746"/>
      <c r="AG38" s="514">
        <f t="shared" si="4"/>
        <v>32</v>
      </c>
      <c r="AH38" s="1297">
        <f t="shared" si="29"/>
        <v>0</v>
      </c>
      <c r="AI38" s="1298">
        <f t="shared" si="30"/>
        <v>6070.7682383333331</v>
      </c>
      <c r="AJ38" s="1299">
        <f t="shared" si="18"/>
        <v>6070.7682383333331</v>
      </c>
    </row>
    <row r="39" spans="1:36">
      <c r="A39" s="1291">
        <f t="shared" si="5"/>
        <v>30</v>
      </c>
      <c r="B39" s="1291">
        <v>385</v>
      </c>
      <c r="C39" s="1295" t="s">
        <v>942</v>
      </c>
      <c r="E39" s="1303">
        <f t="shared" si="23"/>
        <v>8058004.8199999984</v>
      </c>
      <c r="F39" s="1302"/>
      <c r="G39" s="1303">
        <f t="shared" si="24"/>
        <v>163444.07837799998</v>
      </c>
      <c r="H39" s="1307"/>
      <c r="I39" s="1303">
        <f t="shared" si="25"/>
        <v>69298.841451999993</v>
      </c>
      <c r="J39" s="1296"/>
      <c r="K39" s="1303">
        <f t="shared" si="26"/>
        <v>232742.91982999997</v>
      </c>
      <c r="L39" s="1302"/>
      <c r="M39" s="514">
        <f t="shared" si="0"/>
        <v>33</v>
      </c>
      <c r="N39" s="1299">
        <f>IFERROR(VLOOKUP(B39,'Sched D-1'!B:Y,22,FALSE),0)</f>
        <v>3806636.6300000004</v>
      </c>
      <c r="O39" s="1299">
        <f>IFERROR(VLOOKUP(B39,'Sched D-1'!B:Y,23,FALSE),0)</f>
        <v>4251368.1899999985</v>
      </c>
      <c r="P39" s="1299">
        <f t="shared" si="16"/>
        <v>8058004.8199999984</v>
      </c>
      <c r="R39" s="514">
        <f t="shared" si="1"/>
        <v>33</v>
      </c>
      <c r="S39" s="1300">
        <v>3.09E-2</v>
      </c>
      <c r="T39" s="1300">
        <v>0.03</v>
      </c>
      <c r="U39" s="1299"/>
      <c r="W39" s="514">
        <f t="shared" si="2"/>
        <v>33</v>
      </c>
      <c r="X39" s="1297">
        <f t="shared" si="27"/>
        <v>78416.714577999999</v>
      </c>
      <c r="Y39" s="1298">
        <f t="shared" si="28"/>
        <v>85027.363799999977</v>
      </c>
      <c r="Z39" s="1299">
        <f t="shared" si="17"/>
        <v>163444.07837799998</v>
      </c>
      <c r="AB39" s="514">
        <f t="shared" si="3"/>
        <v>33</v>
      </c>
      <c r="AC39" s="1300"/>
      <c r="AD39" s="1300"/>
      <c r="AE39" s="1301">
        <f>IFERROR(VLOOKUP(B39,'Sched J-1'!B:K,10,FALSE),0)</f>
        <v>2.58E-2</v>
      </c>
      <c r="AF39" s="1746"/>
      <c r="AG39" s="514">
        <f t="shared" si="4"/>
        <v>33</v>
      </c>
      <c r="AH39" s="1297">
        <f t="shared" si="29"/>
        <v>32737.075018000003</v>
      </c>
      <c r="AI39" s="1298">
        <f t="shared" si="30"/>
        <v>36561.766433999983</v>
      </c>
      <c r="AJ39" s="1299">
        <f t="shared" si="18"/>
        <v>69298.841451999993</v>
      </c>
    </row>
    <row r="40" spans="1:36">
      <c r="A40" s="1291">
        <f t="shared" si="5"/>
        <v>31</v>
      </c>
      <c r="B40" s="1291">
        <v>386</v>
      </c>
      <c r="C40" s="1295" t="s">
        <v>784</v>
      </c>
      <c r="E40" s="1303">
        <f t="shared" si="23"/>
        <v>35278.870000000003</v>
      </c>
      <c r="F40" s="1302"/>
      <c r="G40" s="1303">
        <f t="shared" si="24"/>
        <v>705.57740000000001</v>
      </c>
      <c r="H40" s="1307"/>
      <c r="I40" s="1303">
        <f t="shared" si="25"/>
        <v>122.30008266666668</v>
      </c>
      <c r="J40" s="1296"/>
      <c r="K40" s="1303">
        <f t="shared" si="26"/>
        <v>827.87748266666665</v>
      </c>
      <c r="L40" s="1302"/>
      <c r="M40" s="514">
        <f t="shared" si="0"/>
        <v>34</v>
      </c>
      <c r="N40" s="1299">
        <f>IFERROR(VLOOKUP(B40,'Sched D-1'!B:Y,22,FALSE),0)</f>
        <v>0</v>
      </c>
      <c r="O40" s="1299">
        <f>IFERROR(VLOOKUP(B40,'Sched D-1'!B:Y,23,FALSE),0)</f>
        <v>35278.870000000003</v>
      </c>
      <c r="P40" s="1299">
        <f t="shared" si="16"/>
        <v>35278.870000000003</v>
      </c>
      <c r="R40" s="514">
        <f t="shared" si="1"/>
        <v>34</v>
      </c>
      <c r="S40" s="1300">
        <v>0</v>
      </c>
      <c r="T40" s="1300">
        <v>0.03</v>
      </c>
      <c r="U40" s="1299"/>
      <c r="W40" s="514">
        <f t="shared" si="2"/>
        <v>34</v>
      </c>
      <c r="X40" s="1297">
        <f t="shared" si="27"/>
        <v>0</v>
      </c>
      <c r="Y40" s="1298">
        <f t="shared" si="28"/>
        <v>705.57740000000001</v>
      </c>
      <c r="Z40" s="1299">
        <f t="shared" si="17"/>
        <v>705.57740000000001</v>
      </c>
      <c r="AB40" s="514">
        <f t="shared" si="3"/>
        <v>34</v>
      </c>
      <c r="AC40" s="1300"/>
      <c r="AD40" s="1300"/>
      <c r="AE40" s="1301">
        <f>IFERROR(VLOOKUP(B40,'Sched J-1'!B:K,10,FALSE),0)</f>
        <v>1.04E-2</v>
      </c>
      <c r="AF40" s="1746"/>
      <c r="AG40" s="514">
        <f t="shared" si="4"/>
        <v>34</v>
      </c>
      <c r="AH40" s="1297">
        <f t="shared" si="29"/>
        <v>0</v>
      </c>
      <c r="AI40" s="1298">
        <f t="shared" si="30"/>
        <v>122.30008266666668</v>
      </c>
      <c r="AJ40" s="1299">
        <f t="shared" si="18"/>
        <v>122.30008266666668</v>
      </c>
    </row>
    <row r="41" spans="1:36">
      <c r="A41" s="1291">
        <f t="shared" si="5"/>
        <v>32</v>
      </c>
      <c r="B41" s="1291">
        <v>387</v>
      </c>
      <c r="C41" s="1295" t="s">
        <v>546</v>
      </c>
      <c r="E41" s="1303">
        <f t="shared" si="23"/>
        <v>407724.66000000003</v>
      </c>
      <c r="F41" s="1302"/>
      <c r="G41" s="1303">
        <f t="shared" si="24"/>
        <v>10963.519260000001</v>
      </c>
      <c r="H41" s="1307"/>
      <c r="I41" s="1303">
        <f t="shared" si="25"/>
        <v>2799.7093320000004</v>
      </c>
      <c r="J41" s="1296"/>
      <c r="K41" s="1303">
        <f t="shared" si="26"/>
        <v>13763.228592000001</v>
      </c>
      <c r="L41" s="1302"/>
      <c r="M41" s="514">
        <f t="shared" si="0"/>
        <v>35</v>
      </c>
      <c r="N41" s="1299">
        <f>IFERROR(VLOOKUP(B41,'Sched D-1'!B:Y,22,FALSE),0)</f>
        <v>39378.870000000003</v>
      </c>
      <c r="O41" s="1299">
        <f>IFERROR(VLOOKUP(B41,'Sched D-1'!B:Y,23,FALSE),0)</f>
        <v>368345.79000000004</v>
      </c>
      <c r="P41" s="1299">
        <f t="shared" si="16"/>
        <v>407724.66000000003</v>
      </c>
      <c r="R41" s="514">
        <f t="shared" si="1"/>
        <v>35</v>
      </c>
      <c r="S41" s="1314">
        <v>0.13700000000000001</v>
      </c>
      <c r="T41" s="1314">
        <v>0.03</v>
      </c>
      <c r="U41" s="1318"/>
      <c r="W41" s="514">
        <f t="shared" si="2"/>
        <v>35</v>
      </c>
      <c r="X41" s="1297">
        <f t="shared" si="27"/>
        <v>3596.6034600000003</v>
      </c>
      <c r="Y41" s="1298">
        <f t="shared" si="28"/>
        <v>7366.9157999999998</v>
      </c>
      <c r="Z41" s="1299">
        <f t="shared" si="17"/>
        <v>10963.519260000001</v>
      </c>
      <c r="AB41" s="514">
        <f t="shared" si="3"/>
        <v>35</v>
      </c>
      <c r="AC41" s="1314"/>
      <c r="AD41" s="1314"/>
      <c r="AE41" s="1301">
        <f>IFERROR(VLOOKUP(B41,'Sched J-1'!B:K,10,FALSE),0)</f>
        <v>2.06E-2</v>
      </c>
      <c r="AF41" s="1746"/>
      <c r="AG41" s="514">
        <f t="shared" si="4"/>
        <v>35</v>
      </c>
      <c r="AH41" s="1297">
        <f t="shared" si="29"/>
        <v>270.40157400000004</v>
      </c>
      <c r="AI41" s="1298">
        <f t="shared" si="30"/>
        <v>2529.3077580000004</v>
      </c>
      <c r="AJ41" s="1299">
        <f t="shared" si="18"/>
        <v>2799.7093320000004</v>
      </c>
    </row>
    <row r="42" spans="1:36">
      <c r="A42" s="1291">
        <f t="shared" si="5"/>
        <v>33</v>
      </c>
      <c r="B42" s="1291"/>
      <c r="C42" s="1308" t="s">
        <v>436</v>
      </c>
      <c r="E42" s="1309">
        <f>ROUND(SUM(E25:E41),0)</f>
        <v>715468698</v>
      </c>
      <c r="F42" s="1029"/>
      <c r="G42" s="1309">
        <f>ROUND(SUM(G25:G41),0)</f>
        <v>13793853</v>
      </c>
      <c r="H42" s="1296"/>
      <c r="I42" s="1309">
        <f>ROUND(SUM(I25:I41),0)</f>
        <v>4811340</v>
      </c>
      <c r="J42" s="1296"/>
      <c r="K42" s="1309">
        <f>ROUND(SUM(K25:K41),0)</f>
        <v>18605192</v>
      </c>
      <c r="L42" s="1296"/>
      <c r="M42" s="514">
        <f t="shared" si="0"/>
        <v>36</v>
      </c>
      <c r="N42" s="944">
        <f>ROUND(SUM(N25:N41),0)</f>
        <v>412601987</v>
      </c>
      <c r="O42" s="944">
        <f>ROUND(SUM(O25:O41),0)</f>
        <v>302866711</v>
      </c>
      <c r="P42" s="1299">
        <f t="shared" si="16"/>
        <v>715468698</v>
      </c>
      <c r="R42" s="514">
        <f t="shared" si="1"/>
        <v>36</v>
      </c>
      <c r="S42" s="1299"/>
      <c r="T42" s="1299"/>
      <c r="U42" s="1299"/>
      <c r="W42" s="514">
        <f t="shared" si="2"/>
        <v>36</v>
      </c>
      <c r="X42" s="944">
        <f>SUM(X25:X41)</f>
        <v>7657793.9057539981</v>
      </c>
      <c r="Y42" s="944">
        <f>SUM(Y25:Y41)</f>
        <v>6136058.7226666659</v>
      </c>
      <c r="Z42" s="1299">
        <f>SUM(Z25:Z41)</f>
        <v>13793852.628420664</v>
      </c>
      <c r="AB42" s="514">
        <f t="shared" si="3"/>
        <v>36</v>
      </c>
      <c r="AC42" s="1299"/>
      <c r="AD42" s="1299"/>
      <c r="AE42" s="1299"/>
      <c r="AG42" s="514">
        <f t="shared" si="4"/>
        <v>36</v>
      </c>
      <c r="AH42" s="944">
        <f>SUM(AH25:AH41)</f>
        <v>2939968.9526856663</v>
      </c>
      <c r="AI42" s="944">
        <f>SUM(AI25:AI41)</f>
        <v>1871370.7510883331</v>
      </c>
      <c r="AJ42" s="1299">
        <f>SUM(AJ25:AJ41)</f>
        <v>4811339.7037739996</v>
      </c>
    </row>
    <row r="43" spans="1:36">
      <c r="A43" s="1291">
        <f t="shared" si="5"/>
        <v>34</v>
      </c>
      <c r="B43" s="1291"/>
      <c r="C43" s="1315"/>
      <c r="E43" s="1029"/>
      <c r="F43" s="1029"/>
      <c r="G43" s="1029"/>
      <c r="H43" s="1296"/>
      <c r="I43" s="1029"/>
      <c r="J43" s="1296"/>
      <c r="K43" s="1029"/>
      <c r="L43" s="1029"/>
      <c r="M43" s="514">
        <f t="shared" si="0"/>
        <v>37</v>
      </c>
      <c r="P43" s="1299">
        <f t="shared" si="16"/>
        <v>0</v>
      </c>
      <c r="R43" s="514">
        <f t="shared" si="1"/>
        <v>37</v>
      </c>
      <c r="W43" s="514">
        <f t="shared" si="2"/>
        <v>37</v>
      </c>
      <c r="Z43" s="1299"/>
      <c r="AB43" s="514">
        <f t="shared" si="3"/>
        <v>37</v>
      </c>
      <c r="AG43" s="514">
        <f t="shared" si="4"/>
        <v>37</v>
      </c>
      <c r="AJ43" s="1299"/>
    </row>
    <row r="44" spans="1:36">
      <c r="A44" s="1291">
        <f t="shared" si="5"/>
        <v>35</v>
      </c>
      <c r="B44" s="1291"/>
      <c r="C44" s="1293" t="s">
        <v>300</v>
      </c>
      <c r="E44" s="1029"/>
      <c r="F44" s="1029"/>
      <c r="G44" s="1029"/>
      <c r="H44" s="1296"/>
      <c r="I44" s="1029"/>
      <c r="J44" s="1296"/>
      <c r="K44" s="1029"/>
      <c r="L44" s="1029"/>
      <c r="M44" s="514">
        <f t="shared" si="0"/>
        <v>38</v>
      </c>
      <c r="P44" s="1299">
        <f t="shared" si="16"/>
        <v>0</v>
      </c>
      <c r="R44" s="514">
        <f t="shared" si="1"/>
        <v>38</v>
      </c>
      <c r="W44" s="514">
        <f t="shared" si="2"/>
        <v>38</v>
      </c>
      <c r="Z44" s="1299"/>
      <c r="AB44" s="514">
        <f t="shared" si="3"/>
        <v>38</v>
      </c>
      <c r="AG44" s="514">
        <f t="shared" si="4"/>
        <v>38</v>
      </c>
      <c r="AJ44" s="1299"/>
    </row>
    <row r="45" spans="1:36">
      <c r="A45" s="1291">
        <f t="shared" si="5"/>
        <v>36</v>
      </c>
      <c r="B45" s="1291">
        <v>389.01</v>
      </c>
      <c r="C45" s="1295" t="s">
        <v>555</v>
      </c>
      <c r="E45" s="1029">
        <f t="shared" ref="E45:E67" si="31">HLOOKUP(Attach,$N$7:$P$79,M45,FALSE)</f>
        <v>5210067.8100000005</v>
      </c>
      <c r="F45" s="1029"/>
      <c r="G45" s="1029">
        <f t="shared" ref="G45:G67" si="32">HLOOKUP(Attach,$X$7:$Z$79,R45,FALSE)</f>
        <v>0</v>
      </c>
      <c r="H45" s="1296"/>
      <c r="I45" s="1029">
        <f t="shared" ref="I45:I67" si="33">HLOOKUP(Attach,$AH$7:$AJ$79,AG45,FALSE)</f>
        <v>0</v>
      </c>
      <c r="J45" s="1296"/>
      <c r="K45" s="1029">
        <f t="shared" ref="K45:K67" si="34">SUM(G45:I45)</f>
        <v>0</v>
      </c>
      <c r="L45" s="1029"/>
      <c r="M45" s="514">
        <f t="shared" si="0"/>
        <v>39</v>
      </c>
      <c r="N45" s="1299">
        <f>IFERROR(VLOOKUP(B45,'Sched D-1'!B:Y,22,FALSE),0)</f>
        <v>3286546.93</v>
      </c>
      <c r="O45" s="1299">
        <f>IFERROR(VLOOKUP(B45,'Sched D-1'!B:Y,23,FALSE),0)</f>
        <v>1923520.88</v>
      </c>
      <c r="P45" s="1299">
        <f t="shared" si="16"/>
        <v>5210067.8100000005</v>
      </c>
      <c r="R45" s="514">
        <f t="shared" si="1"/>
        <v>39</v>
      </c>
      <c r="S45" s="1319">
        <v>0</v>
      </c>
      <c r="T45" s="1319">
        <v>0</v>
      </c>
      <c r="U45" s="1320"/>
      <c r="W45" s="514">
        <f t="shared" si="2"/>
        <v>39</v>
      </c>
      <c r="X45" s="1297">
        <f>(N45*S45)/12*8</f>
        <v>0</v>
      </c>
      <c r="Y45" s="1298">
        <f>(O45*T45)/12*8</f>
        <v>0</v>
      </c>
      <c r="Z45" s="1299">
        <f t="shared" ref="Z45:Z67" si="35">+X45+Y45</f>
        <v>0</v>
      </c>
      <c r="AB45" s="514">
        <f t="shared" si="3"/>
        <v>39</v>
      </c>
      <c r="AC45" s="1319"/>
      <c r="AD45" s="1319"/>
      <c r="AE45" s="1301">
        <f>IFERROR(VLOOKUP(B45,'Sched J-1'!B:K,10,FALSE),0)</f>
        <v>0</v>
      </c>
      <c r="AG45" s="514">
        <f t="shared" si="4"/>
        <v>39</v>
      </c>
      <c r="AH45" s="1297">
        <f>(N45*AE45)/12*4</f>
        <v>0</v>
      </c>
      <c r="AI45" s="1298">
        <f>(O45*AE45)/12*4</f>
        <v>0</v>
      </c>
      <c r="AJ45" s="1299">
        <f t="shared" ref="AJ45:AJ67" si="36">+AH45+AI45</f>
        <v>0</v>
      </c>
    </row>
    <row r="46" spans="1:36">
      <c r="A46" s="1291">
        <f t="shared" si="5"/>
        <v>37</v>
      </c>
      <c r="B46" s="1291">
        <v>389.02</v>
      </c>
      <c r="C46" s="1295" t="s">
        <v>1192</v>
      </c>
      <c r="E46" s="1303">
        <f t="shared" si="31"/>
        <v>1183494.1200000001</v>
      </c>
      <c r="F46" s="1029"/>
      <c r="G46" s="1303">
        <f t="shared" si="32"/>
        <v>0</v>
      </c>
      <c r="H46" s="1296"/>
      <c r="I46" s="1303">
        <f t="shared" si="33"/>
        <v>0</v>
      </c>
      <c r="J46" s="1296"/>
      <c r="K46" s="1303">
        <f t="shared" si="34"/>
        <v>0</v>
      </c>
      <c r="L46" s="1029"/>
      <c r="M46" s="514">
        <f t="shared" si="0"/>
        <v>40</v>
      </c>
      <c r="N46" s="1299">
        <f>IFERROR(VLOOKUP(B46,'Sched D-1'!B:Y,22,FALSE),0)</f>
        <v>0</v>
      </c>
      <c r="O46" s="1299">
        <f>IFERROR(VLOOKUP(B46,'Sched D-1'!B:Y,23,FALSE),0)</f>
        <v>1183494.1200000001</v>
      </c>
      <c r="P46" s="1299">
        <f t="shared" si="16"/>
        <v>1183494.1200000001</v>
      </c>
      <c r="R46" s="514">
        <f t="shared" si="1"/>
        <v>40</v>
      </c>
      <c r="S46" s="1300">
        <v>0</v>
      </c>
      <c r="T46" s="1300">
        <v>0</v>
      </c>
      <c r="U46" s="1320"/>
      <c r="W46" s="514">
        <f t="shared" si="2"/>
        <v>40</v>
      </c>
      <c r="X46" s="1297">
        <f t="shared" ref="X46:X67" si="37">(N46*S46)/12*8</f>
        <v>0</v>
      </c>
      <c r="Y46" s="1298">
        <f t="shared" ref="Y46:Y67" si="38">(O46*T46)/12*8</f>
        <v>0</v>
      </c>
      <c r="Z46" s="1299">
        <f t="shared" si="35"/>
        <v>0</v>
      </c>
      <c r="AB46" s="514">
        <f t="shared" si="3"/>
        <v>40</v>
      </c>
      <c r="AC46" s="1300"/>
      <c r="AD46" s="1300"/>
      <c r="AE46" s="1301">
        <f>IFERROR(VLOOKUP(B46,'Sched J-1'!B:K,10,FALSE),0)</f>
        <v>0</v>
      </c>
      <c r="AG46" s="514">
        <f t="shared" si="4"/>
        <v>40</v>
      </c>
      <c r="AH46" s="1297">
        <f t="shared" ref="AH46:AH67" si="39">(N46*AE46)/12*4</f>
        <v>0</v>
      </c>
      <c r="AI46" s="1298">
        <f t="shared" ref="AI46:AI67" si="40">(O46*AE46)/12*4</f>
        <v>0</v>
      </c>
      <c r="AJ46" s="1299">
        <f t="shared" si="36"/>
        <v>0</v>
      </c>
    </row>
    <row r="47" spans="1:36">
      <c r="A47" s="1291">
        <f t="shared" si="5"/>
        <v>38</v>
      </c>
      <c r="B47" s="1291">
        <v>390.01</v>
      </c>
      <c r="C47" s="1295" t="s">
        <v>556</v>
      </c>
      <c r="E47" s="1303">
        <f t="shared" si="31"/>
        <v>38224610.969999999</v>
      </c>
      <c r="F47" s="1305"/>
      <c r="G47" s="1303">
        <f t="shared" si="32"/>
        <v>585863.36125333328</v>
      </c>
      <c r="H47" s="1307"/>
      <c r="I47" s="1303">
        <f t="shared" si="33"/>
        <v>379697.802302</v>
      </c>
      <c r="J47" s="1296"/>
      <c r="K47" s="1303">
        <f t="shared" si="34"/>
        <v>965561.16355533327</v>
      </c>
      <c r="L47" s="1305"/>
      <c r="M47" s="514">
        <f t="shared" si="0"/>
        <v>41</v>
      </c>
      <c r="N47" s="1299">
        <f>IFERROR(VLOOKUP(B47,'Sched D-1'!B:Y,22,FALSE),0)</f>
        <v>21948637.82</v>
      </c>
      <c r="O47" s="1299">
        <f>IFERROR(VLOOKUP(B47,'Sched D-1'!B:Y,23,FALSE),0)</f>
        <v>16275973.149999999</v>
      </c>
      <c r="P47" s="1299">
        <f t="shared" si="16"/>
        <v>38224610.969999999</v>
      </c>
      <c r="R47" s="514">
        <f t="shared" si="1"/>
        <v>41</v>
      </c>
      <c r="S47" s="1319">
        <v>2.1499999999999998E-2</v>
      </c>
      <c r="T47" s="1319">
        <v>2.5000000000000001E-2</v>
      </c>
      <c r="U47" s="1320"/>
      <c r="W47" s="514">
        <f t="shared" si="2"/>
        <v>41</v>
      </c>
      <c r="X47" s="1297">
        <f t="shared" si="37"/>
        <v>314597.14208666666</v>
      </c>
      <c r="Y47" s="1298">
        <f t="shared" si="38"/>
        <v>271266.21916666668</v>
      </c>
      <c r="Z47" s="1299">
        <f t="shared" si="35"/>
        <v>585863.36125333328</v>
      </c>
      <c r="AB47" s="514">
        <f t="shared" si="3"/>
        <v>41</v>
      </c>
      <c r="AC47" s="1319"/>
      <c r="AD47" s="1319"/>
      <c r="AE47" s="1301">
        <f>IFERROR(VLOOKUP(B47,'Sched J-1'!B:K,10,FALSE),0)</f>
        <v>2.98E-2</v>
      </c>
      <c r="AG47" s="514">
        <f t="shared" si="4"/>
        <v>41</v>
      </c>
      <c r="AH47" s="1297">
        <f t="shared" si="39"/>
        <v>218023.13567866667</v>
      </c>
      <c r="AI47" s="1298">
        <f t="shared" si="40"/>
        <v>161674.66662333332</v>
      </c>
      <c r="AJ47" s="1299">
        <f t="shared" si="36"/>
        <v>379697.802302</v>
      </c>
    </row>
    <row r="48" spans="1:36">
      <c r="A48" s="1291">
        <f t="shared" si="5"/>
        <v>39</v>
      </c>
      <c r="B48" s="1291">
        <v>390.51</v>
      </c>
      <c r="C48" s="1295" t="s">
        <v>1166</v>
      </c>
      <c r="E48" s="1303">
        <f t="shared" si="31"/>
        <v>93091.32</v>
      </c>
      <c r="F48" s="1305"/>
      <c r="G48" s="1303">
        <f t="shared" si="32"/>
        <v>0</v>
      </c>
      <c r="H48" s="1307"/>
      <c r="I48" s="1303">
        <f t="shared" si="33"/>
        <v>2879.624832</v>
      </c>
      <c r="J48" s="1296"/>
      <c r="K48" s="1303">
        <f t="shared" si="34"/>
        <v>2879.624832</v>
      </c>
      <c r="L48" s="1305"/>
      <c r="M48" s="514">
        <f t="shared" si="0"/>
        <v>42</v>
      </c>
      <c r="N48" s="1299">
        <f>IFERROR(VLOOKUP(B48,'Sched D-1'!B:Y,22,FALSE),0)</f>
        <v>93091.32</v>
      </c>
      <c r="O48" s="1299">
        <f>IFERROR(VLOOKUP(B48,'Sched D-1'!B:Y,23,FALSE),0)</f>
        <v>0</v>
      </c>
      <c r="P48" s="1299">
        <f t="shared" si="16"/>
        <v>93091.32</v>
      </c>
      <c r="R48" s="514">
        <f t="shared" si="1"/>
        <v>42</v>
      </c>
      <c r="S48" s="1319">
        <v>0</v>
      </c>
      <c r="T48" s="1319"/>
      <c r="U48" s="1320"/>
      <c r="W48" s="514">
        <f t="shared" si="2"/>
        <v>42</v>
      </c>
      <c r="X48" s="1297">
        <f t="shared" si="37"/>
        <v>0</v>
      </c>
      <c r="Y48" s="1298">
        <f t="shared" si="38"/>
        <v>0</v>
      </c>
      <c r="Z48" s="1299">
        <f t="shared" si="35"/>
        <v>0</v>
      </c>
      <c r="AB48" s="514">
        <f t="shared" si="3"/>
        <v>42</v>
      </c>
      <c r="AC48" s="1319"/>
      <c r="AD48" s="1319"/>
      <c r="AE48" s="1301">
        <f>IFERROR(VLOOKUP(B48,'Sched J-1'!B:K,10,FALSE),0)</f>
        <v>9.2799999999999994E-2</v>
      </c>
      <c r="AG48" s="514">
        <f t="shared" si="4"/>
        <v>42</v>
      </c>
      <c r="AH48" s="1297">
        <f t="shared" si="39"/>
        <v>2879.624832</v>
      </c>
      <c r="AI48" s="1298">
        <f t="shared" si="40"/>
        <v>0</v>
      </c>
      <c r="AJ48" s="1299">
        <f t="shared" si="36"/>
        <v>2879.624832</v>
      </c>
    </row>
    <row r="49" spans="1:36">
      <c r="A49" s="1291">
        <f t="shared" si="5"/>
        <v>40</v>
      </c>
      <c r="B49" s="1291">
        <v>391.01</v>
      </c>
      <c r="C49" s="1295" t="s">
        <v>787</v>
      </c>
      <c r="E49" s="1303">
        <f t="shared" si="31"/>
        <v>425978.73</v>
      </c>
      <c r="F49" s="1305"/>
      <c r="G49" s="1303">
        <f t="shared" si="32"/>
        <v>20096.243506666666</v>
      </c>
      <c r="H49" s="1307"/>
      <c r="I49" s="1303">
        <f t="shared" si="33"/>
        <v>7071.2469179999989</v>
      </c>
      <c r="J49" s="1296"/>
      <c r="K49" s="1303">
        <f t="shared" si="34"/>
        <v>27167.490424666663</v>
      </c>
      <c r="L49" s="1305"/>
      <c r="M49" s="514">
        <f t="shared" si="0"/>
        <v>43</v>
      </c>
      <c r="N49" s="1299">
        <f>IFERROR(VLOOKUP(B49,'Sched D-1'!B:Y,22,FALSE),0)</f>
        <v>48236.35</v>
      </c>
      <c r="O49" s="1299">
        <f>IFERROR(VLOOKUP(B49,'Sched D-1'!B:Y,23,FALSE),0)</f>
        <v>377742.38</v>
      </c>
      <c r="P49" s="1299">
        <f t="shared" si="16"/>
        <v>425978.73</v>
      </c>
      <c r="R49" s="514">
        <f t="shared" si="1"/>
        <v>43</v>
      </c>
      <c r="S49" s="1319">
        <v>3.7600000000000001E-2</v>
      </c>
      <c r="T49" s="1319">
        <v>7.4999999999999997E-2</v>
      </c>
      <c r="U49" s="1320"/>
      <c r="W49" s="514">
        <f t="shared" si="2"/>
        <v>43</v>
      </c>
      <c r="X49" s="1297">
        <f t="shared" si="37"/>
        <v>1209.1245066666668</v>
      </c>
      <c r="Y49" s="1298">
        <f t="shared" si="38"/>
        <v>18887.118999999999</v>
      </c>
      <c r="Z49" s="1299">
        <f t="shared" si="35"/>
        <v>20096.243506666666</v>
      </c>
      <c r="AB49" s="514">
        <f t="shared" si="3"/>
        <v>43</v>
      </c>
      <c r="AC49" s="1319"/>
      <c r="AD49" s="1319"/>
      <c r="AE49" s="1301">
        <f>IFERROR(VLOOKUP(B49,'Sched J-1'!B:K,10,FALSE),0)</f>
        <v>4.9799999999999997E-2</v>
      </c>
      <c r="AG49" s="514">
        <f t="shared" si="4"/>
        <v>43</v>
      </c>
      <c r="AH49" s="1297">
        <f t="shared" si="39"/>
        <v>800.72340999999994</v>
      </c>
      <c r="AI49" s="1298">
        <f t="shared" si="40"/>
        <v>6270.5235079999993</v>
      </c>
      <c r="AJ49" s="1299">
        <f t="shared" si="36"/>
        <v>7071.2469179999989</v>
      </c>
    </row>
    <row r="50" spans="1:36">
      <c r="A50" s="1291">
        <f t="shared" si="5"/>
        <v>41</v>
      </c>
      <c r="B50" s="1291">
        <v>391.02</v>
      </c>
      <c r="C50" s="1295" t="s">
        <v>788</v>
      </c>
      <c r="E50" s="1303">
        <f t="shared" si="31"/>
        <v>0</v>
      </c>
      <c r="F50" s="1305"/>
      <c r="G50" s="1303">
        <f t="shared" si="32"/>
        <v>0</v>
      </c>
      <c r="H50" s="1307"/>
      <c r="I50" s="1303">
        <f t="shared" si="33"/>
        <v>0</v>
      </c>
      <c r="J50" s="1296"/>
      <c r="K50" s="1303">
        <f t="shared" si="34"/>
        <v>0</v>
      </c>
      <c r="L50" s="1305"/>
      <c r="M50" s="514">
        <f t="shared" si="0"/>
        <v>44</v>
      </c>
      <c r="N50" s="1299">
        <f>IFERROR(VLOOKUP(B50,'Sched D-1'!B:Y,22,FALSE),0)</f>
        <v>0</v>
      </c>
      <c r="O50" s="1299">
        <f>IFERROR(VLOOKUP(B50,'Sched D-1'!B:Y,23,FALSE),0)</f>
        <v>0</v>
      </c>
      <c r="P50" s="1299">
        <f t="shared" si="16"/>
        <v>0</v>
      </c>
      <c r="R50" s="514">
        <f t="shared" si="1"/>
        <v>44</v>
      </c>
      <c r="S50" s="1319">
        <v>6.8099999999999994E-2</v>
      </c>
      <c r="T50" s="1319">
        <v>7.4999999999999997E-2</v>
      </c>
      <c r="U50" s="1320"/>
      <c r="W50" s="514">
        <f t="shared" si="2"/>
        <v>44</v>
      </c>
      <c r="X50" s="1297">
        <f t="shared" si="37"/>
        <v>0</v>
      </c>
      <c r="Y50" s="1298">
        <f t="shared" si="38"/>
        <v>0</v>
      </c>
      <c r="Z50" s="1299">
        <f t="shared" si="35"/>
        <v>0</v>
      </c>
      <c r="AB50" s="514">
        <f t="shared" si="3"/>
        <v>44</v>
      </c>
      <c r="AC50" s="1319"/>
      <c r="AD50" s="1319"/>
      <c r="AE50" s="1301">
        <f>IFERROR(VLOOKUP(B50,'Sched J-1'!B:K,10,FALSE),0)</f>
        <v>0</v>
      </c>
      <c r="AG50" s="514">
        <f t="shared" si="4"/>
        <v>44</v>
      </c>
      <c r="AH50" s="1297">
        <f t="shared" si="39"/>
        <v>0</v>
      </c>
      <c r="AI50" s="1298">
        <f t="shared" si="40"/>
        <v>0</v>
      </c>
      <c r="AJ50" s="1299">
        <f t="shared" si="36"/>
        <v>0</v>
      </c>
    </row>
    <row r="51" spans="1:36">
      <c r="A51" s="1291">
        <f t="shared" si="5"/>
        <v>42</v>
      </c>
      <c r="B51" s="1291">
        <v>391.03</v>
      </c>
      <c r="C51" s="1295" t="s">
        <v>769</v>
      </c>
      <c r="E51" s="1303">
        <f t="shared" si="31"/>
        <v>558110.17999999993</v>
      </c>
      <c r="F51" s="1305"/>
      <c r="G51" s="1303">
        <f t="shared" si="32"/>
        <v>26657.684893999998</v>
      </c>
      <c r="H51" s="1307"/>
      <c r="I51" s="1303">
        <f t="shared" si="33"/>
        <v>36779.460862</v>
      </c>
      <c r="J51" s="1296"/>
      <c r="K51" s="1303">
        <f t="shared" si="34"/>
        <v>63437.145755999998</v>
      </c>
      <c r="L51" s="1305"/>
      <c r="M51" s="514">
        <f t="shared" si="0"/>
        <v>45</v>
      </c>
      <c r="N51" s="1299">
        <f>IFERROR(VLOOKUP(B51,'Sched D-1'!B:Y,22,FALSE),0)</f>
        <v>271266.11</v>
      </c>
      <c r="O51" s="1299">
        <f>IFERROR(VLOOKUP(B51,'Sched D-1'!B:Y,23,FALSE),0)</f>
        <v>286844.07</v>
      </c>
      <c r="P51" s="1299">
        <f t="shared" si="16"/>
        <v>558110.17999999993</v>
      </c>
      <c r="R51" s="514">
        <f t="shared" si="1"/>
        <v>45</v>
      </c>
      <c r="S51" s="1319">
        <v>6.8099999999999994E-2</v>
      </c>
      <c r="T51" s="1319">
        <v>7.4999999999999997E-2</v>
      </c>
      <c r="U51" s="1320"/>
      <c r="W51" s="514">
        <f t="shared" si="2"/>
        <v>45</v>
      </c>
      <c r="X51" s="1297">
        <f t="shared" si="37"/>
        <v>12315.481393999997</v>
      </c>
      <c r="Y51" s="1298">
        <f t="shared" si="38"/>
        <v>14342.203500000001</v>
      </c>
      <c r="Z51" s="1299">
        <f t="shared" si="35"/>
        <v>26657.684893999998</v>
      </c>
      <c r="AB51" s="514">
        <f t="shared" si="3"/>
        <v>45</v>
      </c>
      <c r="AC51" s="1319"/>
      <c r="AD51" s="1319"/>
      <c r="AE51" s="1301">
        <f>IFERROR(VLOOKUP(B51,'Sched J-1'!B:K,10,FALSE),0)</f>
        <v>0.19769999999999999</v>
      </c>
      <c r="AG51" s="514">
        <f t="shared" si="4"/>
        <v>45</v>
      </c>
      <c r="AH51" s="1297">
        <f t="shared" si="39"/>
        <v>17876.436648999999</v>
      </c>
      <c r="AI51" s="1298">
        <f t="shared" si="40"/>
        <v>18903.024213000001</v>
      </c>
      <c r="AJ51" s="1299">
        <f t="shared" si="36"/>
        <v>36779.460862</v>
      </c>
    </row>
    <row r="52" spans="1:36">
      <c r="A52" s="1291">
        <f t="shared" si="5"/>
        <v>43</v>
      </c>
      <c r="B52" s="1291">
        <v>391.04</v>
      </c>
      <c r="C52" s="1295" t="s">
        <v>770</v>
      </c>
      <c r="E52" s="1303">
        <f t="shared" si="31"/>
        <v>170100</v>
      </c>
      <c r="F52" s="1305"/>
      <c r="G52" s="1303">
        <f t="shared" si="32"/>
        <v>55543.32</v>
      </c>
      <c r="H52" s="1307"/>
      <c r="I52" s="1303">
        <f t="shared" si="33"/>
        <v>102.06</v>
      </c>
      <c r="J52" s="1296"/>
      <c r="K52" s="1303">
        <f t="shared" si="34"/>
        <v>55645.38</v>
      </c>
      <c r="L52" s="1305"/>
      <c r="M52" s="514">
        <f t="shared" si="0"/>
        <v>46</v>
      </c>
      <c r="N52" s="1299">
        <f>IFERROR(VLOOKUP(B52,'Sched D-1'!B:Y,22,FALSE),0)</f>
        <v>170100</v>
      </c>
      <c r="O52" s="1299">
        <f>IFERROR(VLOOKUP(B52,'Sched D-1'!B:Y,23,FALSE),0)</f>
        <v>0</v>
      </c>
      <c r="P52" s="1299">
        <f t="shared" si="16"/>
        <v>170100</v>
      </c>
      <c r="R52" s="514">
        <f t="shared" si="1"/>
        <v>46</v>
      </c>
      <c r="S52" s="1319">
        <v>0.48980000000000001</v>
      </c>
      <c r="T52" s="1319">
        <v>7.4999999999999997E-2</v>
      </c>
      <c r="U52" s="1320"/>
      <c r="W52" s="514">
        <f t="shared" si="2"/>
        <v>46</v>
      </c>
      <c r="X52" s="1297">
        <f t="shared" si="37"/>
        <v>55543.32</v>
      </c>
      <c r="Y52" s="1298">
        <f t="shared" si="38"/>
        <v>0</v>
      </c>
      <c r="Z52" s="1299">
        <f t="shared" si="35"/>
        <v>55543.32</v>
      </c>
      <c r="AB52" s="514">
        <f t="shared" si="3"/>
        <v>46</v>
      </c>
      <c r="AC52" s="1319"/>
      <c r="AD52" s="1319"/>
      <c r="AE52" s="1301">
        <f>IFERROR(VLOOKUP(B52,'Sched J-1'!B:K,10,FALSE),0)</f>
        <v>1.8E-3</v>
      </c>
      <c r="AG52" s="514">
        <f t="shared" si="4"/>
        <v>46</v>
      </c>
      <c r="AH52" s="1297">
        <f t="shared" si="39"/>
        <v>102.06</v>
      </c>
      <c r="AI52" s="1298">
        <f t="shared" si="40"/>
        <v>0</v>
      </c>
      <c r="AJ52" s="1299">
        <f t="shared" si="36"/>
        <v>102.06</v>
      </c>
    </row>
    <row r="53" spans="1:36">
      <c r="A53" s="1291">
        <f t="shared" si="5"/>
        <v>44</v>
      </c>
      <c r="B53" s="1291">
        <v>391.05</v>
      </c>
      <c r="C53" s="1295" t="s">
        <v>783</v>
      </c>
      <c r="E53" s="1303">
        <f t="shared" si="31"/>
        <v>0</v>
      </c>
      <c r="F53" s="1305"/>
      <c r="G53" s="1303">
        <f t="shared" si="32"/>
        <v>0</v>
      </c>
      <c r="H53" s="1307"/>
      <c r="I53" s="1303">
        <f t="shared" si="33"/>
        <v>0</v>
      </c>
      <c r="J53" s="1296"/>
      <c r="K53" s="1303">
        <f t="shared" si="34"/>
        <v>0</v>
      </c>
      <c r="L53" s="1305"/>
      <c r="M53" s="514">
        <f t="shared" si="0"/>
        <v>47</v>
      </c>
      <c r="N53" s="1299">
        <f>IFERROR(VLOOKUP(B53,'Sched D-1'!B:Y,22,FALSE),0)</f>
        <v>0</v>
      </c>
      <c r="O53" s="1299">
        <f>IFERROR(VLOOKUP(B53,'Sched D-1'!B:Y,23,FALSE),0)</f>
        <v>0</v>
      </c>
      <c r="P53" s="1299">
        <f t="shared" si="16"/>
        <v>0</v>
      </c>
      <c r="R53" s="514">
        <f t="shared" si="1"/>
        <v>47</v>
      </c>
      <c r="S53" s="1300">
        <v>0</v>
      </c>
      <c r="T53" s="1300">
        <v>0</v>
      </c>
      <c r="U53" s="1320"/>
      <c r="W53" s="514">
        <f t="shared" si="2"/>
        <v>47</v>
      </c>
      <c r="X53" s="1297">
        <f t="shared" si="37"/>
        <v>0</v>
      </c>
      <c r="Y53" s="1298">
        <f t="shared" si="38"/>
        <v>0</v>
      </c>
      <c r="Z53" s="1299">
        <f t="shared" si="35"/>
        <v>0</v>
      </c>
      <c r="AB53" s="514">
        <f t="shared" si="3"/>
        <v>47</v>
      </c>
      <c r="AC53" s="1300"/>
      <c r="AD53" s="1300"/>
      <c r="AE53" s="1301">
        <f>IFERROR(VLOOKUP(B53,'Sched J-1'!B:K,10,FALSE),0)</f>
        <v>0</v>
      </c>
      <c r="AG53" s="514">
        <f t="shared" si="4"/>
        <v>47</v>
      </c>
      <c r="AH53" s="1297">
        <f t="shared" si="39"/>
        <v>0</v>
      </c>
      <c r="AI53" s="1298">
        <f t="shared" si="40"/>
        <v>0</v>
      </c>
      <c r="AJ53" s="1299">
        <f t="shared" si="36"/>
        <v>0</v>
      </c>
    </row>
    <row r="54" spans="1:36">
      <c r="A54" s="1291">
        <f t="shared" si="5"/>
        <v>45</v>
      </c>
      <c r="B54" s="1291">
        <v>391.07</v>
      </c>
      <c r="C54" s="1295" t="s">
        <v>782</v>
      </c>
      <c r="E54" s="1303">
        <f t="shared" si="31"/>
        <v>611478.77</v>
      </c>
      <c r="F54" s="1305"/>
      <c r="G54" s="1303">
        <f t="shared" si="32"/>
        <v>135882.81226939999</v>
      </c>
      <c r="H54" s="1307"/>
      <c r="I54" s="1303">
        <f t="shared" si="33"/>
        <v>40765.251333333334</v>
      </c>
      <c r="J54" s="1296"/>
      <c r="K54" s="1303">
        <f t="shared" si="34"/>
        <v>176648.06360273331</v>
      </c>
      <c r="L54" s="1305"/>
      <c r="M54" s="514">
        <f t="shared" si="0"/>
        <v>48</v>
      </c>
      <c r="N54" s="1299">
        <f>IFERROR(VLOOKUP(B54,'Sched D-1'!B:Y,22,FALSE),0)</f>
        <v>265651.92</v>
      </c>
      <c r="O54" s="1299">
        <f>IFERROR(VLOOKUP(B54,'Sched D-1'!B:Y,23,FALSE),0)</f>
        <v>345826.85</v>
      </c>
      <c r="P54" s="1299">
        <f t="shared" si="16"/>
        <v>611478.77</v>
      </c>
      <c r="R54" s="514">
        <f t="shared" si="1"/>
        <v>48</v>
      </c>
      <c r="S54" s="1319">
        <v>0.33333000000000002</v>
      </c>
      <c r="T54" s="1319">
        <v>0.33333000000000002</v>
      </c>
      <c r="U54" s="1320"/>
      <c r="W54" s="514">
        <f t="shared" si="2"/>
        <v>48</v>
      </c>
      <c r="X54" s="1297">
        <f t="shared" si="37"/>
        <v>59033.169662400003</v>
      </c>
      <c r="Y54" s="1298">
        <f t="shared" si="38"/>
        <v>76849.642607000002</v>
      </c>
      <c r="Z54" s="1299">
        <f t="shared" si="35"/>
        <v>135882.81226939999</v>
      </c>
      <c r="AB54" s="514">
        <f t="shared" si="3"/>
        <v>48</v>
      </c>
      <c r="AC54" s="1319"/>
      <c r="AD54" s="1319"/>
      <c r="AE54" s="1301">
        <f>IFERROR(VLOOKUP(B54,'Sched J-1'!B:K,10,FALSE),0)</f>
        <v>0.2</v>
      </c>
      <c r="AG54" s="514">
        <f t="shared" si="4"/>
        <v>48</v>
      </c>
      <c r="AH54" s="1297">
        <f t="shared" si="39"/>
        <v>17710.128000000001</v>
      </c>
      <c r="AI54" s="1298">
        <f t="shared" si="40"/>
        <v>23055.123333333333</v>
      </c>
      <c r="AJ54" s="1299">
        <f t="shared" si="36"/>
        <v>40765.251333333334</v>
      </c>
    </row>
    <row r="55" spans="1:36">
      <c r="A55" s="1291">
        <f t="shared" si="5"/>
        <v>46</v>
      </c>
      <c r="B55" s="1291">
        <v>392.01</v>
      </c>
      <c r="C55" s="1295" t="s">
        <v>111</v>
      </c>
      <c r="E55" s="1303">
        <f t="shared" si="31"/>
        <v>0</v>
      </c>
      <c r="F55" s="1305"/>
      <c r="G55" s="1303">
        <f t="shared" si="32"/>
        <v>0</v>
      </c>
      <c r="H55" s="1307"/>
      <c r="I55" s="1303">
        <f t="shared" si="33"/>
        <v>0</v>
      </c>
      <c r="J55" s="1296"/>
      <c r="K55" s="1303">
        <f t="shared" si="34"/>
        <v>0</v>
      </c>
      <c r="L55" s="1305"/>
      <c r="M55" s="514">
        <f t="shared" si="0"/>
        <v>49</v>
      </c>
      <c r="N55" s="1299">
        <f>IFERROR(VLOOKUP(B55,'Sched D-1'!B:Y,22,FALSE),0)</f>
        <v>0</v>
      </c>
      <c r="O55" s="1299">
        <f>IFERROR(VLOOKUP(B55,'Sched D-1'!B:Y,23,FALSE),0)</f>
        <v>0</v>
      </c>
      <c r="P55" s="1299">
        <f t="shared" si="16"/>
        <v>0</v>
      </c>
      <c r="R55" s="514">
        <f t="shared" si="1"/>
        <v>49</v>
      </c>
      <c r="S55" s="1319"/>
      <c r="T55" s="1319">
        <v>9.8799999999999999E-2</v>
      </c>
      <c r="U55" s="1320"/>
      <c r="W55" s="514">
        <f t="shared" si="2"/>
        <v>49</v>
      </c>
      <c r="X55" s="1297">
        <f t="shared" si="37"/>
        <v>0</v>
      </c>
      <c r="Y55" s="1298">
        <f t="shared" si="38"/>
        <v>0</v>
      </c>
      <c r="Z55" s="1299">
        <f t="shared" si="35"/>
        <v>0</v>
      </c>
      <c r="AB55" s="514">
        <f t="shared" si="3"/>
        <v>49</v>
      </c>
      <c r="AC55" s="1319"/>
      <c r="AD55" s="1319"/>
      <c r="AE55" s="1301">
        <f>IFERROR(VLOOKUP(B55,'Sched J-1'!B:K,10,FALSE),0)</f>
        <v>0</v>
      </c>
      <c r="AG55" s="514">
        <f t="shared" si="4"/>
        <v>49</v>
      </c>
      <c r="AH55" s="1297">
        <f t="shared" si="39"/>
        <v>0</v>
      </c>
      <c r="AI55" s="1298">
        <f t="shared" si="40"/>
        <v>0</v>
      </c>
      <c r="AJ55" s="1299">
        <f t="shared" si="36"/>
        <v>0</v>
      </c>
    </row>
    <row r="56" spans="1:36">
      <c r="A56" s="1291">
        <f t="shared" si="5"/>
        <v>47</v>
      </c>
      <c r="B56" s="1291">
        <v>392.02</v>
      </c>
      <c r="C56" s="1295" t="s">
        <v>847</v>
      </c>
      <c r="E56" s="1303">
        <f t="shared" si="31"/>
        <v>3878361.2199999997</v>
      </c>
      <c r="F56" s="1305"/>
      <c r="G56" s="1303">
        <f t="shared" si="32"/>
        <v>255328.87712533333</v>
      </c>
      <c r="H56" s="1307"/>
      <c r="I56" s="1303">
        <f t="shared" si="33"/>
        <v>127598.08413799998</v>
      </c>
      <c r="J56" s="1296"/>
      <c r="K56" s="1303">
        <f t="shared" si="34"/>
        <v>382926.96126333333</v>
      </c>
      <c r="L56" s="1305"/>
      <c r="M56" s="514">
        <f t="shared" si="0"/>
        <v>50</v>
      </c>
      <c r="N56" s="1299">
        <f>IFERROR(VLOOKUP(B56,'Sched D-1'!B:Y,22,FALSE),0)</f>
        <v>21451.46</v>
      </c>
      <c r="O56" s="1299">
        <f>IFERROR(VLOOKUP(B56,'Sched D-1'!B:Y,23,FALSE),0)</f>
        <v>3856909.76</v>
      </c>
      <c r="P56" s="1299">
        <f t="shared" si="16"/>
        <v>3878361.2199999997</v>
      </c>
      <c r="R56" s="514">
        <f t="shared" si="1"/>
        <v>50</v>
      </c>
      <c r="S56" s="1319">
        <v>0.09</v>
      </c>
      <c r="T56" s="1319">
        <v>9.8799999999999999E-2</v>
      </c>
      <c r="U56" s="1320"/>
      <c r="W56" s="514">
        <f t="shared" si="2"/>
        <v>50</v>
      </c>
      <c r="X56" s="1297">
        <f t="shared" si="37"/>
        <v>1287.0875999999998</v>
      </c>
      <c r="Y56" s="1298">
        <f t="shared" si="38"/>
        <v>254041.78952533333</v>
      </c>
      <c r="Z56" s="1299">
        <f t="shared" si="35"/>
        <v>255328.87712533333</v>
      </c>
      <c r="AB56" s="514">
        <f t="shared" si="3"/>
        <v>50</v>
      </c>
      <c r="AC56" s="1319"/>
      <c r="AD56" s="1319"/>
      <c r="AE56" s="1301">
        <f>IFERROR(VLOOKUP(B56,'Sched J-1'!B:K,10,FALSE),0)</f>
        <v>9.8699999999999996E-2</v>
      </c>
      <c r="AG56" s="514">
        <f t="shared" si="4"/>
        <v>50</v>
      </c>
      <c r="AH56" s="1297">
        <f t="shared" si="39"/>
        <v>705.75303399999996</v>
      </c>
      <c r="AI56" s="1298">
        <f t="shared" si="40"/>
        <v>126892.33110399998</v>
      </c>
      <c r="AJ56" s="1299">
        <f t="shared" si="36"/>
        <v>127598.08413799998</v>
      </c>
    </row>
    <row r="57" spans="1:36">
      <c r="A57" s="1291">
        <f t="shared" si="5"/>
        <v>48</v>
      </c>
      <c r="B57" s="1291">
        <v>392.03</v>
      </c>
      <c r="C57" s="1295" t="s">
        <v>781</v>
      </c>
      <c r="E57" s="1303">
        <f t="shared" si="31"/>
        <v>17570348.27</v>
      </c>
      <c r="F57" s="1305"/>
      <c r="G57" s="1303">
        <f t="shared" si="32"/>
        <v>1106447.6781626665</v>
      </c>
      <c r="H57" s="1307"/>
      <c r="I57" s="1303">
        <f t="shared" si="33"/>
        <v>409974.79296666669</v>
      </c>
      <c r="J57" s="1296"/>
      <c r="K57" s="1303">
        <f t="shared" si="34"/>
        <v>1516422.4711293331</v>
      </c>
      <c r="L57" s="1305"/>
      <c r="M57" s="514">
        <f t="shared" si="0"/>
        <v>51</v>
      </c>
      <c r="N57" s="1299">
        <f>IFERROR(VLOOKUP(B57,'Sched D-1'!B:Y,22,FALSE),0)</f>
        <v>8668055.8900000006</v>
      </c>
      <c r="O57" s="1299">
        <f>IFERROR(VLOOKUP(B57,'Sched D-1'!B:Y,23,FALSE),0)</f>
        <v>8902292.379999999</v>
      </c>
      <c r="P57" s="1299">
        <f t="shared" si="16"/>
        <v>17570348.27</v>
      </c>
      <c r="R57" s="514">
        <f t="shared" si="1"/>
        <v>51</v>
      </c>
      <c r="S57" s="1319">
        <v>0.09</v>
      </c>
      <c r="T57" s="1319">
        <v>9.8799999999999999E-2</v>
      </c>
      <c r="U57" s="1320"/>
      <c r="W57" s="514">
        <f t="shared" si="2"/>
        <v>51</v>
      </c>
      <c r="X57" s="1297">
        <f t="shared" si="37"/>
        <v>520083.35339999996</v>
      </c>
      <c r="Y57" s="1298">
        <f t="shared" si="38"/>
        <v>586364.3247626666</v>
      </c>
      <c r="Z57" s="1299">
        <f t="shared" si="35"/>
        <v>1106447.6781626665</v>
      </c>
      <c r="AB57" s="514">
        <f t="shared" si="3"/>
        <v>51</v>
      </c>
      <c r="AC57" s="1319"/>
      <c r="AD57" s="1319"/>
      <c r="AE57" s="1301">
        <f>IFERROR(VLOOKUP(B57,'Sched J-1'!B:K,10,FALSE),0)</f>
        <v>7.0000000000000007E-2</v>
      </c>
      <c r="AG57" s="514">
        <f t="shared" si="4"/>
        <v>51</v>
      </c>
      <c r="AH57" s="1297">
        <f t="shared" si="39"/>
        <v>202254.63743333335</v>
      </c>
      <c r="AI57" s="1298">
        <f t="shared" si="40"/>
        <v>207720.15553333334</v>
      </c>
      <c r="AJ57" s="1299">
        <f t="shared" si="36"/>
        <v>409974.79296666669</v>
      </c>
    </row>
    <row r="58" spans="1:36">
      <c r="A58" s="1291">
        <f t="shared" si="5"/>
        <v>49</v>
      </c>
      <c r="B58" s="1291">
        <v>392.04</v>
      </c>
      <c r="C58" s="1295" t="s">
        <v>780</v>
      </c>
      <c r="E58" s="1303">
        <f t="shared" si="31"/>
        <v>199121.37</v>
      </c>
      <c r="F58" s="1305"/>
      <c r="G58" s="1303">
        <f t="shared" si="32"/>
        <v>11947.2822</v>
      </c>
      <c r="H58" s="1307"/>
      <c r="I58" s="1303">
        <f t="shared" si="33"/>
        <v>8336.5480239999979</v>
      </c>
      <c r="J58" s="1296"/>
      <c r="K58" s="1303">
        <f t="shared" si="34"/>
        <v>20283.830223999998</v>
      </c>
      <c r="L58" s="1305"/>
      <c r="M58" s="514">
        <f t="shared" si="0"/>
        <v>52</v>
      </c>
      <c r="N58" s="1299">
        <f>IFERROR(VLOOKUP(B58,'Sched D-1'!B:Y,22,FALSE),0)</f>
        <v>199121.37</v>
      </c>
      <c r="O58" s="1299">
        <f>IFERROR(VLOOKUP(B58,'Sched D-1'!B:Y,23,FALSE),0)</f>
        <v>0</v>
      </c>
      <c r="P58" s="1299">
        <f t="shared" si="16"/>
        <v>199121.37</v>
      </c>
      <c r="R58" s="514">
        <f t="shared" si="1"/>
        <v>52</v>
      </c>
      <c r="S58" s="1319">
        <v>0.09</v>
      </c>
      <c r="T58" s="1319">
        <v>9.8799999999999999E-2</v>
      </c>
      <c r="U58" s="1320"/>
      <c r="W58" s="514">
        <f t="shared" si="2"/>
        <v>52</v>
      </c>
      <c r="X58" s="1297">
        <f t="shared" si="37"/>
        <v>11947.2822</v>
      </c>
      <c r="Y58" s="1298">
        <f t="shared" si="38"/>
        <v>0</v>
      </c>
      <c r="Z58" s="1299">
        <f t="shared" si="35"/>
        <v>11947.2822</v>
      </c>
      <c r="AB58" s="514">
        <f t="shared" si="3"/>
        <v>52</v>
      </c>
      <c r="AC58" s="1319"/>
      <c r="AD58" s="1319"/>
      <c r="AE58" s="1301">
        <f>IFERROR(VLOOKUP(B58,'Sched J-1'!B:K,10,FALSE),0)</f>
        <v>0.12559999999999999</v>
      </c>
      <c r="AG58" s="514">
        <f t="shared" si="4"/>
        <v>52</v>
      </c>
      <c r="AH58" s="1297">
        <f t="shared" si="39"/>
        <v>8336.5480239999979</v>
      </c>
      <c r="AI58" s="1298">
        <f t="shared" si="40"/>
        <v>0</v>
      </c>
      <c r="AJ58" s="1299">
        <f t="shared" si="36"/>
        <v>8336.5480239999979</v>
      </c>
    </row>
    <row r="59" spans="1:36">
      <c r="A59" s="1291">
        <f t="shared" si="5"/>
        <v>50</v>
      </c>
      <c r="B59" s="1291">
        <v>392.05</v>
      </c>
      <c r="C59" s="1295" t="s">
        <v>779</v>
      </c>
      <c r="E59" s="1303">
        <f t="shared" si="31"/>
        <v>3072012.1100000003</v>
      </c>
      <c r="F59" s="1305"/>
      <c r="G59" s="1303">
        <f t="shared" si="32"/>
        <v>193374.61586933333</v>
      </c>
      <c r="H59" s="1307"/>
      <c r="I59" s="1303">
        <f t="shared" si="33"/>
        <v>48742.592145333343</v>
      </c>
      <c r="J59" s="1296"/>
      <c r="K59" s="1303">
        <f t="shared" si="34"/>
        <v>242117.20801466668</v>
      </c>
      <c r="L59" s="1305"/>
      <c r="M59" s="514">
        <f t="shared" si="0"/>
        <v>53</v>
      </c>
      <c r="N59" s="1299">
        <f>IFERROR(VLOOKUP(B59,'Sched D-1'!B:Y,22,FALSE),0)</f>
        <v>1528735.53</v>
      </c>
      <c r="O59" s="1299">
        <f>IFERROR(VLOOKUP(B59,'Sched D-1'!B:Y,23,FALSE),0)</f>
        <v>1543276.58</v>
      </c>
      <c r="P59" s="1299">
        <f t="shared" si="16"/>
        <v>3072012.1100000003</v>
      </c>
      <c r="R59" s="514">
        <f t="shared" si="1"/>
        <v>53</v>
      </c>
      <c r="S59" s="1319">
        <v>0.09</v>
      </c>
      <c r="T59" s="1319">
        <v>9.8799999999999999E-2</v>
      </c>
      <c r="U59" s="1320"/>
      <c r="W59" s="514">
        <f t="shared" si="2"/>
        <v>53</v>
      </c>
      <c r="X59" s="1297">
        <f t="shared" si="37"/>
        <v>91724.131799999988</v>
      </c>
      <c r="Y59" s="1298">
        <f t="shared" si="38"/>
        <v>101650.48406933334</v>
      </c>
      <c r="Z59" s="1299">
        <f t="shared" si="35"/>
        <v>193374.61586933333</v>
      </c>
      <c r="AB59" s="514">
        <f t="shared" si="3"/>
        <v>53</v>
      </c>
      <c r="AC59" s="1319"/>
      <c r="AD59" s="1319"/>
      <c r="AE59" s="1301">
        <f>IFERROR(VLOOKUP(B59,'Sched J-1'!B:K,10,FALSE),0)</f>
        <v>4.7600000000000003E-2</v>
      </c>
      <c r="AG59" s="514">
        <f t="shared" si="4"/>
        <v>53</v>
      </c>
      <c r="AH59" s="1297">
        <f t="shared" si="39"/>
        <v>24255.937076000002</v>
      </c>
      <c r="AI59" s="1298">
        <f t="shared" si="40"/>
        <v>24486.655069333337</v>
      </c>
      <c r="AJ59" s="1299">
        <f t="shared" si="36"/>
        <v>48742.592145333343</v>
      </c>
    </row>
    <row r="60" spans="1:36">
      <c r="A60" s="1291">
        <f t="shared" si="5"/>
        <v>51</v>
      </c>
      <c r="B60" s="1291">
        <v>392.06</v>
      </c>
      <c r="C60" s="1295" t="s">
        <v>778</v>
      </c>
      <c r="E60" s="1303">
        <f t="shared" si="31"/>
        <v>818273.64</v>
      </c>
      <c r="F60" s="1305"/>
      <c r="G60" s="1303">
        <f t="shared" si="32"/>
        <v>52598.645978666667</v>
      </c>
      <c r="H60" s="1307"/>
      <c r="I60" s="1303">
        <f t="shared" si="33"/>
        <v>17974.744291999999</v>
      </c>
      <c r="J60" s="1296"/>
      <c r="K60" s="1303">
        <f t="shared" si="34"/>
        <v>70573.39027066667</v>
      </c>
      <c r="L60" s="1305"/>
      <c r="M60" s="514">
        <f t="shared" si="0"/>
        <v>54</v>
      </c>
      <c r="N60" s="1299">
        <f>IFERROR(VLOOKUP(B60,'Sched D-1'!B:Y,22,FALSE),0)</f>
        <v>221303.03</v>
      </c>
      <c r="O60" s="1299">
        <f>IFERROR(VLOOKUP(B60,'Sched D-1'!B:Y,23,FALSE),0)</f>
        <v>596970.61</v>
      </c>
      <c r="P60" s="1299">
        <f t="shared" si="16"/>
        <v>818273.64</v>
      </c>
      <c r="R60" s="514">
        <f t="shared" si="1"/>
        <v>54</v>
      </c>
      <c r="S60" s="1319">
        <v>0.09</v>
      </c>
      <c r="T60" s="1319">
        <v>9.8799999999999999E-2</v>
      </c>
      <c r="U60" s="1320"/>
      <c r="W60" s="514">
        <f t="shared" si="2"/>
        <v>54</v>
      </c>
      <c r="X60" s="1297">
        <f t="shared" si="37"/>
        <v>13278.181799999998</v>
      </c>
      <c r="Y60" s="1298">
        <f t="shared" si="38"/>
        <v>39320.464178666669</v>
      </c>
      <c r="Z60" s="1299">
        <f t="shared" si="35"/>
        <v>52598.645978666667</v>
      </c>
      <c r="AB60" s="514">
        <f t="shared" si="3"/>
        <v>54</v>
      </c>
      <c r="AC60" s="1319"/>
      <c r="AD60" s="1319"/>
      <c r="AE60" s="1301">
        <f>IFERROR(VLOOKUP(B60,'Sched J-1'!B:K,10,FALSE),0)</f>
        <v>6.59E-2</v>
      </c>
      <c r="AG60" s="514">
        <f t="shared" si="4"/>
        <v>54</v>
      </c>
      <c r="AH60" s="1297">
        <f t="shared" si="39"/>
        <v>4861.2898923333332</v>
      </c>
      <c r="AI60" s="1298">
        <f t="shared" si="40"/>
        <v>13113.454399666667</v>
      </c>
      <c r="AJ60" s="1299">
        <f t="shared" si="36"/>
        <v>17974.744291999999</v>
      </c>
    </row>
    <row r="61" spans="1:36">
      <c r="A61" s="1291">
        <f t="shared" si="5"/>
        <v>52</v>
      </c>
      <c r="B61" s="1291">
        <v>393</v>
      </c>
      <c r="C61" s="1295" t="s">
        <v>553</v>
      </c>
      <c r="E61" s="1303">
        <f t="shared" si="31"/>
        <v>28177.52</v>
      </c>
      <c r="F61" s="1305"/>
      <c r="G61" s="1303">
        <f t="shared" si="32"/>
        <v>1408.876</v>
      </c>
      <c r="H61" s="1307"/>
      <c r="I61" s="1303">
        <f t="shared" si="33"/>
        <v>375.70026666666666</v>
      </c>
      <c r="J61" s="1296"/>
      <c r="K61" s="1303">
        <f t="shared" si="34"/>
        <v>1784.5762666666667</v>
      </c>
      <c r="L61" s="1305"/>
      <c r="M61" s="514">
        <f t="shared" si="0"/>
        <v>55</v>
      </c>
      <c r="N61" s="1299">
        <f>IFERROR(VLOOKUP(B61,'Sched D-1'!B:Y,22,FALSE),0)</f>
        <v>0</v>
      </c>
      <c r="O61" s="1299">
        <f>IFERROR(VLOOKUP(B61,'Sched D-1'!B:Y,23,FALSE),0)</f>
        <v>28177.52</v>
      </c>
      <c r="P61" s="1299">
        <f t="shared" si="16"/>
        <v>28177.52</v>
      </c>
      <c r="R61" s="514">
        <f t="shared" si="1"/>
        <v>55</v>
      </c>
      <c r="S61" s="1319">
        <v>6.0000000000000001E-3</v>
      </c>
      <c r="T61" s="1319">
        <v>7.4999999999999997E-2</v>
      </c>
      <c r="U61" s="1320"/>
      <c r="W61" s="514">
        <f t="shared" si="2"/>
        <v>55</v>
      </c>
      <c r="X61" s="1297">
        <f t="shared" si="37"/>
        <v>0</v>
      </c>
      <c r="Y61" s="1298">
        <f t="shared" si="38"/>
        <v>1408.876</v>
      </c>
      <c r="Z61" s="1299">
        <f t="shared" si="35"/>
        <v>1408.876</v>
      </c>
      <c r="AB61" s="514">
        <f t="shared" si="3"/>
        <v>55</v>
      </c>
      <c r="AC61" s="1319"/>
      <c r="AD61" s="1319"/>
      <c r="AE61" s="1301">
        <f>IFERROR(VLOOKUP(B61,'Sched J-1'!B:K,10,FALSE),0)</f>
        <v>0.04</v>
      </c>
      <c r="AG61" s="514">
        <f t="shared" si="4"/>
        <v>55</v>
      </c>
      <c r="AH61" s="1297">
        <f t="shared" si="39"/>
        <v>0</v>
      </c>
      <c r="AI61" s="1298">
        <f t="shared" si="40"/>
        <v>375.70026666666666</v>
      </c>
      <c r="AJ61" s="1299">
        <f t="shared" si="36"/>
        <v>375.70026666666666</v>
      </c>
    </row>
    <row r="62" spans="1:36">
      <c r="A62" s="1291">
        <f t="shared" si="5"/>
        <v>53</v>
      </c>
      <c r="B62" s="1291">
        <v>394</v>
      </c>
      <c r="C62" s="1295" t="s">
        <v>557</v>
      </c>
      <c r="E62" s="1303">
        <f t="shared" si="31"/>
        <v>8876091.9399999995</v>
      </c>
      <c r="F62" s="1305"/>
      <c r="G62" s="1303">
        <f t="shared" si="32"/>
        <v>280518.19610933337</v>
      </c>
      <c r="H62" s="1307"/>
      <c r="I62" s="1303">
        <f t="shared" si="33"/>
        <v>116868.54387666668</v>
      </c>
      <c r="J62" s="1296"/>
      <c r="K62" s="1303">
        <f t="shared" si="34"/>
        <v>397386.73998600006</v>
      </c>
      <c r="L62" s="1305"/>
      <c r="M62" s="514">
        <f t="shared" si="0"/>
        <v>56</v>
      </c>
      <c r="N62" s="1299">
        <f>IFERROR(VLOOKUP(B62,'Sched D-1'!B:Y,22,FALSE),0)</f>
        <v>3468859.4499999997</v>
      </c>
      <c r="O62" s="1299">
        <f>IFERROR(VLOOKUP(B62,'Sched D-1'!B:Y,23,FALSE),0)</f>
        <v>5407232.4900000002</v>
      </c>
      <c r="P62" s="1299">
        <f t="shared" si="16"/>
        <v>8876091.9399999995</v>
      </c>
      <c r="R62" s="514">
        <f t="shared" si="1"/>
        <v>56</v>
      </c>
      <c r="S62" s="1319">
        <v>6.5742020478806087E-3</v>
      </c>
      <c r="T62" s="1319">
        <v>7.3599999999999999E-2</v>
      </c>
      <c r="U62" s="1320"/>
      <c r="W62" s="514">
        <f t="shared" si="2"/>
        <v>56</v>
      </c>
      <c r="X62" s="1297">
        <f t="shared" si="37"/>
        <v>15203.321933333333</v>
      </c>
      <c r="Y62" s="1298">
        <f t="shared" si="38"/>
        <v>265314.87417600001</v>
      </c>
      <c r="Z62" s="1299">
        <f t="shared" si="35"/>
        <v>280518.19610933337</v>
      </c>
      <c r="AB62" s="514">
        <f t="shared" si="3"/>
        <v>56</v>
      </c>
      <c r="AC62" s="1319"/>
      <c r="AD62" s="1319"/>
      <c r="AE62" s="1301">
        <f>IFERROR(VLOOKUP(B62,'Sched J-1'!B:K,10,FALSE),0)</f>
        <v>3.95E-2</v>
      </c>
      <c r="AG62" s="514">
        <f t="shared" si="4"/>
        <v>56</v>
      </c>
      <c r="AH62" s="1297">
        <f t="shared" si="39"/>
        <v>45673.316091666667</v>
      </c>
      <c r="AI62" s="1298">
        <f t="shared" si="40"/>
        <v>71195.22778500001</v>
      </c>
      <c r="AJ62" s="1299">
        <f t="shared" si="36"/>
        <v>116868.54387666668</v>
      </c>
    </row>
    <row r="63" spans="1:36">
      <c r="A63" s="1291">
        <f t="shared" si="5"/>
        <v>54</v>
      </c>
      <c r="B63" s="1291">
        <v>395</v>
      </c>
      <c r="C63" s="1295" t="s">
        <v>554</v>
      </c>
      <c r="E63" s="1303">
        <f t="shared" si="31"/>
        <v>88802.52</v>
      </c>
      <c r="F63" s="1305"/>
      <c r="G63" s="1303">
        <f t="shared" si="32"/>
        <v>1760.4059000000002</v>
      </c>
      <c r="H63" s="1307"/>
      <c r="I63" s="1303">
        <f t="shared" si="33"/>
        <v>1364.5987240000002</v>
      </c>
      <c r="J63" s="1296"/>
      <c r="K63" s="1303">
        <f t="shared" si="34"/>
        <v>3125.0046240000001</v>
      </c>
      <c r="L63" s="1305"/>
      <c r="M63" s="514">
        <f t="shared" si="0"/>
        <v>57</v>
      </c>
      <c r="N63" s="1299">
        <f>IFERROR(VLOOKUP(B63,'Sched D-1'!B:Y,22,FALSE),0)</f>
        <v>84622.74</v>
      </c>
      <c r="O63" s="1299">
        <f>IFERROR(VLOOKUP(B63,'Sched D-1'!B:Y,23,FALSE),0)</f>
        <v>4179.78</v>
      </c>
      <c r="P63" s="1299">
        <f t="shared" si="16"/>
        <v>88802.52</v>
      </c>
      <c r="R63" s="514">
        <f t="shared" si="1"/>
        <v>57</v>
      </c>
      <c r="S63" s="1319">
        <v>2.75E-2</v>
      </c>
      <c r="T63" s="1319">
        <v>7.4999999999999997E-2</v>
      </c>
      <c r="U63" s="1320"/>
      <c r="W63" s="514">
        <f t="shared" si="2"/>
        <v>57</v>
      </c>
      <c r="X63" s="1297">
        <f t="shared" si="37"/>
        <v>1551.4169000000002</v>
      </c>
      <c r="Y63" s="1298">
        <f t="shared" si="38"/>
        <v>208.989</v>
      </c>
      <c r="Z63" s="1299">
        <f t="shared" si="35"/>
        <v>1760.4059000000002</v>
      </c>
      <c r="AB63" s="514">
        <f t="shared" si="3"/>
        <v>57</v>
      </c>
      <c r="AC63" s="1319"/>
      <c r="AD63" s="1319"/>
      <c r="AE63" s="1301">
        <f>IFERROR(VLOOKUP(B63,'Sched J-1'!B:K,10,FALSE),0)</f>
        <v>4.6100000000000002E-2</v>
      </c>
      <c r="AG63" s="514">
        <f t="shared" si="4"/>
        <v>57</v>
      </c>
      <c r="AH63" s="1297">
        <f t="shared" si="39"/>
        <v>1300.3694380000002</v>
      </c>
      <c r="AI63" s="1298">
        <f t="shared" si="40"/>
        <v>64.229286000000002</v>
      </c>
      <c r="AJ63" s="1299">
        <f t="shared" si="36"/>
        <v>1364.5987240000002</v>
      </c>
    </row>
    <row r="64" spans="1:36">
      <c r="A64" s="1291">
        <f t="shared" si="5"/>
        <v>55</v>
      </c>
      <c r="B64" s="1291">
        <v>396</v>
      </c>
      <c r="C64" s="1295" t="s">
        <v>1167</v>
      </c>
      <c r="E64" s="1303">
        <f t="shared" si="31"/>
        <v>5766088.7799999993</v>
      </c>
      <c r="F64" s="1305"/>
      <c r="G64" s="1303">
        <f t="shared" si="32"/>
        <v>373017.77059999999</v>
      </c>
      <c r="H64" s="1307"/>
      <c r="I64" s="1303">
        <f t="shared" si="33"/>
        <v>73613.733424666658</v>
      </c>
      <c r="J64" s="1296"/>
      <c r="K64" s="1303">
        <f t="shared" si="34"/>
        <v>446631.50402466662</v>
      </c>
      <c r="L64" s="1305"/>
      <c r="M64" s="514">
        <f t="shared" si="0"/>
        <v>58</v>
      </c>
      <c r="N64" s="1299">
        <f>IFERROR(VLOOKUP(B64,'Sched D-1'!B:Y,22,FALSE),0)</f>
        <v>1708222.21</v>
      </c>
      <c r="O64" s="1299">
        <f>IFERROR(VLOOKUP(B64,'Sched D-1'!B:Y,23,FALSE),0)</f>
        <v>4057866.57</v>
      </c>
      <c r="P64" s="1299">
        <f t="shared" si="16"/>
        <v>5766088.7799999993</v>
      </c>
      <c r="R64" s="514">
        <f t="shared" si="1"/>
        <v>58</v>
      </c>
      <c r="S64" s="1319">
        <v>0.09</v>
      </c>
      <c r="T64" s="1319">
        <v>0.1</v>
      </c>
      <c r="U64" s="1320"/>
      <c r="W64" s="514">
        <f t="shared" si="2"/>
        <v>58</v>
      </c>
      <c r="X64" s="1297">
        <f t="shared" si="37"/>
        <v>102493.33259999998</v>
      </c>
      <c r="Y64" s="1298">
        <f t="shared" si="38"/>
        <v>270524.43800000002</v>
      </c>
      <c r="Z64" s="1299">
        <f t="shared" si="35"/>
        <v>373017.77059999999</v>
      </c>
      <c r="AB64" s="514">
        <f t="shared" si="3"/>
        <v>58</v>
      </c>
      <c r="AC64" s="1319"/>
      <c r="AD64" s="1319"/>
      <c r="AE64" s="1301">
        <f>IFERROR(VLOOKUP(B64,'Sched J-1'!B:K,10,FALSE),0)</f>
        <v>3.8300000000000001E-2</v>
      </c>
      <c r="AG64" s="514">
        <f t="shared" si="4"/>
        <v>58</v>
      </c>
      <c r="AH64" s="1297">
        <f t="shared" si="39"/>
        <v>21808.303547666666</v>
      </c>
      <c r="AI64" s="1298">
        <f t="shared" si="40"/>
        <v>51805.429876999995</v>
      </c>
      <c r="AJ64" s="1299">
        <f t="shared" si="36"/>
        <v>73613.733424666658</v>
      </c>
    </row>
    <row r="65" spans="1:37">
      <c r="A65" s="1291">
        <f t="shared" si="5"/>
        <v>56</v>
      </c>
      <c r="B65" s="1291">
        <v>397</v>
      </c>
      <c r="C65" s="1295" t="s">
        <v>558</v>
      </c>
      <c r="E65" s="1303">
        <f t="shared" si="31"/>
        <v>846080.4</v>
      </c>
      <c r="F65" s="1305"/>
      <c r="G65" s="1303">
        <f t="shared" si="32"/>
        <v>82104.523763999998</v>
      </c>
      <c r="H65" s="1307"/>
      <c r="I65" s="1303">
        <f t="shared" si="33"/>
        <v>18782.98488</v>
      </c>
      <c r="J65" s="1296"/>
      <c r="K65" s="1303">
        <f t="shared" si="34"/>
        <v>100887.508644</v>
      </c>
      <c r="L65" s="1305"/>
      <c r="M65" s="514">
        <f t="shared" si="0"/>
        <v>59</v>
      </c>
      <c r="N65" s="1299">
        <f>IFERROR(VLOOKUP(B65,'Sched D-1'!B:Y,22,FALSE),0)</f>
        <v>750923.51</v>
      </c>
      <c r="O65" s="1299">
        <f>IFERROR(VLOOKUP(B65,'Sched D-1'!B:Y,23,FALSE),0)</f>
        <v>95156.89</v>
      </c>
      <c r="P65" s="1299">
        <f t="shared" si="16"/>
        <v>846080.4</v>
      </c>
      <c r="R65" s="514">
        <f t="shared" si="1"/>
        <v>59</v>
      </c>
      <c r="S65" s="1319">
        <v>0.1598</v>
      </c>
      <c r="T65" s="1319">
        <v>3.32E-2</v>
      </c>
      <c r="U65" s="1320"/>
      <c r="W65" s="514">
        <f t="shared" si="2"/>
        <v>59</v>
      </c>
      <c r="X65" s="1297">
        <f t="shared" si="37"/>
        <v>79998.384598666671</v>
      </c>
      <c r="Y65" s="1298">
        <f t="shared" si="38"/>
        <v>2106.1391653333335</v>
      </c>
      <c r="Z65" s="1299">
        <f t="shared" si="35"/>
        <v>82104.523763999998</v>
      </c>
      <c r="AB65" s="514">
        <f t="shared" si="3"/>
        <v>59</v>
      </c>
      <c r="AC65" s="1319"/>
      <c r="AD65" s="1319"/>
      <c r="AE65" s="1301">
        <f>IFERROR(VLOOKUP(B65,'Sched J-1'!B:K,10,FALSE),0)</f>
        <v>6.6600000000000006E-2</v>
      </c>
      <c r="AG65" s="514">
        <f t="shared" si="4"/>
        <v>59</v>
      </c>
      <c r="AH65" s="1297">
        <f t="shared" si="39"/>
        <v>16670.501921999999</v>
      </c>
      <c r="AI65" s="1298">
        <f t="shared" si="40"/>
        <v>2112.4829580000001</v>
      </c>
      <c r="AJ65" s="1299">
        <f t="shared" si="36"/>
        <v>18782.98488</v>
      </c>
    </row>
    <row r="66" spans="1:37">
      <c r="A66" s="1291">
        <f t="shared" si="5"/>
        <v>57</v>
      </c>
      <c r="B66" s="1291">
        <v>398</v>
      </c>
      <c r="C66" s="1295" t="s">
        <v>559</v>
      </c>
      <c r="E66" s="1303">
        <f t="shared" si="31"/>
        <v>177567.56999999998</v>
      </c>
      <c r="F66" s="1305"/>
      <c r="G66" s="1303">
        <f t="shared" si="32"/>
        <v>9154.1888066666652</v>
      </c>
      <c r="H66" s="1307"/>
      <c r="I66" s="1303">
        <f t="shared" si="33"/>
        <v>2959.4594999999995</v>
      </c>
      <c r="J66" s="1296"/>
      <c r="K66" s="1303">
        <f t="shared" si="34"/>
        <v>12113.648306666664</v>
      </c>
      <c r="L66" s="1305"/>
      <c r="M66" s="514">
        <f t="shared" si="0"/>
        <v>60</v>
      </c>
      <c r="N66" s="1299">
        <f>IFERROR(VLOOKUP(B66,'Sched D-1'!B:Y,22,FALSE),0)</f>
        <v>6672.83</v>
      </c>
      <c r="O66" s="1299">
        <f>IFERROR(VLOOKUP(B66,'Sched D-1'!B:Y,23,FALSE),0)</f>
        <v>170894.74</v>
      </c>
      <c r="P66" s="1299">
        <f t="shared" si="16"/>
        <v>177567.56999999998</v>
      </c>
      <c r="R66" s="514">
        <f t="shared" si="1"/>
        <v>60</v>
      </c>
      <c r="S66" s="1319">
        <v>0.13700000000000001</v>
      </c>
      <c r="T66" s="1319">
        <v>7.4999999999999997E-2</v>
      </c>
      <c r="U66" s="1320"/>
      <c r="W66" s="514">
        <f t="shared" si="2"/>
        <v>60</v>
      </c>
      <c r="X66" s="1297">
        <f t="shared" si="37"/>
        <v>609.4518066666667</v>
      </c>
      <c r="Y66" s="1298">
        <f t="shared" si="38"/>
        <v>8544.7369999999992</v>
      </c>
      <c r="Z66" s="1299">
        <f t="shared" si="35"/>
        <v>9154.1888066666652</v>
      </c>
      <c r="AB66" s="514">
        <f t="shared" si="3"/>
        <v>60</v>
      </c>
      <c r="AC66" s="1319"/>
      <c r="AD66" s="1319"/>
      <c r="AE66" s="1301">
        <f>IFERROR(VLOOKUP(B66,'Sched J-1'!B:K,10,FALSE),0)</f>
        <v>0.05</v>
      </c>
      <c r="AG66" s="514">
        <f t="shared" si="4"/>
        <v>60</v>
      </c>
      <c r="AH66" s="1297">
        <f t="shared" si="39"/>
        <v>111.21383333333334</v>
      </c>
      <c r="AI66" s="1298">
        <f t="shared" si="40"/>
        <v>2848.2456666666662</v>
      </c>
      <c r="AJ66" s="1299">
        <f t="shared" si="36"/>
        <v>2959.4594999999995</v>
      </c>
    </row>
    <row r="67" spans="1:37">
      <c r="A67" s="1277">
        <f t="shared" si="5"/>
        <v>58</v>
      </c>
      <c r="B67" s="1291">
        <v>399</v>
      </c>
      <c r="C67" s="1295" t="s">
        <v>692</v>
      </c>
      <c r="E67" s="1303">
        <f t="shared" si="31"/>
        <v>0</v>
      </c>
      <c r="F67" s="1305"/>
      <c r="G67" s="1303">
        <f t="shared" si="32"/>
        <v>0</v>
      </c>
      <c r="H67" s="1307"/>
      <c r="I67" s="1303">
        <f t="shared" si="33"/>
        <v>0</v>
      </c>
      <c r="J67" s="1296"/>
      <c r="K67" s="1303">
        <f t="shared" si="34"/>
        <v>0</v>
      </c>
      <c r="L67" s="1305"/>
      <c r="M67" s="514">
        <f t="shared" si="0"/>
        <v>61</v>
      </c>
      <c r="N67" s="1299">
        <f>IFERROR(VLOOKUP(B67,'Sched D-1'!B:Y,22,FALSE),0)</f>
        <v>0</v>
      </c>
      <c r="O67" s="1299">
        <f>IFERROR(VLOOKUP(B67,'Sched D-1'!B:Y,23,FALSE),0)</f>
        <v>0</v>
      </c>
      <c r="P67" s="1299">
        <f t="shared" si="16"/>
        <v>0</v>
      </c>
      <c r="R67" s="514">
        <f t="shared" si="1"/>
        <v>61</v>
      </c>
      <c r="S67" s="1314">
        <v>0</v>
      </c>
      <c r="T67" s="1314">
        <v>7.4999999999999997E-2</v>
      </c>
      <c r="U67" s="1318"/>
      <c r="W67" s="514">
        <f t="shared" si="2"/>
        <v>61</v>
      </c>
      <c r="X67" s="1297">
        <f t="shared" si="37"/>
        <v>0</v>
      </c>
      <c r="Y67" s="1298">
        <f t="shared" si="38"/>
        <v>0</v>
      </c>
      <c r="Z67" s="1299">
        <f t="shared" si="35"/>
        <v>0</v>
      </c>
      <c r="AB67" s="514">
        <f t="shared" si="3"/>
        <v>61</v>
      </c>
      <c r="AC67" s="1314"/>
      <c r="AD67" s="1314"/>
      <c r="AE67" s="1301">
        <f>IFERROR(VLOOKUP(B67,'Sched J-1'!B:K,10,FALSE),0)</f>
        <v>0</v>
      </c>
      <c r="AG67" s="514">
        <f t="shared" si="4"/>
        <v>61</v>
      </c>
      <c r="AH67" s="1297">
        <f t="shared" si="39"/>
        <v>0</v>
      </c>
      <c r="AI67" s="1298">
        <f t="shared" si="40"/>
        <v>0</v>
      </c>
      <c r="AJ67" s="1299">
        <f t="shared" si="36"/>
        <v>0</v>
      </c>
    </row>
    <row r="68" spans="1:37">
      <c r="A68" s="1277">
        <f t="shared" si="5"/>
        <v>59</v>
      </c>
      <c r="B68" s="1277"/>
      <c r="C68" s="1308" t="s">
        <v>79</v>
      </c>
      <c r="E68" s="1309">
        <f>ROUND(SUM(E45:E67),0)</f>
        <v>87797857</v>
      </c>
      <c r="F68" s="1029"/>
      <c r="G68" s="1309">
        <f>SUM(G45:G67)</f>
        <v>3191704.4824394002</v>
      </c>
      <c r="H68" s="1296"/>
      <c r="I68" s="1309">
        <f>SUM(I45:I67)</f>
        <v>1293887.2284853333</v>
      </c>
      <c r="J68" s="1296"/>
      <c r="K68" s="1309">
        <f>ROUND(SUM(K45:K67),0)</f>
        <v>4485592</v>
      </c>
      <c r="L68" s="1296"/>
      <c r="M68" s="514">
        <f t="shared" si="0"/>
        <v>62</v>
      </c>
      <c r="N68" s="944">
        <f>ROUND(SUM(N45:N67),0)</f>
        <v>42741498</v>
      </c>
      <c r="O68" s="944">
        <f>ROUND(SUM(O45:O67),0)</f>
        <v>45056359</v>
      </c>
      <c r="P68" s="1299">
        <f t="shared" si="16"/>
        <v>87797857</v>
      </c>
      <c r="R68" s="514">
        <f t="shared" si="1"/>
        <v>62</v>
      </c>
      <c r="S68" s="944"/>
      <c r="T68" s="944"/>
      <c r="U68" s="1299"/>
      <c r="W68" s="514">
        <f t="shared" si="2"/>
        <v>62</v>
      </c>
      <c r="X68" s="944">
        <f>SUM(X45:X67)</f>
        <v>1280874.1822883999</v>
      </c>
      <c r="Y68" s="944">
        <f>SUM(Y45:Y67)</f>
        <v>1910830.300151</v>
      </c>
      <c r="Z68" s="1299">
        <f>SUM(Z45:Z67)</f>
        <v>3191704.4824394002</v>
      </c>
      <c r="AB68" s="514">
        <f t="shared" si="3"/>
        <v>62</v>
      </c>
      <c r="AC68" s="944"/>
      <c r="AD68" s="944"/>
      <c r="AE68" s="1299"/>
      <c r="AG68" s="514">
        <f t="shared" si="4"/>
        <v>62</v>
      </c>
      <c r="AH68" s="944">
        <f>SUM(AH45:AH67)</f>
        <v>583369.97886200005</v>
      </c>
      <c r="AI68" s="944">
        <f>SUM(AI45:AI67)</f>
        <v>710517.24962333345</v>
      </c>
      <c r="AJ68" s="1299">
        <f>SUM(AJ45:AJ67)</f>
        <v>1293887.2284853333</v>
      </c>
    </row>
    <row r="69" spans="1:37">
      <c r="A69" s="1277">
        <f t="shared" si="5"/>
        <v>60</v>
      </c>
      <c r="B69" s="1277"/>
      <c r="E69" s="1296"/>
      <c r="F69" s="1029"/>
      <c r="G69" s="1296"/>
      <c r="H69" s="1296"/>
      <c r="I69" s="1296"/>
      <c r="J69" s="1296"/>
      <c r="K69" s="1296"/>
      <c r="L69" s="1296"/>
      <c r="M69" s="514">
        <f t="shared" si="0"/>
        <v>63</v>
      </c>
      <c r="P69" s="1299">
        <f t="shared" si="16"/>
        <v>0</v>
      </c>
      <c r="R69" s="514">
        <f t="shared" si="1"/>
        <v>63</v>
      </c>
      <c r="S69" s="514" t="s">
        <v>1204</v>
      </c>
      <c r="W69" s="514">
        <f t="shared" si="2"/>
        <v>63</v>
      </c>
      <c r="X69" s="1285" t="s">
        <v>1202</v>
      </c>
      <c r="Z69" s="1299"/>
      <c r="AB69" s="514">
        <f t="shared" si="3"/>
        <v>63</v>
      </c>
      <c r="AC69" s="514" t="s">
        <v>1205</v>
      </c>
      <c r="AG69" s="514">
        <f t="shared" si="4"/>
        <v>63</v>
      </c>
      <c r="AH69" s="1285" t="s">
        <v>1203</v>
      </c>
      <c r="AJ69" s="206"/>
    </row>
    <row r="70" spans="1:37">
      <c r="A70" s="1277">
        <f t="shared" si="5"/>
        <v>61</v>
      </c>
      <c r="B70" s="1277">
        <v>118</v>
      </c>
      <c r="C70" s="23" t="s">
        <v>1228</v>
      </c>
      <c r="E70" s="1307">
        <f t="shared" ref="E70:E76" si="41">HLOOKUP(Attach,$N$7:$P$79,M70,FALSE)</f>
        <v>20990030.76088167</v>
      </c>
      <c r="F70" s="1029"/>
      <c r="G70" s="1303">
        <f t="shared" ref="G70:G76" si="42">HLOOKUP(Attach,$X$7:$Z$79,R70,FALSE)</f>
        <v>258335.00085605122</v>
      </c>
      <c r="H70" s="1296"/>
      <c r="I70" s="1303">
        <f t="shared" ref="I70:I76" si="43">HLOOKUP(Attach,$AH$7:$AJ$79,AG70,FALSE)</f>
        <v>1005167.9114194689</v>
      </c>
      <c r="J70" s="1296"/>
      <c r="K70" s="1303">
        <f>SUM(G70:I70)</f>
        <v>1263502.9122755202</v>
      </c>
      <c r="L70" s="1296"/>
      <c r="M70" s="514">
        <f t="shared" si="0"/>
        <v>64</v>
      </c>
      <c r="N70" s="1299">
        <f>'Sched D-1'!W70</f>
        <v>14783194.198987614</v>
      </c>
      <c r="O70" s="1299">
        <f>'Sched D-1'!X70</f>
        <v>6206836.5618940573</v>
      </c>
      <c r="P70" s="1299">
        <f t="shared" si="16"/>
        <v>20990030.76088167</v>
      </c>
      <c r="R70" s="514">
        <f t="shared" si="1"/>
        <v>64</v>
      </c>
      <c r="S70" s="1319">
        <v>7.3845056388626276E-2</v>
      </c>
      <c r="T70" s="1319">
        <v>7.3845056388626276E-2</v>
      </c>
      <c r="U70" s="1299"/>
      <c r="W70" s="514">
        <f t="shared" si="2"/>
        <v>64</v>
      </c>
      <c r="X70" s="1297">
        <f>(N70*S70)/12*2</f>
        <v>181944.30153804223</v>
      </c>
      <c r="Y70" s="1298">
        <f>(O70*T70)/12*2</f>
        <v>76390.699318008978</v>
      </c>
      <c r="Z70" s="1299">
        <f t="shared" ref="Z70:Z76" si="44">+X70+Y70</f>
        <v>258335.00085605122</v>
      </c>
      <c r="AB70" s="514">
        <f t="shared" si="3"/>
        <v>64</v>
      </c>
      <c r="AC70" s="1319"/>
      <c r="AD70" s="1319"/>
      <c r="AE70" s="1301">
        <v>5.746544668964064E-2</v>
      </c>
      <c r="AG70" s="514">
        <f t="shared" si="4"/>
        <v>64</v>
      </c>
      <c r="AH70" s="1297">
        <f>(N70*AE70)/12*10</f>
        <v>707935.71512043953</v>
      </c>
      <c r="AI70" s="1298">
        <f>(O70*AE70)/12*10</f>
        <v>297232.19629902946</v>
      </c>
      <c r="AJ70" s="1299">
        <f t="shared" ref="AJ70:AJ76" si="45">+AH70+AI70</f>
        <v>1005167.9114194689</v>
      </c>
    </row>
    <row r="71" spans="1:37">
      <c r="A71" s="1277">
        <f t="shared" si="5"/>
        <v>62</v>
      </c>
      <c r="B71" s="1277">
        <v>118</v>
      </c>
      <c r="C71" s="23" t="s">
        <v>1230</v>
      </c>
      <c r="E71" s="1307">
        <f t="shared" si="41"/>
        <v>7174393.9912798144</v>
      </c>
      <c r="F71" s="1029"/>
      <c r="G71" s="1303">
        <f t="shared" si="42"/>
        <v>70051.205374441182</v>
      </c>
      <c r="H71" s="1296"/>
      <c r="I71" s="1303">
        <f t="shared" si="43"/>
        <v>494296.8488036315</v>
      </c>
      <c r="J71" s="1296"/>
      <c r="K71" s="1303">
        <f t="shared" ref="K71:K76" si="46">SUM(G71:I71)</f>
        <v>564348.05417807272</v>
      </c>
      <c r="L71" s="1296"/>
      <c r="M71" s="514">
        <f t="shared" si="0"/>
        <v>65</v>
      </c>
      <c r="N71" s="1299">
        <f>'Sched D-1'!W71</f>
        <v>5083893.2649583453</v>
      </c>
      <c r="O71" s="1299">
        <f>'Sched D-1'!X71</f>
        <v>2090500.7263214691</v>
      </c>
      <c r="P71" s="1299">
        <f t="shared" si="16"/>
        <v>7174393.9912798144</v>
      </c>
      <c r="R71" s="514">
        <f t="shared" si="1"/>
        <v>65</v>
      </c>
      <c r="S71" s="1319">
        <v>5.8584353292767802E-2</v>
      </c>
      <c r="T71" s="1319">
        <v>5.8584353292767802E-2</v>
      </c>
      <c r="U71" s="1299"/>
      <c r="W71" s="514">
        <f t="shared" si="2"/>
        <v>65</v>
      </c>
      <c r="X71" s="1297">
        <f t="shared" ref="X71:X76" si="47">(N71*S71)/12*2</f>
        <v>49639.433189507079</v>
      </c>
      <c r="Y71" s="1298">
        <f t="shared" ref="Y71:Y76" si="48">(O71*T71)/12*2</f>
        <v>20411.772184934107</v>
      </c>
      <c r="Z71" s="1299">
        <f t="shared" si="44"/>
        <v>70051.205374441182</v>
      </c>
      <c r="AB71" s="514">
        <f t="shared" si="3"/>
        <v>65</v>
      </c>
      <c r="AC71" s="1298"/>
      <c r="AD71" s="1298"/>
      <c r="AE71" s="1301">
        <v>8.2676839226465001E-2</v>
      </c>
      <c r="AG71" s="514">
        <f t="shared" si="4"/>
        <v>65</v>
      </c>
      <c r="AH71" s="1297">
        <f t="shared" ref="AH71:AH76" si="49">(N71*AE71)/12*10</f>
        <v>350266.85509289114</v>
      </c>
      <c r="AI71" s="1298">
        <f t="shared" ref="AI71:AI76" si="50">(O71*AE71)/12*10</f>
        <v>144029.99371074032</v>
      </c>
      <c r="AJ71" s="1299">
        <f t="shared" si="45"/>
        <v>494296.8488036315</v>
      </c>
    </row>
    <row r="72" spans="1:37">
      <c r="A72" s="1277">
        <f t="shared" si="5"/>
        <v>63</v>
      </c>
      <c r="B72" s="1277">
        <v>118</v>
      </c>
      <c r="C72" s="23" t="s">
        <v>1476</v>
      </c>
      <c r="E72" s="1307">
        <f t="shared" si="41"/>
        <v>1671161.2792000002</v>
      </c>
      <c r="F72" s="1029"/>
      <c r="G72" s="1303">
        <f t="shared" si="42"/>
        <v>0</v>
      </c>
      <c r="H72" s="1296"/>
      <c r="I72" s="1303">
        <f t="shared" si="43"/>
        <v>139263.43993333334</v>
      </c>
      <c r="J72" s="1296"/>
      <c r="K72" s="1303">
        <f t="shared" si="46"/>
        <v>139263.43993333334</v>
      </c>
      <c r="L72" s="1296"/>
      <c r="M72" s="514">
        <f t="shared" ref="M72:M79" si="51">1+M71</f>
        <v>66</v>
      </c>
      <c r="N72" s="1297">
        <f>-'Stmt E'!R25-'Stmt E'!W25</f>
        <v>1187863.7664000001</v>
      </c>
      <c r="O72" s="1297">
        <f>-'Stmt E'!S25-'Stmt E'!X25</f>
        <v>483297.51280000003</v>
      </c>
      <c r="P72" s="1299">
        <f t="shared" si="16"/>
        <v>1671161.2792000002</v>
      </c>
      <c r="R72" s="514">
        <f t="shared" ref="R72:R79" si="52">1+R71</f>
        <v>66</v>
      </c>
      <c r="S72" s="1319"/>
      <c r="T72" s="1319"/>
      <c r="U72" s="1299"/>
      <c r="W72" s="514">
        <f t="shared" ref="W72:W79" si="53">1+W71</f>
        <v>66</v>
      </c>
      <c r="X72" s="1297">
        <f t="shared" si="47"/>
        <v>0</v>
      </c>
      <c r="Y72" s="1298">
        <f t="shared" si="48"/>
        <v>0</v>
      </c>
      <c r="Z72" s="1299">
        <f t="shared" si="44"/>
        <v>0</v>
      </c>
      <c r="AB72" s="514">
        <f t="shared" ref="AB72:AB79" si="54">1+AB71</f>
        <v>66</v>
      </c>
      <c r="AC72" s="1298"/>
      <c r="AD72" s="1298"/>
      <c r="AE72" s="1301">
        <v>0.1</v>
      </c>
      <c r="AG72" s="514">
        <f t="shared" ref="AG72:AG79" si="55">1+AG71</f>
        <v>66</v>
      </c>
      <c r="AH72" s="1297">
        <f t="shared" si="49"/>
        <v>98988.647200000007</v>
      </c>
      <c r="AI72" s="1298">
        <f t="shared" si="50"/>
        <v>40274.792733333335</v>
      </c>
      <c r="AJ72" s="1299">
        <f t="shared" si="45"/>
        <v>139263.43993333334</v>
      </c>
      <c r="AK72" s="1611"/>
    </row>
    <row r="73" spans="1:37">
      <c r="A73" s="1277">
        <f t="shared" si="5"/>
        <v>64</v>
      </c>
      <c r="B73" s="1277">
        <v>118</v>
      </c>
      <c r="C73" s="23" t="s">
        <v>1232</v>
      </c>
      <c r="E73" s="1307">
        <f t="shared" si="41"/>
        <v>9280390.5348018426</v>
      </c>
      <c r="F73" s="1029"/>
      <c r="G73" s="1303">
        <f t="shared" si="42"/>
        <v>160284.72961289092</v>
      </c>
      <c r="H73" s="1296"/>
      <c r="I73" s="1303">
        <f t="shared" si="43"/>
        <v>597111.738733629</v>
      </c>
      <c r="J73" s="1296"/>
      <c r="K73" s="1303">
        <f t="shared" si="46"/>
        <v>757396.46834651986</v>
      </c>
      <c r="L73" s="1296"/>
      <c r="M73" s="514">
        <f t="shared" si="51"/>
        <v>67</v>
      </c>
      <c r="N73" s="1299">
        <f>'Sched D-1'!W72</f>
        <v>5210928.4061182905</v>
      </c>
      <c r="O73" s="1299">
        <f>'Sched D-1'!X72</f>
        <v>4069462.1286835526</v>
      </c>
      <c r="P73" s="1299">
        <f t="shared" si="16"/>
        <v>9280390.5348018426</v>
      </c>
      <c r="R73" s="514">
        <f t="shared" si="52"/>
        <v>67</v>
      </c>
      <c r="S73" s="1319">
        <v>0.10362800725582615</v>
      </c>
      <c r="T73" s="1319">
        <v>0.10362800725582615</v>
      </c>
      <c r="U73" s="1299"/>
      <c r="W73" s="514">
        <f t="shared" si="53"/>
        <v>67</v>
      </c>
      <c r="X73" s="1297">
        <f t="shared" si="47"/>
        <v>89999.687779802785</v>
      </c>
      <c r="Y73" s="1298">
        <f t="shared" si="48"/>
        <v>70285.041833088151</v>
      </c>
      <c r="Z73" s="1299">
        <f t="shared" si="44"/>
        <v>160284.72961289092</v>
      </c>
      <c r="AB73" s="514">
        <f t="shared" si="54"/>
        <v>67</v>
      </c>
      <c r="AC73" s="1298"/>
      <c r="AD73" s="1298"/>
      <c r="AE73" s="1301">
        <v>7.7209475591929311E-2</v>
      </c>
      <c r="AG73" s="514">
        <f t="shared" si="55"/>
        <v>67</v>
      </c>
      <c r="AH73" s="1297">
        <f t="shared" si="49"/>
        <v>335277.54131956777</v>
      </c>
      <c r="AI73" s="1298">
        <f t="shared" si="50"/>
        <v>261834.1974140612</v>
      </c>
      <c r="AJ73" s="1299">
        <f t="shared" si="45"/>
        <v>597111.738733629</v>
      </c>
    </row>
    <row r="74" spans="1:37">
      <c r="A74" s="1277">
        <f t="shared" si="5"/>
        <v>65</v>
      </c>
      <c r="B74" s="1277">
        <v>118</v>
      </c>
      <c r="C74" s="23" t="s">
        <v>1234</v>
      </c>
      <c r="E74" s="1307">
        <f t="shared" si="41"/>
        <v>2269138.7173952702</v>
      </c>
      <c r="F74" s="1029"/>
      <c r="G74" s="1303">
        <f t="shared" si="42"/>
        <v>21924.601534338814</v>
      </c>
      <c r="H74" s="1296"/>
      <c r="I74" s="1303">
        <f t="shared" si="43"/>
        <v>98485.798668867821</v>
      </c>
      <c r="J74" s="1296"/>
      <c r="K74" s="1303">
        <f>SUM(G74:I74)</f>
        <v>120410.40020320663</v>
      </c>
      <c r="L74" s="1296"/>
      <c r="M74" s="514">
        <f t="shared" si="51"/>
        <v>68</v>
      </c>
      <c r="N74" s="1299">
        <f>'Sched D-1'!W73</f>
        <v>1269349.7241439</v>
      </c>
      <c r="O74" s="1299">
        <f>'Sched D-1'!X73</f>
        <v>999788.99325137003</v>
      </c>
      <c r="P74" s="1299">
        <f>+N74+O74</f>
        <v>2269138.7173952702</v>
      </c>
      <c r="R74" s="514">
        <f t="shared" si="52"/>
        <v>68</v>
      </c>
      <c r="S74" s="1319">
        <v>5.797248453679181E-2</v>
      </c>
      <c r="T74" s="1319">
        <v>5.797248453679181E-2</v>
      </c>
      <c r="U74" s="1299"/>
      <c r="W74" s="514">
        <f t="shared" si="53"/>
        <v>68</v>
      </c>
      <c r="X74" s="1297">
        <f>(N74*S74)/12*2</f>
        <v>12264.559542452198</v>
      </c>
      <c r="Y74" s="1298">
        <f>(O74*T74)/12*2</f>
        <v>9660.0419918866173</v>
      </c>
      <c r="Z74" s="1299">
        <f>+X74+Y74</f>
        <v>21924.601534338814</v>
      </c>
      <c r="AB74" s="514">
        <f t="shared" si="54"/>
        <v>68</v>
      </c>
      <c r="AC74" s="1298"/>
      <c r="AD74" s="1298"/>
      <c r="AE74" s="1301">
        <v>5.2082738484275144E-2</v>
      </c>
      <c r="AG74" s="514">
        <f t="shared" si="55"/>
        <v>68</v>
      </c>
      <c r="AH74" s="1297">
        <f>(N74*AE74)/12*10</f>
        <v>55092.674773061291</v>
      </c>
      <c r="AI74" s="1298">
        <f>(O74*AE74)/12*10</f>
        <v>43393.12389580653</v>
      </c>
      <c r="AJ74" s="1299">
        <f>+AH74+AI74</f>
        <v>98485.798668867821</v>
      </c>
    </row>
    <row r="75" spans="1:37">
      <c r="A75" s="1277">
        <f t="shared" si="5"/>
        <v>66</v>
      </c>
      <c r="B75" s="1277">
        <v>118</v>
      </c>
      <c r="C75" s="23" t="s">
        <v>1236</v>
      </c>
      <c r="E75" s="1307">
        <f t="shared" si="41"/>
        <v>5821518.0911219595</v>
      </c>
      <c r="F75" s="1029"/>
      <c r="G75" s="1303">
        <f t="shared" si="42"/>
        <v>94195.156435895682</v>
      </c>
      <c r="H75" s="1296"/>
      <c r="I75" s="1303">
        <f t="shared" si="43"/>
        <v>657345.0365479961</v>
      </c>
      <c r="J75" s="1296"/>
      <c r="K75" s="1303">
        <f>SUM(G75:I75)</f>
        <v>751540.19298389181</v>
      </c>
      <c r="L75" s="1296"/>
      <c r="M75" s="514">
        <f t="shared" si="51"/>
        <v>69</v>
      </c>
      <c r="N75" s="1299">
        <f>'Sched D-1'!W74</f>
        <v>3271442.4655505996</v>
      </c>
      <c r="O75" s="1299">
        <f>'Sched D-1'!X74</f>
        <v>2550075.6255713599</v>
      </c>
      <c r="P75" s="1299">
        <f>+N75+O75</f>
        <v>5821518.0911219595</v>
      </c>
      <c r="R75" s="514">
        <f t="shared" si="52"/>
        <v>69</v>
      </c>
      <c r="S75" s="1319">
        <v>9.7083085506043804E-2</v>
      </c>
      <c r="T75" s="1319">
        <v>9.7083085506043804E-2</v>
      </c>
      <c r="U75" s="1299"/>
      <c r="W75" s="514">
        <f t="shared" si="53"/>
        <v>69</v>
      </c>
      <c r="X75" s="1297">
        <f>(N75*S75)/12*2</f>
        <v>52933.621435191941</v>
      </c>
      <c r="Y75" s="1298">
        <f>(O75*T75)/12*2</f>
        <v>41261.535000703741</v>
      </c>
      <c r="Z75" s="1299">
        <f>+X75+Y75</f>
        <v>94195.156435895682</v>
      </c>
      <c r="AB75" s="514">
        <f t="shared" si="54"/>
        <v>69</v>
      </c>
      <c r="AC75" s="1298"/>
      <c r="AD75" s="1298"/>
      <c r="AE75" s="1301">
        <v>0.13549971528226759</v>
      </c>
      <c r="AG75" s="514">
        <f t="shared" si="55"/>
        <v>69</v>
      </c>
      <c r="AH75" s="1297">
        <f>(N75*AE75)/12*10</f>
        <v>369399.60220368812</v>
      </c>
      <c r="AI75" s="1298">
        <f>(O75*AE75)/12*10</f>
        <v>287945.43434430804</v>
      </c>
      <c r="AJ75" s="1299">
        <f>+AH75+AI75</f>
        <v>657345.0365479961</v>
      </c>
    </row>
    <row r="76" spans="1:37">
      <c r="A76" s="1277">
        <f t="shared" si="5"/>
        <v>67</v>
      </c>
      <c r="B76" s="1277">
        <v>118</v>
      </c>
      <c r="C76" s="82" t="s">
        <v>1477</v>
      </c>
      <c r="E76" s="1307">
        <f t="shared" si="41"/>
        <v>4766124.6527999993</v>
      </c>
      <c r="F76" s="1029"/>
      <c r="G76" s="1303">
        <f t="shared" si="42"/>
        <v>0</v>
      </c>
      <c r="H76" s="1296"/>
      <c r="I76" s="1303">
        <f t="shared" si="43"/>
        <v>397177.05439999996</v>
      </c>
      <c r="J76" s="1296"/>
      <c r="K76" s="1303">
        <f t="shared" si="46"/>
        <v>397177.05439999996</v>
      </c>
      <c r="L76" s="1296"/>
      <c r="M76" s="514">
        <f t="shared" si="51"/>
        <v>70</v>
      </c>
      <c r="N76" s="1297">
        <f>-'Stmt E'!R29-'Stmt E'!W29</f>
        <v>2745459.9761999999</v>
      </c>
      <c r="O76" s="1297">
        <f>-'Stmt E'!S29-'Stmt E'!X29</f>
        <v>2020664.6765999999</v>
      </c>
      <c r="P76" s="1299">
        <f t="shared" si="16"/>
        <v>4766124.6527999993</v>
      </c>
      <c r="R76" s="514">
        <f t="shared" si="52"/>
        <v>70</v>
      </c>
      <c r="S76" s="1319"/>
      <c r="T76" s="1319"/>
      <c r="U76" s="1299"/>
      <c r="W76" s="514">
        <f t="shared" si="53"/>
        <v>70</v>
      </c>
      <c r="X76" s="1297">
        <f t="shared" si="47"/>
        <v>0</v>
      </c>
      <c r="Y76" s="1298">
        <f t="shared" si="48"/>
        <v>0</v>
      </c>
      <c r="Z76" s="1299">
        <f t="shared" si="44"/>
        <v>0</v>
      </c>
      <c r="AB76" s="514">
        <f t="shared" si="54"/>
        <v>70</v>
      </c>
      <c r="AC76" s="1298"/>
      <c r="AD76" s="1298"/>
      <c r="AE76" s="1301">
        <v>0.1</v>
      </c>
      <c r="AG76" s="514">
        <f t="shared" si="55"/>
        <v>70</v>
      </c>
      <c r="AH76" s="1297">
        <f t="shared" si="49"/>
        <v>228788.33134999996</v>
      </c>
      <c r="AI76" s="1298">
        <f t="shared" si="50"/>
        <v>168388.72305</v>
      </c>
      <c r="AJ76" s="1299">
        <f t="shared" si="45"/>
        <v>397177.05439999996</v>
      </c>
      <c r="AK76" s="1611"/>
    </row>
    <row r="77" spans="1:37">
      <c r="A77" s="1277">
        <f t="shared" si="5"/>
        <v>68</v>
      </c>
      <c r="B77" s="1277"/>
      <c r="C77" s="1308" t="s">
        <v>370</v>
      </c>
      <c r="E77" s="1309">
        <f>ROUND(SUM(E70:E76),0)</f>
        <v>51972758</v>
      </c>
      <c r="F77" s="1029"/>
      <c r="G77" s="1309">
        <f>ROUND(SUM(G70:G76),0)</f>
        <v>604791</v>
      </c>
      <c r="H77" s="1296"/>
      <c r="I77" s="1309">
        <f>ROUND(SUM(I70:I76),0)</f>
        <v>3388848</v>
      </c>
      <c r="J77" s="1296"/>
      <c r="K77" s="1309">
        <f>ROUND(SUM(K70:K76),0)</f>
        <v>3993639</v>
      </c>
      <c r="L77" s="1029"/>
      <c r="M77" s="514">
        <f t="shared" si="51"/>
        <v>71</v>
      </c>
      <c r="N77" s="944">
        <f>ROUND(SUM(N70:N76),0)</f>
        <v>33552132</v>
      </c>
      <c r="O77" s="944">
        <f>ROUND(SUM(O70:O76),0)</f>
        <v>18420626</v>
      </c>
      <c r="P77" s="1299">
        <f t="shared" si="16"/>
        <v>51972758</v>
      </c>
      <c r="R77" s="514">
        <f t="shared" si="52"/>
        <v>71</v>
      </c>
      <c r="S77" s="1319"/>
      <c r="T77" s="1319"/>
      <c r="U77" s="1320"/>
      <c r="W77" s="514">
        <f t="shared" si="53"/>
        <v>71</v>
      </c>
      <c r="X77" s="944">
        <f>SUM(X70:X76)</f>
        <v>386781.60348499625</v>
      </c>
      <c r="Y77" s="944">
        <f>SUM(Y70:Y76)</f>
        <v>218009.09032862159</v>
      </c>
      <c r="Z77" s="1299">
        <f>SUM(Z70:Z76)</f>
        <v>604790.69381361781</v>
      </c>
      <c r="AB77" s="514">
        <f t="shared" si="54"/>
        <v>71</v>
      </c>
      <c r="AC77" s="1298"/>
      <c r="AD77" s="1298"/>
      <c r="AE77" s="1301"/>
      <c r="AG77" s="514">
        <f t="shared" si="55"/>
        <v>71</v>
      </c>
      <c r="AH77" s="944">
        <f>SUM(AH70:AH76)</f>
        <v>2145749.3670596476</v>
      </c>
      <c r="AI77" s="944">
        <f>SUM(AI70:AI76)</f>
        <v>1243098.4614472787</v>
      </c>
      <c r="AJ77" s="1299">
        <f>SUM(AJ70:AJ76)</f>
        <v>3388847.8285069265</v>
      </c>
    </row>
    <row r="78" spans="1:37">
      <c r="A78" s="1277">
        <f t="shared" si="5"/>
        <v>69</v>
      </c>
      <c r="B78" s="1277"/>
      <c r="E78" s="1029"/>
      <c r="F78" s="1029"/>
      <c r="G78" s="1029"/>
      <c r="H78" s="1296"/>
      <c r="I78" s="1029"/>
      <c r="J78" s="1296"/>
      <c r="K78" s="1029"/>
      <c r="L78" s="1029"/>
      <c r="M78" s="514">
        <f t="shared" si="51"/>
        <v>72</v>
      </c>
      <c r="N78" s="206"/>
      <c r="O78" s="206"/>
      <c r="P78" s="1299">
        <f t="shared" si="16"/>
        <v>0</v>
      </c>
      <c r="R78" s="514">
        <f t="shared" si="52"/>
        <v>72</v>
      </c>
      <c r="W78" s="514">
        <f t="shared" si="53"/>
        <v>72</v>
      </c>
      <c r="X78" s="206"/>
      <c r="Y78" s="206"/>
      <c r="Z78" s="1299"/>
      <c r="AB78" s="514">
        <f t="shared" si="54"/>
        <v>72</v>
      </c>
      <c r="AG78" s="514">
        <f t="shared" si="55"/>
        <v>72</v>
      </c>
      <c r="AH78" s="206"/>
      <c r="AI78" s="206"/>
      <c r="AJ78" s="206"/>
    </row>
    <row r="79" spans="1:37" ht="13.5" thickBot="1">
      <c r="A79" s="1277">
        <f t="shared" si="5"/>
        <v>70</v>
      </c>
      <c r="C79" s="514" t="s">
        <v>82</v>
      </c>
      <c r="E79" s="1095">
        <f>E15+E22+E42+E68+E77</f>
        <v>862767237</v>
      </c>
      <c r="F79" s="1029"/>
      <c r="G79" s="1095">
        <f>G15+G22+G42+G68+G77</f>
        <v>17665397.482439399</v>
      </c>
      <c r="H79" s="1296"/>
      <c r="I79" s="1095">
        <f>I15+I22+I42+I68+I77</f>
        <v>9532623.2284853328</v>
      </c>
      <c r="J79" s="1296"/>
      <c r="K79" s="1095">
        <f>K15+K22+K42+K68+K77</f>
        <v>27198020</v>
      </c>
      <c r="L79" s="1296"/>
      <c r="M79" s="514">
        <f t="shared" si="51"/>
        <v>73</v>
      </c>
      <c r="N79" s="1321">
        <f>N15+N22+N42+N68+N77</f>
        <v>496229048</v>
      </c>
      <c r="O79" s="1321">
        <f>O15+O22+O42+O68+O77</f>
        <v>366538189</v>
      </c>
      <c r="P79" s="1299">
        <f t="shared" si="16"/>
        <v>862767237</v>
      </c>
      <c r="R79" s="514">
        <f t="shared" si="52"/>
        <v>73</v>
      </c>
      <c r="W79" s="514">
        <f t="shared" si="53"/>
        <v>73</v>
      </c>
      <c r="X79" s="1321">
        <f>X15+X22+X42+X68+X77</f>
        <v>9396609.7576013934</v>
      </c>
      <c r="Y79" s="1321">
        <f>Y15+Y22+Y42+Y68+Y77</f>
        <v>8268788.1131462874</v>
      </c>
      <c r="Z79" s="1299">
        <f>X79+Y79</f>
        <v>17665397.870747682</v>
      </c>
      <c r="AB79" s="514">
        <f t="shared" si="54"/>
        <v>73</v>
      </c>
      <c r="AG79" s="514">
        <f t="shared" si="55"/>
        <v>73</v>
      </c>
      <c r="AH79" s="1321">
        <f>AH15+AH22+AH42+AH68+AH77</f>
        <v>5704013.8579343138</v>
      </c>
      <c r="AI79" s="1321">
        <f>AI15+AI22+AI42+AI68+AI77</f>
        <v>3828608.4621589454</v>
      </c>
      <c r="AJ79" s="1299">
        <f>AH79+AI79</f>
        <v>9532622.3200932592</v>
      </c>
    </row>
    <row r="80" spans="1:37" s="1292" customFormat="1" ht="13.5" thickTop="1">
      <c r="A80" s="1277">
        <f t="shared" ref="A80:A91" si="56">1+A79</f>
        <v>71</v>
      </c>
      <c r="I80" s="1322"/>
      <c r="N80" s="1296"/>
      <c r="O80" s="1296"/>
      <c r="P80" s="1323"/>
      <c r="S80" s="1296"/>
      <c r="T80" s="1296"/>
      <c r="U80" s="1323"/>
    </row>
    <row r="81" spans="1:26" s="1292" customFormat="1">
      <c r="A81" s="1277">
        <f t="shared" si="56"/>
        <v>72</v>
      </c>
      <c r="B81" s="514" t="s">
        <v>1229</v>
      </c>
      <c r="I81" s="1322"/>
      <c r="N81" s="1296"/>
      <c r="O81" s="1296"/>
      <c r="P81" s="1323"/>
      <c r="S81" s="1296"/>
      <c r="T81" s="1296"/>
      <c r="U81" s="1323"/>
    </row>
    <row r="82" spans="1:26" s="1292" customFormat="1">
      <c r="A82" s="1277">
        <f t="shared" si="56"/>
        <v>73</v>
      </c>
      <c r="B82" s="75" t="s">
        <v>1231</v>
      </c>
      <c r="I82" s="1322"/>
      <c r="N82" s="1296"/>
      <c r="O82" s="1296"/>
      <c r="P82" s="1323"/>
      <c r="S82" s="1296"/>
      <c r="T82" s="1296"/>
      <c r="U82" s="1323"/>
    </row>
    <row r="83" spans="1:26" s="1292" customFormat="1">
      <c r="A83" s="1277">
        <f t="shared" si="56"/>
        <v>74</v>
      </c>
      <c r="B83" s="75" t="s">
        <v>1491</v>
      </c>
      <c r="I83" s="1322"/>
      <c r="N83" s="1296"/>
      <c r="O83" s="1296"/>
      <c r="P83" s="1323"/>
      <c r="S83" s="1296"/>
      <c r="T83" s="1296"/>
      <c r="U83" s="1323"/>
    </row>
    <row r="84" spans="1:26" s="1292" customFormat="1">
      <c r="A84" s="1277">
        <f t="shared" si="56"/>
        <v>75</v>
      </c>
      <c r="B84" s="75" t="s">
        <v>1233</v>
      </c>
      <c r="I84" s="1322"/>
      <c r="N84" s="1296"/>
      <c r="O84" s="1296"/>
      <c r="P84" s="1323"/>
      <c r="S84" s="1296"/>
      <c r="T84" s="1296"/>
      <c r="U84" s="1323"/>
    </row>
    <row r="85" spans="1:26" s="1292" customFormat="1">
      <c r="A85" s="1277">
        <f t="shared" si="56"/>
        <v>76</v>
      </c>
      <c r="B85" s="75" t="s">
        <v>1235</v>
      </c>
      <c r="I85" s="1322"/>
      <c r="N85" s="1296"/>
      <c r="O85" s="1296"/>
      <c r="P85" s="1323"/>
      <c r="S85" s="1296"/>
      <c r="T85" s="1296"/>
      <c r="U85" s="1323"/>
    </row>
    <row r="86" spans="1:26" s="1292" customFormat="1">
      <c r="A86" s="1277">
        <f t="shared" si="56"/>
        <v>77</v>
      </c>
      <c r="B86" s="75" t="s">
        <v>1237</v>
      </c>
      <c r="I86" s="1322"/>
      <c r="N86" s="1296"/>
      <c r="O86" s="1296"/>
      <c r="P86" s="1323"/>
      <c r="S86" s="1296"/>
      <c r="T86" s="1296"/>
      <c r="U86" s="1323"/>
    </row>
    <row r="87" spans="1:26" s="1292" customFormat="1">
      <c r="A87" s="1277">
        <f t="shared" si="56"/>
        <v>78</v>
      </c>
      <c r="B87" s="75" t="s">
        <v>1490</v>
      </c>
      <c r="I87" s="1322"/>
      <c r="N87" s="1296"/>
      <c r="O87" s="1296"/>
      <c r="P87" s="1323"/>
      <c r="S87" s="1296"/>
      <c r="T87" s="1296"/>
      <c r="U87" s="1323"/>
    </row>
    <row r="88" spans="1:26">
      <c r="A88" s="1277">
        <f t="shared" si="56"/>
        <v>79</v>
      </c>
      <c r="B88" s="514" t="s">
        <v>1509</v>
      </c>
      <c r="E88" s="962"/>
      <c r="F88" s="962"/>
      <c r="K88" s="962"/>
      <c r="L88" s="962"/>
      <c r="N88" s="1324"/>
      <c r="O88" s="1324"/>
      <c r="Z88" s="1325"/>
    </row>
    <row r="89" spans="1:26">
      <c r="A89" s="1277">
        <f t="shared" si="56"/>
        <v>80</v>
      </c>
      <c r="B89" s="514" t="s">
        <v>1508</v>
      </c>
      <c r="E89" s="962"/>
      <c r="F89" s="962"/>
      <c r="K89" s="962"/>
      <c r="L89" s="962"/>
      <c r="N89" s="1324"/>
      <c r="O89" s="1324"/>
      <c r="Z89" s="1325"/>
    </row>
    <row r="90" spans="1:26">
      <c r="A90" s="1277">
        <f t="shared" si="56"/>
        <v>81</v>
      </c>
      <c r="B90" s="514" t="s">
        <v>1511</v>
      </c>
      <c r="E90" s="962"/>
      <c r="F90" s="962"/>
      <c r="K90" s="962"/>
      <c r="L90" s="962"/>
      <c r="N90" s="1324"/>
      <c r="O90" s="1324"/>
      <c r="Z90" s="1325"/>
    </row>
    <row r="91" spans="1:26">
      <c r="A91" s="1277">
        <f t="shared" si="56"/>
        <v>82</v>
      </c>
      <c r="B91" s="514" t="s">
        <v>1510</v>
      </c>
      <c r="E91" s="962"/>
      <c r="F91" s="962"/>
      <c r="K91" s="962"/>
      <c r="L91" s="962"/>
      <c r="N91" s="1324"/>
      <c r="O91" s="1324"/>
    </row>
    <row r="92" spans="1:26">
      <c r="N92" s="1328">
        <f>N77-'Sched D-1'!W75</f>
        <v>3933324</v>
      </c>
      <c r="O92" s="1328">
        <f>O77-'Sched D-1'!X75</f>
        <v>2503962</v>
      </c>
    </row>
    <row r="93" spans="1:26" s="1326" customFormat="1">
      <c r="C93" s="1327" t="s">
        <v>1135</v>
      </c>
      <c r="E93" s="1328">
        <f>E79-P79</f>
        <v>0</v>
      </c>
      <c r="G93" s="1329"/>
      <c r="H93" s="1330"/>
      <c r="I93" s="1329"/>
      <c r="J93" s="1330"/>
      <c r="K93" s="1328">
        <v>-0.25000005960464478</v>
      </c>
      <c r="M93" s="1326" t="s">
        <v>1193</v>
      </c>
      <c r="N93" s="1328">
        <f>N79-'Sched D-1'!W77</f>
        <v>3933324</v>
      </c>
      <c r="O93" s="1328">
        <f>O79-'Sched D-1'!X77</f>
        <v>2503962</v>
      </c>
    </row>
    <row r="94" spans="1:26">
      <c r="E94" s="1328">
        <f>E79-'Sched D-1'!G77</f>
        <v>6437286</v>
      </c>
    </row>
  </sheetData>
  <printOptions horizontalCentered="1"/>
  <pageMargins left="0.25" right="0.25" top="0.5" bottom="0.25" header="1" footer="0.25"/>
  <pageSetup scale="63" orientation="portrait" verticalDpi="300" r:id="rId1"/>
  <headerFooter alignWithMargins="0">
    <oddHeader xml:space="preserve">&amp;L </oddHeader>
  </headerFooter>
  <rowBreaks count="1" manualBreakCount="1">
    <brk id="23"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2"/>
  <dimension ref="A1:Z47"/>
  <sheetViews>
    <sheetView workbookViewId="0"/>
  </sheetViews>
  <sheetFormatPr defaultColWidth="10.6640625" defaultRowHeight="12.75"/>
  <cols>
    <col min="1" max="1" width="6.83203125" style="112" customWidth="1"/>
    <col min="2" max="2" width="28.83203125" style="112" customWidth="1"/>
    <col min="3" max="3" width="3.33203125" style="112" customWidth="1"/>
    <col min="4" max="4" width="22.1640625" style="112" bestFit="1" customWidth="1"/>
    <col min="5" max="5" width="3.33203125" style="112" customWidth="1"/>
    <col min="6" max="6" width="15.33203125" style="112" bestFit="1" customWidth="1"/>
    <col min="7" max="7" width="3.33203125" style="112" customWidth="1"/>
    <col min="8" max="8" width="17.33203125" style="112" bestFit="1" customWidth="1"/>
    <col min="9" max="9" width="3.33203125" style="112" customWidth="1"/>
    <col min="10" max="10" width="18" style="112" bestFit="1" customWidth="1"/>
    <col min="11" max="11" width="3.33203125" style="188" customWidth="1"/>
    <col min="12" max="12" width="24.83203125" style="112" bestFit="1" customWidth="1"/>
    <col min="13" max="13" width="3.33203125" style="112" customWidth="1"/>
    <col min="14" max="14" width="3.1640625" style="112" bestFit="1" customWidth="1"/>
    <col min="15" max="15" width="21.83203125" style="112" bestFit="1" customWidth="1"/>
    <col min="16" max="16" width="21.33203125" style="112" bestFit="1" customWidth="1"/>
    <col min="17" max="18" width="21.83203125" style="112" bestFit="1" customWidth="1"/>
    <col min="19" max="19" width="22.6640625" style="112" bestFit="1" customWidth="1"/>
    <col min="20" max="20" width="22.1640625" style="112" bestFit="1" customWidth="1"/>
    <col min="21" max="21" width="22.6640625" style="112" bestFit="1" customWidth="1"/>
    <col min="22" max="23" width="21.83203125" style="112" bestFit="1" customWidth="1"/>
    <col min="24" max="25" width="21.33203125" style="112" bestFit="1" customWidth="1"/>
    <col min="26" max="26" width="21.83203125" style="112" bestFit="1" customWidth="1"/>
    <col min="27" max="28" width="22.6640625" style="112" bestFit="1" customWidth="1"/>
    <col min="29" max="29" width="22.33203125" style="112" bestFit="1" customWidth="1"/>
    <col min="30" max="30" width="19.83203125" style="112" bestFit="1" customWidth="1"/>
    <col min="31" max="16384" width="10.6640625" style="112"/>
  </cols>
  <sheetData>
    <row r="1" spans="1:26">
      <c r="A1" s="69" t="str">
        <f>Company</f>
        <v>BLACK HILLS NEBRASKA GAS, LLC</v>
      </c>
      <c r="B1" s="88"/>
      <c r="C1" s="88"/>
      <c r="D1" s="88"/>
      <c r="E1" s="88"/>
      <c r="F1" s="88"/>
      <c r="G1" s="88"/>
      <c r="H1" s="88"/>
      <c r="I1" s="88"/>
      <c r="J1" s="88"/>
      <c r="K1" s="88"/>
      <c r="L1" s="615" t="s">
        <v>1323</v>
      </c>
      <c r="N1" s="186"/>
      <c r="P1" s="593"/>
      <c r="Q1" s="593"/>
      <c r="R1" s="593"/>
      <c r="S1" s="593"/>
      <c r="T1" s="593"/>
      <c r="U1" s="593"/>
      <c r="V1" s="593"/>
      <c r="W1" s="593"/>
      <c r="X1" s="593"/>
      <c r="Y1" s="593"/>
      <c r="Z1" s="343"/>
    </row>
    <row r="2" spans="1:26">
      <c r="A2" s="88" t="s">
        <v>284</v>
      </c>
      <c r="B2" s="88"/>
      <c r="C2" s="88"/>
      <c r="D2" s="88"/>
      <c r="E2" s="88"/>
      <c r="F2" s="88"/>
      <c r="G2" s="88"/>
      <c r="H2" s="88"/>
      <c r="I2" s="88"/>
      <c r="J2" s="88"/>
      <c r="K2" s="88"/>
      <c r="L2" s="72" t="str">
        <f>Attach</f>
        <v>FINAL - BH January 15, 2021 Rev. Req. Model</v>
      </c>
      <c r="N2" s="186"/>
      <c r="O2" s="593"/>
      <c r="P2" s="593"/>
      <c r="Q2" s="593"/>
      <c r="R2" s="593"/>
      <c r="S2" s="593"/>
      <c r="T2" s="593"/>
      <c r="U2" s="593"/>
      <c r="V2" s="593"/>
      <c r="W2" s="593"/>
      <c r="X2" s="593"/>
      <c r="Y2" s="593"/>
      <c r="Z2" s="343"/>
    </row>
    <row r="3" spans="1:26">
      <c r="A3" s="70" t="str">
        <f>TYEnded</f>
        <v>FOR THE TEST YEAR ENDING DECEMBER 31, 2020</v>
      </c>
      <c r="B3" s="88"/>
      <c r="C3" s="88"/>
      <c r="D3" s="88"/>
      <c r="E3" s="88"/>
      <c r="F3" s="88"/>
      <c r="G3" s="88"/>
      <c r="H3" s="88"/>
      <c r="I3" s="88"/>
      <c r="J3" s="88"/>
      <c r="K3" s="88"/>
      <c r="L3" s="72" t="s">
        <v>824</v>
      </c>
      <c r="N3" s="186"/>
      <c r="O3" s="70"/>
      <c r="P3" s="593"/>
      <c r="Q3" s="593"/>
      <c r="R3" s="593"/>
      <c r="S3" s="593"/>
      <c r="T3" s="593"/>
      <c r="U3" s="593"/>
      <c r="V3" s="593"/>
      <c r="W3" s="593"/>
      <c r="X3" s="593"/>
      <c r="Y3" s="593"/>
      <c r="Z3" s="593"/>
    </row>
    <row r="4" spans="1:26">
      <c r="A4" s="1377"/>
      <c r="B4" s="68"/>
      <c r="C4" s="68"/>
      <c r="D4" s="111"/>
      <c r="E4" s="111"/>
      <c r="F4" s="111"/>
      <c r="G4" s="111"/>
      <c r="H4" s="111"/>
      <c r="I4" s="111"/>
      <c r="J4" s="111"/>
      <c r="K4" s="187"/>
      <c r="N4" s="186"/>
      <c r="O4" s="594"/>
      <c r="P4" s="68"/>
      <c r="Q4" s="68"/>
      <c r="R4" s="594"/>
      <c r="S4" s="594"/>
      <c r="T4" s="594"/>
      <c r="U4" s="594"/>
      <c r="V4" s="594"/>
      <c r="W4" s="594"/>
      <c r="X4" s="594"/>
      <c r="Y4" s="595"/>
      <c r="Z4" s="186"/>
    </row>
    <row r="5" spans="1:26">
      <c r="A5" s="93"/>
      <c r="B5" s="413"/>
      <c r="C5" s="413"/>
      <c r="D5" s="413"/>
      <c r="E5" s="413"/>
      <c r="F5" s="414" t="s">
        <v>199</v>
      </c>
      <c r="G5" s="414"/>
      <c r="H5" s="414" t="s">
        <v>200</v>
      </c>
      <c r="I5" s="414"/>
      <c r="J5" s="414" t="s">
        <v>41</v>
      </c>
      <c r="K5" s="418"/>
      <c r="L5" s="414" t="s">
        <v>202</v>
      </c>
      <c r="N5" s="186"/>
      <c r="O5" s="596"/>
      <c r="P5" s="597"/>
      <c r="Q5" s="597"/>
      <c r="R5" s="597"/>
      <c r="S5" s="597"/>
      <c r="T5" s="598"/>
      <c r="U5" s="598"/>
      <c r="V5" s="598"/>
      <c r="W5" s="598"/>
      <c r="X5" s="598"/>
      <c r="Y5" s="599"/>
      <c r="Z5" s="598"/>
    </row>
    <row r="6" spans="1:26">
      <c r="A6" s="93"/>
      <c r="B6" s="413"/>
      <c r="C6" s="413"/>
      <c r="D6" s="413"/>
      <c r="E6" s="413"/>
      <c r="F6" s="414"/>
      <c r="G6" s="414"/>
      <c r="H6" s="414"/>
      <c r="I6" s="414"/>
      <c r="J6" s="414"/>
      <c r="K6" s="418"/>
      <c r="L6" s="414" t="s">
        <v>292</v>
      </c>
      <c r="N6" s="186"/>
      <c r="O6" s="596"/>
      <c r="P6" s="597"/>
      <c r="Q6" s="597"/>
      <c r="R6" s="597"/>
      <c r="S6" s="597"/>
      <c r="T6" s="598"/>
      <c r="U6" s="598"/>
      <c r="V6" s="598"/>
      <c r="W6" s="598"/>
      <c r="X6" s="598"/>
      <c r="Y6" s="599"/>
      <c r="Z6" s="598"/>
    </row>
    <row r="7" spans="1:26">
      <c r="A7" s="413"/>
      <c r="B7" s="413"/>
      <c r="C7" s="413"/>
      <c r="D7" s="413"/>
      <c r="E7" s="413"/>
      <c r="F7" s="413"/>
      <c r="G7" s="413"/>
      <c r="H7" s="414" t="s">
        <v>813</v>
      </c>
      <c r="I7" s="413"/>
      <c r="J7" s="414" t="s">
        <v>238</v>
      </c>
      <c r="K7" s="418"/>
      <c r="L7" s="413"/>
      <c r="N7" s="186"/>
      <c r="O7" s="597"/>
      <c r="P7" s="597"/>
      <c r="Q7" s="597"/>
      <c r="R7" s="597"/>
      <c r="S7" s="597"/>
      <c r="T7" s="597"/>
      <c r="U7" s="597"/>
      <c r="V7" s="598"/>
      <c r="W7" s="597"/>
      <c r="X7" s="598"/>
      <c r="Y7" s="599"/>
      <c r="Z7" s="597"/>
    </row>
    <row r="8" spans="1:26">
      <c r="A8" s="414" t="s">
        <v>59</v>
      </c>
      <c r="B8" s="413"/>
      <c r="C8" s="413"/>
      <c r="D8" s="413"/>
      <c r="E8" s="413"/>
      <c r="F8" s="414"/>
      <c r="G8" s="414"/>
      <c r="H8" s="414" t="s">
        <v>237</v>
      </c>
      <c r="I8" s="414"/>
      <c r="J8" s="414" t="s">
        <v>14</v>
      </c>
      <c r="K8" s="418"/>
      <c r="L8" s="414"/>
      <c r="N8" s="186"/>
      <c r="O8" s="598"/>
      <c r="P8" s="597"/>
      <c r="Q8" s="597"/>
      <c r="R8" s="597"/>
      <c r="S8" s="597"/>
      <c r="T8" s="598"/>
      <c r="U8" s="598"/>
      <c r="V8" s="598"/>
      <c r="W8" s="598"/>
      <c r="X8" s="598"/>
      <c r="Y8" s="599"/>
      <c r="Z8" s="598"/>
    </row>
    <row r="9" spans="1:26">
      <c r="A9" s="415" t="s">
        <v>195</v>
      </c>
      <c r="B9" s="417" t="s">
        <v>196</v>
      </c>
      <c r="C9" s="419"/>
      <c r="D9" s="417" t="s">
        <v>285</v>
      </c>
      <c r="E9" s="421"/>
      <c r="F9" s="417" t="s">
        <v>94</v>
      </c>
      <c r="G9" s="417"/>
      <c r="H9" s="417" t="s">
        <v>21</v>
      </c>
      <c r="I9" s="417"/>
      <c r="J9" s="417" t="s">
        <v>22</v>
      </c>
      <c r="K9" s="420"/>
      <c r="L9" s="417" t="s">
        <v>212</v>
      </c>
      <c r="N9" s="186"/>
      <c r="O9" s="600"/>
      <c r="P9" s="598"/>
      <c r="Q9" s="601"/>
      <c r="R9" s="598"/>
      <c r="S9" s="602"/>
      <c r="T9" s="598"/>
      <c r="U9" s="598"/>
      <c r="V9" s="598"/>
      <c r="W9" s="598"/>
      <c r="X9" s="598"/>
      <c r="Y9" s="599"/>
      <c r="Z9" s="598"/>
    </row>
    <row r="10" spans="1:26">
      <c r="A10" s="4"/>
      <c r="B10" s="100"/>
      <c r="C10" s="100"/>
      <c r="D10" s="100"/>
      <c r="E10" s="100"/>
      <c r="F10" s="100"/>
      <c r="G10" s="100"/>
      <c r="H10" s="186"/>
      <c r="J10" s="457"/>
      <c r="K10" s="189"/>
      <c r="L10" s="186"/>
      <c r="N10" s="186"/>
      <c r="O10" s="603"/>
      <c r="P10" s="604"/>
      <c r="Q10" s="604"/>
      <c r="R10" s="604"/>
      <c r="S10" s="604"/>
      <c r="T10" s="604"/>
      <c r="U10" s="604"/>
      <c r="V10" s="186"/>
      <c r="W10" s="186"/>
      <c r="X10" s="186"/>
      <c r="Y10" s="189"/>
      <c r="Z10" s="186"/>
    </row>
    <row r="11" spans="1:26">
      <c r="A11" s="89">
        <f>1+A10</f>
        <v>1</v>
      </c>
      <c r="B11" s="112" t="s">
        <v>287</v>
      </c>
      <c r="D11" s="190" t="s">
        <v>1438</v>
      </c>
      <c r="F11" s="457">
        <f ca="1">'Sched F-2 Pg 1'!I31</f>
        <v>-1677028.9634214998</v>
      </c>
      <c r="G11" s="54"/>
      <c r="H11" s="458">
        <v>0</v>
      </c>
      <c r="J11" s="457">
        <f ca="1">'Sched F-2 Pg 2'!I31-'Stmt F'!F11</f>
        <v>-549083.99336961191</v>
      </c>
      <c r="L11" s="457">
        <f ca="1">+F11+H11+J11</f>
        <v>-2226112.9567911117</v>
      </c>
      <c r="N11" s="186"/>
      <c r="O11" s="605"/>
      <c r="P11" s="186"/>
      <c r="Q11" s="186"/>
      <c r="R11" s="606"/>
      <c r="S11" s="186"/>
      <c r="T11" s="457"/>
      <c r="U11" s="54"/>
      <c r="V11" s="607"/>
      <c r="W11" s="186"/>
      <c r="X11" s="457"/>
      <c r="Y11" s="189"/>
      <c r="Z11" s="457"/>
    </row>
    <row r="12" spans="1:26">
      <c r="A12" s="89">
        <f t="shared" ref="A12:A20" si="0">1+A11</f>
        <v>2</v>
      </c>
      <c r="D12" s="190"/>
      <c r="F12" s="709"/>
      <c r="G12" s="709"/>
      <c r="H12" s="709"/>
      <c r="I12" s="709"/>
      <c r="J12" s="636"/>
      <c r="K12" s="667"/>
      <c r="L12" s="709"/>
      <c r="N12" s="186"/>
      <c r="O12" s="605"/>
      <c r="P12" s="186"/>
      <c r="Q12" s="186"/>
      <c r="R12" s="606"/>
      <c r="S12" s="186"/>
      <c r="T12" s="454"/>
      <c r="U12" s="454"/>
      <c r="V12" s="454"/>
      <c r="W12" s="454"/>
      <c r="X12" s="361"/>
      <c r="Y12" s="608"/>
      <c r="Z12" s="454"/>
    </row>
    <row r="13" spans="1:26">
      <c r="A13" s="89">
        <f t="shared" si="0"/>
        <v>3</v>
      </c>
      <c r="B13" s="112" t="s">
        <v>288</v>
      </c>
      <c r="D13" s="190" t="s">
        <v>665</v>
      </c>
      <c r="F13" s="636">
        <f>'Sched F-1'!E22</f>
        <v>5398698.3969999999</v>
      </c>
      <c r="G13" s="636"/>
      <c r="H13" s="709">
        <f>'Sched F-1'!E24-'Sched F-1'!E22</f>
        <v>-350675.39699999988</v>
      </c>
      <c r="I13" s="709"/>
      <c r="J13" s="636">
        <v>0</v>
      </c>
      <c r="K13" s="667"/>
      <c r="L13" s="636">
        <f>+F13+H13+J13</f>
        <v>5048023</v>
      </c>
      <c r="N13" s="186"/>
      <c r="O13" s="605"/>
      <c r="P13" s="186"/>
      <c r="Q13" s="186"/>
      <c r="R13" s="606"/>
      <c r="S13" s="186"/>
      <c r="T13" s="361"/>
      <c r="U13" s="361"/>
      <c r="V13" s="454"/>
      <c r="W13" s="454"/>
      <c r="X13" s="361"/>
      <c r="Y13" s="608"/>
      <c r="Z13" s="361"/>
    </row>
    <row r="14" spans="1:26">
      <c r="A14" s="89">
        <f t="shared" si="0"/>
        <v>4</v>
      </c>
      <c r="D14" s="190"/>
      <c r="F14" s="636"/>
      <c r="G14" s="636"/>
      <c r="H14" s="709"/>
      <c r="I14" s="709"/>
      <c r="J14" s="636"/>
      <c r="K14" s="667"/>
      <c r="L14" s="636"/>
      <c r="N14" s="186"/>
      <c r="O14" s="605"/>
      <c r="P14" s="186"/>
      <c r="Q14" s="186"/>
      <c r="R14" s="606"/>
      <c r="S14" s="186"/>
      <c r="T14" s="361"/>
      <c r="U14" s="361"/>
      <c r="V14" s="454"/>
      <c r="W14" s="454"/>
      <c r="X14" s="361"/>
      <c r="Y14" s="608"/>
      <c r="Z14" s="361"/>
    </row>
    <row r="15" spans="1:26">
      <c r="A15" s="89">
        <f t="shared" si="0"/>
        <v>5</v>
      </c>
      <c r="B15" s="112" t="s">
        <v>289</v>
      </c>
      <c r="D15" s="190" t="s">
        <v>664</v>
      </c>
      <c r="F15" s="636">
        <f>'Sched F-1'!F22</f>
        <v>488585.88000000012</v>
      </c>
      <c r="G15" s="636"/>
      <c r="H15" s="709">
        <f>'Sched F-1'!F24-'Sched F-1'!F22</f>
        <v>-94302.880000000121</v>
      </c>
      <c r="I15" s="709"/>
      <c r="J15" s="636">
        <v>0</v>
      </c>
      <c r="K15" s="710"/>
      <c r="L15" s="636">
        <f>+F15+H15+J15</f>
        <v>394283</v>
      </c>
      <c r="N15" s="186"/>
      <c r="O15" s="605"/>
      <c r="P15" s="186"/>
      <c r="Q15" s="186"/>
      <c r="R15" s="606"/>
      <c r="S15" s="186"/>
      <c r="T15" s="361"/>
      <c r="U15" s="361"/>
      <c r="V15" s="454"/>
      <c r="W15" s="454"/>
      <c r="X15" s="361"/>
      <c r="Y15" s="609"/>
      <c r="Z15" s="361"/>
    </row>
    <row r="16" spans="1:26">
      <c r="A16" s="89">
        <f t="shared" si="0"/>
        <v>6</v>
      </c>
      <c r="D16" s="190"/>
      <c r="F16" s="54"/>
      <c r="G16" s="54"/>
      <c r="H16" s="711"/>
      <c r="I16" s="711"/>
      <c r="J16" s="54"/>
      <c r="K16" s="712"/>
      <c r="L16" s="711"/>
      <c r="N16" s="186"/>
      <c r="O16" s="605"/>
      <c r="P16" s="186"/>
      <c r="Q16" s="186"/>
      <c r="R16" s="606"/>
      <c r="S16" s="186"/>
      <c r="T16" s="54"/>
      <c r="U16" s="54"/>
      <c r="V16" s="186"/>
      <c r="W16" s="186"/>
      <c r="X16" s="54"/>
      <c r="Y16" s="189"/>
      <c r="Z16" s="186"/>
    </row>
    <row r="17" spans="1:26" ht="13.5" thickBot="1">
      <c r="A17" s="89">
        <f t="shared" si="0"/>
        <v>7</v>
      </c>
      <c r="B17" s="112" t="s">
        <v>274</v>
      </c>
      <c r="D17" s="190" t="s">
        <v>530</v>
      </c>
      <c r="F17" s="113">
        <f ca="1">ROUND(SUM(F11:F16),0)</f>
        <v>4210255</v>
      </c>
      <c r="G17" s="55"/>
      <c r="H17" s="113">
        <f>ROUND(SUM(H11:H16),0)</f>
        <v>-444978</v>
      </c>
      <c r="J17" s="113">
        <f ca="1">ROUND(SUM(J11:J16),0)</f>
        <v>-549084</v>
      </c>
      <c r="L17" s="113">
        <f ca="1">ROUND(SUM(L11:L16),0)</f>
        <v>3216193</v>
      </c>
      <c r="N17" s="186"/>
      <c r="O17" s="605"/>
      <c r="P17" s="186"/>
      <c r="Q17" s="186"/>
      <c r="R17" s="606"/>
      <c r="S17" s="186"/>
      <c r="T17" s="55"/>
      <c r="U17" s="55"/>
      <c r="V17" s="55"/>
      <c r="W17" s="186"/>
      <c r="X17" s="55"/>
      <c r="Y17" s="189"/>
      <c r="Z17" s="55"/>
    </row>
    <row r="18" spans="1:26" ht="13.5" thickTop="1">
      <c r="A18" s="89">
        <f t="shared" si="0"/>
        <v>8</v>
      </c>
      <c r="D18" s="190"/>
      <c r="F18" s="55"/>
      <c r="G18" s="55"/>
      <c r="H18" s="55"/>
      <c r="J18" s="55"/>
      <c r="L18" s="55"/>
      <c r="N18" s="186"/>
      <c r="O18" s="605"/>
      <c r="P18" s="186"/>
      <c r="Q18" s="186"/>
      <c r="R18" s="606"/>
      <c r="S18" s="186"/>
      <c r="T18" s="55"/>
      <c r="U18" s="55"/>
      <c r="V18" s="55"/>
      <c r="W18" s="186"/>
      <c r="X18" s="55"/>
      <c r="Y18" s="189"/>
      <c r="Z18" s="55"/>
    </row>
    <row r="19" spans="1:26">
      <c r="A19" s="89">
        <f t="shared" si="0"/>
        <v>9</v>
      </c>
      <c r="B19" s="112" t="s">
        <v>912</v>
      </c>
      <c r="C19" s="191"/>
      <c r="D19" s="190"/>
      <c r="F19" s="54"/>
      <c r="G19" s="54"/>
      <c r="H19" s="54"/>
      <c r="N19" s="186"/>
      <c r="O19" s="605"/>
      <c r="P19" s="186"/>
      <c r="Q19" s="610"/>
      <c r="R19" s="606"/>
      <c r="S19" s="186"/>
      <c r="T19" s="54"/>
      <c r="U19" s="54"/>
      <c r="V19" s="54"/>
      <c r="W19" s="186"/>
      <c r="X19" s="186"/>
      <c r="Y19" s="189"/>
      <c r="Z19" s="186"/>
    </row>
    <row r="20" spans="1:26">
      <c r="A20" s="89">
        <f t="shared" si="0"/>
        <v>10</v>
      </c>
      <c r="B20" s="112" t="s">
        <v>913</v>
      </c>
      <c r="F20" s="54"/>
      <c r="G20" s="54"/>
      <c r="H20" s="54"/>
      <c r="N20" s="186"/>
      <c r="O20" s="605"/>
      <c r="P20" s="186"/>
      <c r="Q20" s="186"/>
      <c r="R20" s="186"/>
      <c r="S20" s="186"/>
      <c r="T20" s="54"/>
      <c r="U20" s="54"/>
      <c r="V20" s="54"/>
      <c r="W20" s="186"/>
      <c r="X20" s="186"/>
      <c r="Y20" s="189"/>
      <c r="Z20" s="186"/>
    </row>
    <row r="21" spans="1:26">
      <c r="A21" s="89"/>
      <c r="F21" s="54"/>
      <c r="G21" s="54"/>
      <c r="H21" s="54"/>
      <c r="N21" s="186"/>
      <c r="O21" s="186"/>
      <c r="P21" s="186"/>
      <c r="Q21" s="186"/>
      <c r="R21" s="186"/>
      <c r="S21" s="186"/>
      <c r="T21" s="186"/>
      <c r="U21" s="186"/>
      <c r="V21" s="186"/>
      <c r="W21" s="186"/>
      <c r="X21" s="186"/>
      <c r="Y21" s="186"/>
      <c r="Z21" s="186"/>
    </row>
    <row r="22" spans="1:26">
      <c r="A22" s="89"/>
      <c r="F22" s="54"/>
      <c r="G22" s="54"/>
      <c r="H22" s="54"/>
      <c r="N22" s="186"/>
      <c r="O22" s="186"/>
      <c r="P22" s="186"/>
      <c r="Q22" s="186"/>
      <c r="R22" s="186"/>
      <c r="S22" s="186"/>
      <c r="T22" s="186"/>
      <c r="U22" s="186"/>
      <c r="V22" s="186"/>
      <c r="W22" s="186"/>
      <c r="X22" s="186"/>
      <c r="Y22" s="186"/>
      <c r="Z22" s="186"/>
    </row>
    <row r="23" spans="1:26">
      <c r="A23" s="89"/>
      <c r="F23" s="54"/>
      <c r="G23" s="54"/>
      <c r="H23" s="54"/>
      <c r="N23" s="186"/>
      <c r="O23" s="593"/>
      <c r="P23" s="593"/>
      <c r="Q23" s="593"/>
      <c r="R23" s="593"/>
      <c r="S23" s="593"/>
      <c r="T23" s="593"/>
      <c r="U23" s="593"/>
      <c r="V23" s="593"/>
      <c r="W23" s="593"/>
      <c r="X23" s="593"/>
      <c r="Y23" s="343"/>
      <c r="Z23" s="186"/>
    </row>
    <row r="24" spans="1:26">
      <c r="A24" s="89"/>
      <c r="F24" s="54"/>
      <c r="G24" s="54"/>
      <c r="H24" s="54"/>
      <c r="N24" s="186"/>
      <c r="O24" s="593"/>
      <c r="P24" s="593"/>
      <c r="Q24" s="593"/>
      <c r="R24" s="593"/>
      <c r="S24" s="593"/>
      <c r="T24" s="593"/>
      <c r="U24" s="593"/>
      <c r="V24" s="593"/>
      <c r="W24" s="593"/>
      <c r="X24" s="593"/>
      <c r="Y24" s="343"/>
      <c r="Z24" s="186"/>
    </row>
    <row r="25" spans="1:26">
      <c r="A25" s="89"/>
      <c r="N25" s="186"/>
      <c r="O25" s="593"/>
      <c r="P25" s="593"/>
      <c r="Q25" s="593"/>
      <c r="R25" s="593"/>
      <c r="S25" s="593"/>
      <c r="T25" s="593"/>
      <c r="U25" s="593"/>
      <c r="V25" s="593"/>
      <c r="W25" s="593"/>
      <c r="X25" s="593"/>
      <c r="Y25" s="593"/>
      <c r="Z25" s="186"/>
    </row>
    <row r="26" spans="1:26">
      <c r="A26" s="89"/>
      <c r="N26" s="186"/>
      <c r="O26" s="68"/>
      <c r="P26" s="68"/>
      <c r="Q26" s="594"/>
      <c r="R26" s="594"/>
      <c r="S26" s="594"/>
      <c r="T26" s="594"/>
      <c r="U26" s="594"/>
      <c r="V26" s="594"/>
      <c r="W26" s="594"/>
      <c r="X26" s="595"/>
      <c r="Y26" s="186"/>
      <c r="Z26" s="186"/>
    </row>
    <row r="27" spans="1:26" ht="12.75" customHeight="1">
      <c r="A27" s="89"/>
      <c r="N27" s="186"/>
      <c r="O27" s="597"/>
      <c r="P27" s="597"/>
      <c r="Q27" s="597"/>
      <c r="R27" s="597"/>
      <c r="S27" s="598"/>
      <c r="T27" s="598"/>
      <c r="U27" s="598"/>
      <c r="V27" s="598"/>
      <c r="W27" s="598"/>
      <c r="X27" s="599"/>
      <c r="Y27" s="598"/>
      <c r="Z27" s="186"/>
    </row>
    <row r="28" spans="1:26">
      <c r="N28" s="186"/>
      <c r="O28" s="597"/>
      <c r="P28" s="597"/>
      <c r="Q28" s="597"/>
      <c r="R28" s="597"/>
      <c r="S28" s="598"/>
      <c r="T28" s="598"/>
      <c r="U28" s="598"/>
      <c r="V28" s="598"/>
      <c r="W28" s="598"/>
      <c r="X28" s="599"/>
      <c r="Y28" s="598"/>
      <c r="Z28" s="186"/>
    </row>
    <row r="29" spans="1:26">
      <c r="N29" s="186"/>
      <c r="O29" s="597"/>
      <c r="P29" s="597"/>
      <c r="Q29" s="597"/>
      <c r="R29" s="597"/>
      <c r="S29" s="597"/>
      <c r="T29" s="597"/>
      <c r="U29" s="598"/>
      <c r="V29" s="597"/>
      <c r="W29" s="598"/>
      <c r="X29" s="599"/>
      <c r="Y29" s="597"/>
      <c r="Z29" s="186"/>
    </row>
    <row r="30" spans="1:26">
      <c r="N30" s="186"/>
      <c r="O30" s="597"/>
      <c r="P30" s="597"/>
      <c r="Q30" s="597"/>
      <c r="R30" s="597"/>
      <c r="S30" s="598"/>
      <c r="T30" s="598"/>
      <c r="U30" s="598"/>
      <c r="V30" s="598"/>
      <c r="W30" s="598"/>
      <c r="X30" s="599"/>
      <c r="Y30" s="598"/>
      <c r="Z30" s="186"/>
    </row>
    <row r="31" spans="1:26">
      <c r="N31" s="186"/>
      <c r="O31" s="598"/>
      <c r="P31" s="601"/>
      <c r="Q31" s="598"/>
      <c r="R31" s="602"/>
      <c r="S31" s="598"/>
      <c r="T31" s="598"/>
      <c r="U31" s="598"/>
      <c r="V31" s="598"/>
      <c r="W31" s="598"/>
      <c r="X31" s="599"/>
      <c r="Y31" s="598"/>
      <c r="Z31" s="186"/>
    </row>
    <row r="32" spans="1:26">
      <c r="N32" s="186"/>
      <c r="O32" s="604"/>
      <c r="P32" s="604"/>
      <c r="Q32" s="604"/>
      <c r="R32" s="604"/>
      <c r="S32" s="604"/>
      <c r="T32" s="604"/>
      <c r="U32" s="186"/>
      <c r="V32" s="186"/>
      <c r="W32" s="186"/>
      <c r="X32" s="189"/>
      <c r="Y32" s="186"/>
      <c r="Z32" s="186"/>
    </row>
    <row r="33" spans="14:26">
      <c r="N33" s="186"/>
      <c r="O33" s="186"/>
      <c r="P33" s="186"/>
      <c r="Q33" s="606"/>
      <c r="R33" s="186"/>
      <c r="S33" s="457"/>
      <c r="T33" s="54"/>
      <c r="U33" s="607"/>
      <c r="V33" s="186"/>
      <c r="W33" s="457"/>
      <c r="X33" s="189"/>
      <c r="Y33" s="457"/>
      <c r="Z33" s="186"/>
    </row>
    <row r="34" spans="14:26">
      <c r="N34" s="186"/>
      <c r="O34" s="186"/>
      <c r="P34" s="186"/>
      <c r="Q34" s="606"/>
      <c r="R34" s="186"/>
      <c r="S34" s="454"/>
      <c r="T34" s="454"/>
      <c r="U34" s="454"/>
      <c r="V34" s="454"/>
      <c r="W34" s="361"/>
      <c r="X34" s="608"/>
      <c r="Y34" s="454"/>
      <c r="Z34" s="186"/>
    </row>
    <row r="35" spans="14:26">
      <c r="N35" s="186"/>
      <c r="O35" s="186"/>
      <c r="P35" s="186"/>
      <c r="Q35" s="606"/>
      <c r="R35" s="186"/>
      <c r="S35" s="361"/>
      <c r="T35" s="361"/>
      <c r="U35" s="454"/>
      <c r="V35" s="454"/>
      <c r="W35" s="361"/>
      <c r="X35" s="608"/>
      <c r="Y35" s="361"/>
      <c r="Z35" s="186"/>
    </row>
    <row r="36" spans="14:26">
      <c r="N36" s="186"/>
      <c r="O36" s="186"/>
      <c r="P36" s="186"/>
      <c r="Q36" s="606"/>
      <c r="R36" s="186"/>
      <c r="S36" s="361"/>
      <c r="T36" s="361"/>
      <c r="U36" s="454"/>
      <c r="V36" s="454"/>
      <c r="W36" s="361"/>
      <c r="X36" s="608"/>
      <c r="Y36" s="361"/>
      <c r="Z36" s="186"/>
    </row>
    <row r="37" spans="14:26">
      <c r="N37" s="186"/>
      <c r="O37" s="186"/>
      <c r="P37" s="186"/>
      <c r="Q37" s="606"/>
      <c r="R37" s="186"/>
      <c r="S37" s="361"/>
      <c r="T37" s="361"/>
      <c r="U37" s="454"/>
      <c r="V37" s="454"/>
      <c r="W37" s="361"/>
      <c r="X37" s="609"/>
      <c r="Y37" s="361"/>
      <c r="Z37" s="186"/>
    </row>
    <row r="38" spans="14:26">
      <c r="N38" s="186"/>
      <c r="O38" s="186"/>
      <c r="P38" s="186"/>
      <c r="Q38" s="606"/>
      <c r="R38" s="186"/>
      <c r="S38" s="54"/>
      <c r="T38" s="54"/>
      <c r="U38" s="186"/>
      <c r="V38" s="186"/>
      <c r="W38" s="54"/>
      <c r="X38" s="189"/>
      <c r="Y38" s="186"/>
      <c r="Z38" s="186"/>
    </row>
    <row r="39" spans="14:26">
      <c r="N39" s="186"/>
      <c r="O39" s="186"/>
      <c r="P39" s="186"/>
      <c r="Q39" s="606"/>
      <c r="R39" s="186"/>
      <c r="S39" s="55"/>
      <c r="T39" s="55"/>
      <c r="U39" s="55"/>
      <c r="V39" s="186"/>
      <c r="W39" s="55"/>
      <c r="X39" s="189"/>
      <c r="Y39" s="55"/>
      <c r="Z39" s="186"/>
    </row>
    <row r="40" spans="14:26">
      <c r="N40" s="186"/>
      <c r="O40" s="186"/>
      <c r="P40" s="186"/>
      <c r="Q40" s="606"/>
      <c r="R40" s="186"/>
      <c r="S40" s="55"/>
      <c r="T40" s="55"/>
      <c r="U40" s="55"/>
      <c r="V40" s="186"/>
      <c r="W40" s="55"/>
      <c r="X40" s="189"/>
      <c r="Y40" s="55"/>
      <c r="Z40" s="186"/>
    </row>
    <row r="41" spans="14:26">
      <c r="N41" s="186"/>
      <c r="O41" s="186"/>
      <c r="P41" s="610"/>
      <c r="Q41" s="606"/>
      <c r="R41" s="186"/>
      <c r="S41" s="54"/>
      <c r="T41" s="54"/>
      <c r="U41" s="54"/>
      <c r="V41" s="186"/>
      <c r="W41" s="186"/>
      <c r="X41" s="189"/>
      <c r="Y41" s="186"/>
      <c r="Z41" s="186"/>
    </row>
    <row r="42" spans="14:26">
      <c r="N42" s="186"/>
      <c r="O42" s="186"/>
      <c r="P42" s="186"/>
      <c r="Q42" s="186"/>
      <c r="R42" s="186"/>
      <c r="S42" s="54"/>
      <c r="T42" s="54"/>
      <c r="U42" s="54"/>
      <c r="V42" s="186"/>
      <c r="W42" s="186"/>
      <c r="X42" s="189"/>
      <c r="Y42" s="186"/>
      <c r="Z42" s="186"/>
    </row>
    <row r="43" spans="14:26">
      <c r="N43" s="186"/>
      <c r="O43" s="186"/>
      <c r="P43" s="186"/>
      <c r="Q43" s="186"/>
      <c r="R43" s="186"/>
      <c r="S43" s="186"/>
      <c r="T43" s="186"/>
      <c r="U43" s="186"/>
      <c r="V43" s="186"/>
      <c r="W43" s="186"/>
      <c r="X43" s="186"/>
      <c r="Y43" s="186"/>
      <c r="Z43" s="186"/>
    </row>
    <row r="44" spans="14:26">
      <c r="N44" s="186"/>
      <c r="O44" s="186"/>
      <c r="P44" s="186"/>
      <c r="Q44" s="186"/>
      <c r="R44" s="186"/>
      <c r="S44" s="186"/>
      <c r="T44" s="186"/>
      <c r="U44" s="186"/>
      <c r="V44" s="186"/>
      <c r="W44" s="186"/>
      <c r="X44" s="186"/>
      <c r="Y44" s="186"/>
      <c r="Z44" s="186"/>
    </row>
    <row r="45" spans="14:26">
      <c r="N45" s="186"/>
      <c r="O45" s="186"/>
      <c r="P45" s="186"/>
      <c r="Q45" s="186"/>
      <c r="R45" s="186"/>
      <c r="S45" s="186"/>
      <c r="T45" s="186"/>
      <c r="U45" s="186"/>
      <c r="V45" s="186"/>
      <c r="W45" s="186"/>
      <c r="X45" s="186"/>
      <c r="Y45" s="186"/>
      <c r="Z45" s="186"/>
    </row>
    <row r="46" spans="14:26">
      <c r="N46" s="186"/>
      <c r="O46" s="186"/>
      <c r="P46" s="186"/>
      <c r="Q46" s="186"/>
      <c r="R46" s="186"/>
      <c r="S46" s="186"/>
      <c r="T46" s="186"/>
      <c r="U46" s="186"/>
      <c r="V46" s="186"/>
      <c r="W46" s="186"/>
      <c r="X46" s="186"/>
      <c r="Y46" s="186"/>
      <c r="Z46" s="186"/>
    </row>
    <row r="47" spans="14:26">
      <c r="N47" s="186"/>
      <c r="O47" s="186"/>
      <c r="P47" s="186"/>
      <c r="Q47" s="186"/>
      <c r="R47" s="186"/>
      <c r="S47" s="186"/>
      <c r="T47" s="186"/>
      <c r="U47" s="186"/>
      <c r="V47" s="186"/>
      <c r="W47" s="186"/>
      <c r="X47" s="186"/>
      <c r="Y47" s="186"/>
      <c r="Z47" s="186"/>
    </row>
  </sheetData>
  <phoneticPr fontId="15" type="noConversion"/>
  <pageMargins left="0.25" right="0.2" top="1" bottom="1" header="1" footer="0.5"/>
  <pageSetup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pageSetUpPr fitToPage="1"/>
  </sheetPr>
  <dimension ref="A1:Q28"/>
  <sheetViews>
    <sheetView workbookViewId="0"/>
  </sheetViews>
  <sheetFormatPr defaultColWidth="9.33203125" defaultRowHeight="12.75"/>
  <cols>
    <col min="1" max="1" width="10.6640625" style="112" customWidth="1"/>
    <col min="2" max="2" width="15.6640625" style="112" customWidth="1"/>
    <col min="3" max="3" width="19.33203125" style="112" customWidth="1"/>
    <col min="4" max="4" width="3.33203125" style="112" customWidth="1"/>
    <col min="5" max="6" width="18.83203125" style="112" customWidth="1"/>
    <col min="7" max="7" width="6" style="112" customWidth="1"/>
    <col min="8" max="8" width="3.1640625" style="112" bestFit="1" customWidth="1"/>
    <col min="9" max="9" width="15.33203125" style="112" customWidth="1"/>
    <col min="10" max="10" width="17.6640625" style="112" customWidth="1"/>
    <col min="11" max="11" width="11.1640625" style="112" customWidth="1"/>
    <col min="12" max="12" width="2.83203125" style="112" customWidth="1"/>
    <col min="13" max="13" width="3.1640625" style="112" bestFit="1" customWidth="1"/>
    <col min="14" max="14" width="13.83203125" style="112" customWidth="1"/>
    <col min="15" max="15" width="13.1640625" style="112" customWidth="1"/>
    <col min="16" max="16" width="11.83203125" style="112" customWidth="1"/>
    <col min="17" max="16384" width="9.33203125" style="112"/>
  </cols>
  <sheetData>
    <row r="1" spans="1:17">
      <c r="A1" s="69" t="str">
        <f>Company</f>
        <v>BLACK HILLS NEBRASKA GAS, LLC</v>
      </c>
      <c r="B1" s="88"/>
      <c r="C1" s="88"/>
      <c r="D1" s="88"/>
      <c r="E1" s="99"/>
      <c r="F1" s="615" t="s">
        <v>1323</v>
      </c>
      <c r="G1" s="88"/>
    </row>
    <row r="2" spans="1:17">
      <c r="A2" s="88" t="s">
        <v>302</v>
      </c>
      <c r="B2" s="88"/>
      <c r="C2" s="88"/>
      <c r="D2" s="88"/>
      <c r="E2" s="99"/>
      <c r="F2" s="72" t="str">
        <f>Attach</f>
        <v>FINAL - BH January 15, 2021 Rev. Req. Model</v>
      </c>
      <c r="G2" s="88"/>
    </row>
    <row r="3" spans="1:17">
      <c r="A3" s="70" t="str">
        <f>TYEnded</f>
        <v>FOR THE TEST YEAR ENDING DECEMBER 31, 2020</v>
      </c>
      <c r="B3" s="88"/>
      <c r="C3" s="88"/>
      <c r="D3" s="88"/>
      <c r="E3" s="99"/>
      <c r="F3" s="72" t="s">
        <v>373</v>
      </c>
      <c r="G3" s="88"/>
      <c r="H3" s="88"/>
    </row>
    <row r="4" spans="1:17">
      <c r="A4" s="111"/>
      <c r="B4" s="68"/>
      <c r="C4" s="111"/>
      <c r="D4" s="111"/>
      <c r="E4" s="111"/>
      <c r="F4" s="111"/>
      <c r="G4" s="111"/>
      <c r="H4" s="111"/>
    </row>
    <row r="5" spans="1:17">
      <c r="A5" s="93"/>
      <c r="B5" s="413"/>
      <c r="C5" s="413"/>
      <c r="D5" s="413"/>
      <c r="E5" s="414" t="s">
        <v>199</v>
      </c>
      <c r="F5" s="414" t="s">
        <v>200</v>
      </c>
    </row>
    <row r="6" spans="1:17">
      <c r="A6" s="93"/>
      <c r="B6" s="413"/>
      <c r="C6" s="413"/>
      <c r="D6" s="413"/>
      <c r="E6" s="414" t="s">
        <v>115</v>
      </c>
      <c r="F6" s="414" t="s">
        <v>303</v>
      </c>
      <c r="H6" s="1778" t="s">
        <v>288</v>
      </c>
      <c r="I6" s="1778"/>
      <c r="J6" s="1778"/>
      <c r="K6" s="1778"/>
      <c r="L6" s="1419"/>
      <c r="M6" s="1778" t="s">
        <v>289</v>
      </c>
      <c r="N6" s="1778"/>
      <c r="O6" s="1778"/>
      <c r="P6" s="1778"/>
    </row>
    <row r="7" spans="1:17">
      <c r="A7" s="414" t="s">
        <v>59</v>
      </c>
      <c r="B7" s="413"/>
      <c r="C7" s="413"/>
      <c r="D7" s="413"/>
      <c r="E7" s="414" t="s">
        <v>116</v>
      </c>
      <c r="F7" s="414" t="s">
        <v>304</v>
      </c>
      <c r="H7" s="75">
        <v>1</v>
      </c>
      <c r="I7" s="86" t="str">
        <f>References!$C$17</f>
        <v>Exhibit No. MCC-2 NEG</v>
      </c>
      <c r="J7" s="86" t="str">
        <f>References!$D$17</f>
        <v>Exhibit No. MCC-2 NEGD</v>
      </c>
      <c r="K7" s="86" t="str">
        <f>References!$E$17</f>
        <v>FINAL - BH January 15, 2021 Rev. Req. Model</v>
      </c>
      <c r="L7" s="75"/>
      <c r="M7" s="75">
        <v>1</v>
      </c>
      <c r="N7" s="86" t="str">
        <f>References!$C$17</f>
        <v>Exhibit No. MCC-2 NEG</v>
      </c>
      <c r="O7" s="86" t="str">
        <f>References!$D$17</f>
        <v>Exhibit No. MCC-2 NEGD</v>
      </c>
      <c r="P7" s="86" t="str">
        <f>References!$E$17</f>
        <v>FINAL - BH January 15, 2021 Rev. Req. Model</v>
      </c>
    </row>
    <row r="8" spans="1:17">
      <c r="A8" s="415" t="s">
        <v>195</v>
      </c>
      <c r="B8" s="415" t="s">
        <v>498</v>
      </c>
      <c r="C8" s="415" t="s">
        <v>499</v>
      </c>
      <c r="D8" s="416"/>
      <c r="E8" s="417" t="s">
        <v>625</v>
      </c>
      <c r="F8" s="417" t="s">
        <v>283</v>
      </c>
      <c r="H8" s="75">
        <f>1+H7</f>
        <v>2</v>
      </c>
      <c r="I8" s="75" t="str">
        <f>References!$C$18</f>
        <v>NEG</v>
      </c>
      <c r="J8" s="75" t="str">
        <f>References!$D$18</f>
        <v>NEGD</v>
      </c>
      <c r="K8" s="75" t="str">
        <f>References!$E$18</f>
        <v>Tot Co</v>
      </c>
      <c r="L8" s="75"/>
      <c r="M8" s="75">
        <f>1+M7</f>
        <v>2</v>
      </c>
      <c r="N8" s="75" t="str">
        <f>References!$C$18</f>
        <v>NEG</v>
      </c>
      <c r="O8" s="75" t="str">
        <f>References!$D$18</f>
        <v>NEGD</v>
      </c>
      <c r="P8" s="75" t="str">
        <f>References!$E$18</f>
        <v>Tot Co</v>
      </c>
    </row>
    <row r="9" spans="1:17">
      <c r="A9" s="4"/>
      <c r="B9" s="100"/>
      <c r="C9" s="100"/>
      <c r="D9" s="100"/>
      <c r="E9" s="100"/>
      <c r="F9" s="100"/>
      <c r="H9" s="75">
        <f t="shared" ref="H9:H22" si="0">1+H8</f>
        <v>3</v>
      </c>
      <c r="I9" s="75"/>
      <c r="J9" s="75"/>
      <c r="K9" s="75"/>
      <c r="L9" s="82"/>
      <c r="M9" s="75">
        <f t="shared" ref="M9:M22" si="1">1+M8</f>
        <v>3</v>
      </c>
      <c r="N9" s="75"/>
      <c r="O9" s="75"/>
      <c r="P9" s="75"/>
    </row>
    <row r="10" spans="1:17">
      <c r="A10" s="89">
        <v>1</v>
      </c>
      <c r="B10" s="89">
        <v>2018</v>
      </c>
      <c r="C10" s="112" t="s">
        <v>216</v>
      </c>
      <c r="E10" s="490">
        <f t="shared" ref="E10:E22" si="2">HLOOKUP(Attach,$I$7:$K$22,H10,FALSE)</f>
        <v>4301179.3270000005</v>
      </c>
      <c r="F10" s="854">
        <f t="shared" ref="F10:F22" si="3">HLOOKUP(Attach,$N$7:$P$22,M10,FALSE)</f>
        <v>546122.93000000028</v>
      </c>
      <c r="H10" s="75">
        <f t="shared" si="0"/>
        <v>4</v>
      </c>
      <c r="I10" s="972">
        <v>1542230.2270000004</v>
      </c>
      <c r="J10" s="972">
        <v>2758949.1</v>
      </c>
      <c r="K10" s="937">
        <f>+I10+J10</f>
        <v>4301179.3270000005</v>
      </c>
      <c r="L10" s="506"/>
      <c r="M10" s="75">
        <f t="shared" si="1"/>
        <v>4</v>
      </c>
      <c r="N10" s="972">
        <v>493948.74000000022</v>
      </c>
      <c r="O10" s="972">
        <v>52174.19000000001</v>
      </c>
      <c r="P10" s="937">
        <f>N10+O10</f>
        <v>546122.93000000028</v>
      </c>
      <c r="Q10" s="1167"/>
    </row>
    <row r="11" spans="1:17">
      <c r="A11" s="89">
        <f t="shared" ref="A11:A26" si="4">1+A10</f>
        <v>2</v>
      </c>
      <c r="B11" s="89">
        <v>2019</v>
      </c>
      <c r="C11" s="112" t="s">
        <v>186</v>
      </c>
      <c r="E11" s="696">
        <f t="shared" si="2"/>
        <v>4277947.7170000002</v>
      </c>
      <c r="F11" s="855">
        <f t="shared" si="3"/>
        <v>399226.72000000009</v>
      </c>
      <c r="H11" s="75">
        <f t="shared" si="0"/>
        <v>5</v>
      </c>
      <c r="I11" s="972">
        <v>1511787.1969999997</v>
      </c>
      <c r="J11" s="972">
        <v>2766160.52</v>
      </c>
      <c r="K11" s="937">
        <f t="shared" ref="K11:K22" si="5">+I11+J11</f>
        <v>4277947.7170000002</v>
      </c>
      <c r="L11" s="506"/>
      <c r="M11" s="75">
        <f t="shared" si="1"/>
        <v>5</v>
      </c>
      <c r="N11" s="972">
        <v>354432.91000000003</v>
      </c>
      <c r="O11" s="972">
        <v>44793.810000000041</v>
      </c>
      <c r="P11" s="937">
        <f t="shared" ref="P11:P22" si="6">N11+O11</f>
        <v>399226.72000000009</v>
      </c>
      <c r="Q11" s="1167"/>
    </row>
    <row r="12" spans="1:17">
      <c r="A12" s="89">
        <f t="shared" si="4"/>
        <v>3</v>
      </c>
      <c r="B12" s="89"/>
      <c r="C12" s="112" t="s">
        <v>187</v>
      </c>
      <c r="E12" s="697">
        <f t="shared" si="2"/>
        <v>4657930.5469999993</v>
      </c>
      <c r="F12" s="855">
        <f t="shared" si="3"/>
        <v>269669.62000000011</v>
      </c>
      <c r="H12" s="75">
        <f t="shared" si="0"/>
        <v>6</v>
      </c>
      <c r="I12" s="972">
        <v>1616663.3369999998</v>
      </c>
      <c r="J12" s="972">
        <v>3041267.2099999995</v>
      </c>
      <c r="K12" s="937">
        <f t="shared" si="5"/>
        <v>4657930.5469999993</v>
      </c>
      <c r="L12" s="506"/>
      <c r="M12" s="75">
        <f t="shared" si="1"/>
        <v>6</v>
      </c>
      <c r="N12" s="972">
        <v>231456.19000000006</v>
      </c>
      <c r="O12" s="972">
        <v>38213.430000000044</v>
      </c>
      <c r="P12" s="937">
        <f t="shared" si="6"/>
        <v>269669.62000000011</v>
      </c>
      <c r="Q12" s="1167"/>
    </row>
    <row r="13" spans="1:17">
      <c r="A13" s="89">
        <f t="shared" si="4"/>
        <v>4</v>
      </c>
      <c r="B13" s="89"/>
      <c r="C13" s="112" t="s">
        <v>188</v>
      </c>
      <c r="E13" s="698">
        <f t="shared" si="2"/>
        <v>4548777.6469999989</v>
      </c>
      <c r="F13" s="855">
        <f t="shared" si="3"/>
        <v>165062.8600000001</v>
      </c>
      <c r="H13" s="75">
        <f t="shared" si="0"/>
        <v>7</v>
      </c>
      <c r="I13" s="972">
        <v>1462330.3369999998</v>
      </c>
      <c r="J13" s="972">
        <v>3086447.3099999991</v>
      </c>
      <c r="K13" s="937">
        <f t="shared" si="5"/>
        <v>4548777.6469999989</v>
      </c>
      <c r="L13" s="506"/>
      <c r="M13" s="75">
        <f t="shared" si="1"/>
        <v>7</v>
      </c>
      <c r="N13" s="972">
        <v>134504.81000000006</v>
      </c>
      <c r="O13" s="972">
        <v>30558.050000000039</v>
      </c>
      <c r="P13" s="937">
        <f t="shared" si="6"/>
        <v>165062.8600000001</v>
      </c>
      <c r="Q13" s="1167"/>
    </row>
    <row r="14" spans="1:17">
      <c r="A14" s="89">
        <f t="shared" si="4"/>
        <v>5</v>
      </c>
      <c r="B14" s="89"/>
      <c r="C14" s="112" t="s">
        <v>703</v>
      </c>
      <c r="E14" s="699">
        <f t="shared" si="2"/>
        <v>4648359.3969999989</v>
      </c>
      <c r="F14" s="855">
        <f t="shared" si="3"/>
        <v>95265.700000000099</v>
      </c>
      <c r="H14" s="75">
        <f t="shared" si="0"/>
        <v>8</v>
      </c>
      <c r="I14" s="972">
        <v>1537591.2969999996</v>
      </c>
      <c r="J14" s="972">
        <v>3110768.0999999992</v>
      </c>
      <c r="K14" s="937">
        <f t="shared" si="5"/>
        <v>4648359.3969999989</v>
      </c>
      <c r="L14" s="506"/>
      <c r="M14" s="75">
        <f t="shared" si="1"/>
        <v>8</v>
      </c>
      <c r="N14" s="972">
        <v>72363.030000000057</v>
      </c>
      <c r="O14" s="972">
        <v>22902.670000000042</v>
      </c>
      <c r="P14" s="937">
        <f t="shared" si="6"/>
        <v>95265.700000000099</v>
      </c>
      <c r="Q14" s="1167"/>
    </row>
    <row r="15" spans="1:17">
      <c r="A15" s="89">
        <f t="shared" si="4"/>
        <v>6</v>
      </c>
      <c r="B15" s="89"/>
      <c r="C15" s="112" t="s">
        <v>704</v>
      </c>
      <c r="E15" s="700">
        <f t="shared" si="2"/>
        <v>4991731.8869999982</v>
      </c>
      <c r="F15" s="855">
        <f t="shared" si="3"/>
        <v>81285.010000000111</v>
      </c>
      <c r="H15" s="75">
        <f t="shared" si="0"/>
        <v>9</v>
      </c>
      <c r="I15" s="972">
        <v>1675731.7469999995</v>
      </c>
      <c r="J15" s="972">
        <v>3316000.1399999992</v>
      </c>
      <c r="K15" s="937">
        <f t="shared" si="5"/>
        <v>4991731.8869999982</v>
      </c>
      <c r="L15" s="506"/>
      <c r="M15" s="75">
        <f t="shared" si="1"/>
        <v>9</v>
      </c>
      <c r="N15" s="972">
        <v>65468.720000000067</v>
      </c>
      <c r="O15" s="972">
        <v>15816.290000000039</v>
      </c>
      <c r="P15" s="937">
        <f t="shared" si="6"/>
        <v>81285.010000000111</v>
      </c>
      <c r="Q15" s="1167"/>
    </row>
    <row r="16" spans="1:17">
      <c r="A16" s="89">
        <f t="shared" si="4"/>
        <v>7</v>
      </c>
      <c r="B16" s="89"/>
      <c r="C16" s="112" t="s">
        <v>189</v>
      </c>
      <c r="E16" s="701">
        <f t="shared" si="2"/>
        <v>5057768.7869999986</v>
      </c>
      <c r="F16" s="855">
        <f t="shared" si="3"/>
        <v>192665.79000000012</v>
      </c>
      <c r="H16" s="75">
        <f t="shared" si="0"/>
        <v>10</v>
      </c>
      <c r="I16" s="972">
        <v>1672268.4069999997</v>
      </c>
      <c r="J16" s="972">
        <v>3385500.3799999994</v>
      </c>
      <c r="K16" s="937">
        <f t="shared" si="5"/>
        <v>5057768.7869999986</v>
      </c>
      <c r="L16" s="506"/>
      <c r="M16" s="75">
        <f t="shared" si="1"/>
        <v>10</v>
      </c>
      <c r="N16" s="972">
        <v>184278.80000000008</v>
      </c>
      <c r="O16" s="972">
        <v>8386.990000000038</v>
      </c>
      <c r="P16" s="937">
        <f t="shared" si="6"/>
        <v>192665.79000000012</v>
      </c>
      <c r="Q16" s="1167"/>
    </row>
    <row r="17" spans="1:17">
      <c r="A17" s="89">
        <f t="shared" si="4"/>
        <v>8</v>
      </c>
      <c r="C17" s="112" t="s">
        <v>190</v>
      </c>
      <c r="E17" s="702">
        <f t="shared" si="2"/>
        <v>5852063.1169999987</v>
      </c>
      <c r="F17" s="855">
        <f t="shared" si="3"/>
        <v>433146.2300000001</v>
      </c>
      <c r="G17" s="54"/>
      <c r="H17" s="75">
        <f t="shared" si="0"/>
        <v>11</v>
      </c>
      <c r="I17" s="972">
        <v>2353264.4569999995</v>
      </c>
      <c r="J17" s="972">
        <v>3498798.6599999997</v>
      </c>
      <c r="K17" s="937">
        <f t="shared" si="5"/>
        <v>5852063.1169999987</v>
      </c>
      <c r="L17" s="506"/>
      <c r="M17" s="75">
        <f t="shared" si="1"/>
        <v>11</v>
      </c>
      <c r="N17" s="972">
        <v>357892.07000000007</v>
      </c>
      <c r="O17" s="972">
        <v>75254.160000000033</v>
      </c>
      <c r="P17" s="937">
        <f t="shared" si="6"/>
        <v>433146.2300000001</v>
      </c>
      <c r="Q17" s="1167"/>
    </row>
    <row r="18" spans="1:17">
      <c r="A18" s="89">
        <f t="shared" si="4"/>
        <v>9</v>
      </c>
      <c r="C18" s="112" t="s">
        <v>61</v>
      </c>
      <c r="E18" s="703">
        <f t="shared" si="2"/>
        <v>6025856.8469999991</v>
      </c>
      <c r="F18" s="855">
        <f t="shared" si="3"/>
        <v>512266.58000000013</v>
      </c>
      <c r="G18" s="54"/>
      <c r="H18" s="75">
        <f t="shared" si="0"/>
        <v>12</v>
      </c>
      <c r="I18" s="972">
        <v>2362978.6369999992</v>
      </c>
      <c r="J18" s="972">
        <v>3662878.21</v>
      </c>
      <c r="K18" s="937">
        <f t="shared" si="5"/>
        <v>6025856.8469999991</v>
      </c>
      <c r="L18" s="506"/>
      <c r="M18" s="75">
        <f t="shared" si="1"/>
        <v>12</v>
      </c>
      <c r="N18" s="972">
        <v>443461.49000000011</v>
      </c>
      <c r="O18" s="972">
        <v>68805.09000000004</v>
      </c>
      <c r="P18" s="937">
        <f t="shared" si="6"/>
        <v>512266.58000000013</v>
      </c>
      <c r="Q18" s="1167"/>
    </row>
    <row r="19" spans="1:17">
      <c r="A19" s="89">
        <f t="shared" si="4"/>
        <v>10</v>
      </c>
      <c r="C19" s="112" t="s">
        <v>62</v>
      </c>
      <c r="E19" s="704">
        <f t="shared" si="2"/>
        <v>5378729.726999999</v>
      </c>
      <c r="F19" s="855">
        <f t="shared" si="3"/>
        <v>574999.54</v>
      </c>
      <c r="G19" s="54"/>
      <c r="H19" s="75">
        <f t="shared" si="0"/>
        <v>13</v>
      </c>
      <c r="I19" s="972">
        <v>1692787.3569999994</v>
      </c>
      <c r="J19" s="972">
        <v>3685942.3699999996</v>
      </c>
      <c r="K19" s="937">
        <f t="shared" si="5"/>
        <v>5378729.726999999</v>
      </c>
      <c r="L19" s="506"/>
      <c r="M19" s="75">
        <f t="shared" si="1"/>
        <v>13</v>
      </c>
      <c r="N19" s="972">
        <v>513996.88</v>
      </c>
      <c r="O19" s="972">
        <v>61002.66000000004</v>
      </c>
      <c r="P19" s="937">
        <f t="shared" si="6"/>
        <v>574999.54</v>
      </c>
      <c r="Q19" s="1167"/>
    </row>
    <row r="20" spans="1:17">
      <c r="A20" s="89">
        <f t="shared" si="4"/>
        <v>11</v>
      </c>
      <c r="B20" s="89"/>
      <c r="C20" s="112" t="s">
        <v>63</v>
      </c>
      <c r="E20" s="705">
        <f t="shared" si="2"/>
        <v>5201357.6469999999</v>
      </c>
      <c r="F20" s="855">
        <f t="shared" si="3"/>
        <v>743922.56</v>
      </c>
      <c r="G20" s="54"/>
      <c r="H20" s="75">
        <f t="shared" si="0"/>
        <v>14</v>
      </c>
      <c r="I20" s="972">
        <v>1649836.9069999997</v>
      </c>
      <c r="J20" s="972">
        <v>3551520.7399999998</v>
      </c>
      <c r="K20" s="937">
        <f t="shared" si="5"/>
        <v>5201357.6469999999</v>
      </c>
      <c r="L20" s="506"/>
      <c r="M20" s="75">
        <f t="shared" si="1"/>
        <v>14</v>
      </c>
      <c r="N20" s="972">
        <v>638836.72000000009</v>
      </c>
      <c r="O20" s="972">
        <v>105085.84000000003</v>
      </c>
      <c r="P20" s="937">
        <f t="shared" si="6"/>
        <v>743922.56</v>
      </c>
      <c r="Q20" s="1167"/>
    </row>
    <row r="21" spans="1:17">
      <c r="A21" s="89">
        <f t="shared" si="4"/>
        <v>12</v>
      </c>
      <c r="C21" s="112" t="s">
        <v>64</v>
      </c>
      <c r="E21" s="706">
        <f t="shared" si="2"/>
        <v>5283892.0169999991</v>
      </c>
      <c r="F21" s="855">
        <f t="shared" si="3"/>
        <v>623458.94000000006</v>
      </c>
      <c r="G21" s="54"/>
      <c r="H21" s="75">
        <f t="shared" si="0"/>
        <v>15</v>
      </c>
      <c r="I21" s="972">
        <v>1772265.9069999997</v>
      </c>
      <c r="J21" s="972">
        <v>3511626.1099999994</v>
      </c>
      <c r="K21" s="937">
        <f t="shared" si="5"/>
        <v>5283892.0169999991</v>
      </c>
      <c r="L21" s="506"/>
      <c r="M21" s="75">
        <f t="shared" si="1"/>
        <v>15</v>
      </c>
      <c r="N21" s="972">
        <v>529337.67000000004</v>
      </c>
      <c r="O21" s="972">
        <v>94121.270000000019</v>
      </c>
      <c r="P21" s="937">
        <f t="shared" si="6"/>
        <v>623458.94000000006</v>
      </c>
      <c r="Q21" s="1167"/>
    </row>
    <row r="22" spans="1:17">
      <c r="A22" s="89">
        <f t="shared" si="4"/>
        <v>13</v>
      </c>
      <c r="B22" s="89">
        <v>2019</v>
      </c>
      <c r="C22" s="112" t="s">
        <v>216</v>
      </c>
      <c r="E22" s="707">
        <f t="shared" si="2"/>
        <v>5398698.3969999999</v>
      </c>
      <c r="F22" s="855">
        <f t="shared" si="3"/>
        <v>488585.88000000012</v>
      </c>
      <c r="G22" s="54"/>
      <c r="H22" s="75">
        <f t="shared" si="0"/>
        <v>16</v>
      </c>
      <c r="I22" s="972">
        <v>1977063.2069999995</v>
      </c>
      <c r="J22" s="972">
        <v>3421635.19</v>
      </c>
      <c r="K22" s="937">
        <f t="shared" si="5"/>
        <v>5398698.3969999999</v>
      </c>
      <c r="L22" s="506"/>
      <c r="M22" s="75">
        <f t="shared" si="1"/>
        <v>16</v>
      </c>
      <c r="N22" s="972">
        <v>408001.57000000012</v>
      </c>
      <c r="O22" s="972">
        <v>80584.310000000027</v>
      </c>
      <c r="P22" s="937">
        <f t="shared" si="6"/>
        <v>488585.88000000012</v>
      </c>
      <c r="Q22" s="1167"/>
    </row>
    <row r="23" spans="1:17">
      <c r="A23" s="89">
        <f t="shared" si="4"/>
        <v>14</v>
      </c>
      <c r="E23" s="101"/>
      <c r="F23" s="101"/>
      <c r="G23" s="101"/>
      <c r="H23" s="115"/>
    </row>
    <row r="24" spans="1:17">
      <c r="A24" s="89">
        <f t="shared" si="4"/>
        <v>15</v>
      </c>
      <c r="B24" s="146" t="s">
        <v>941</v>
      </c>
      <c r="C24" s="356"/>
      <c r="E24" s="727">
        <f>ROUND(AVERAGE(E10:E22),0)</f>
        <v>5048023</v>
      </c>
      <c r="F24" s="727">
        <f>ROUND(AVERAGE(F10:F22),0)</f>
        <v>394283</v>
      </c>
      <c r="G24" s="114"/>
      <c r="H24" s="55"/>
    </row>
    <row r="25" spans="1:17">
      <c r="A25" s="89">
        <f t="shared" si="4"/>
        <v>16</v>
      </c>
      <c r="B25" s="146"/>
      <c r="C25" s="356"/>
      <c r="E25" s="55"/>
      <c r="F25" s="55"/>
      <c r="G25" s="114"/>
      <c r="H25" s="55"/>
    </row>
    <row r="26" spans="1:17" ht="13.5" thickBot="1">
      <c r="A26" s="89">
        <f t="shared" si="4"/>
        <v>17</v>
      </c>
      <c r="B26" s="112" t="s">
        <v>144</v>
      </c>
      <c r="E26" s="728">
        <f>E24-E22</f>
        <v>-350675.39699999988</v>
      </c>
      <c r="F26" s="729">
        <f>F24-F22</f>
        <v>-94302.880000000121</v>
      </c>
      <c r="H26" s="186"/>
    </row>
    <row r="27" spans="1:17" ht="13.5" thickTop="1">
      <c r="H27" s="186"/>
    </row>
    <row r="28" spans="1:17">
      <c r="B28" s="956"/>
    </row>
  </sheetData>
  <mergeCells count="2">
    <mergeCell ref="H6:K6"/>
    <mergeCell ref="M6:P6"/>
  </mergeCells>
  <phoneticPr fontId="14" type="noConversion"/>
  <printOptions horizontalCentered="1"/>
  <pageMargins left="0.75" right="0.75" top="1" bottom="1" header="1"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1">
    <pageSetUpPr fitToPage="1"/>
  </sheetPr>
  <dimension ref="A1:O34"/>
  <sheetViews>
    <sheetView workbookViewId="0"/>
  </sheetViews>
  <sheetFormatPr defaultColWidth="9.33203125" defaultRowHeight="12.75"/>
  <cols>
    <col min="1" max="1" width="6.83203125" style="64" customWidth="1"/>
    <col min="2" max="2" width="55.6640625" style="64" bestFit="1" customWidth="1"/>
    <col min="3" max="3" width="15.1640625" style="64" customWidth="1"/>
    <col min="4" max="4" width="10.1640625" style="64" bestFit="1" customWidth="1"/>
    <col min="5" max="5" width="9.33203125" style="64" bestFit="1" customWidth="1"/>
    <col min="6" max="6" width="15" style="443" bestFit="1" customWidth="1"/>
    <col min="7" max="7" width="12.33203125" style="64" bestFit="1" customWidth="1"/>
    <col min="8" max="8" width="11.83203125" style="64" bestFit="1" customWidth="1"/>
    <col min="9" max="9" width="13.6640625" style="64" bestFit="1" customWidth="1"/>
    <col min="10" max="10" width="6.83203125" style="64" customWidth="1"/>
    <col min="11" max="11" width="3.1640625" style="491" bestFit="1" customWidth="1"/>
    <col min="12" max="14" width="18.83203125" style="64" bestFit="1" customWidth="1"/>
    <col min="15" max="16384" width="9.33203125" style="64"/>
  </cols>
  <sheetData>
    <row r="1" spans="1:15">
      <c r="A1" s="25" t="str">
        <f>Company</f>
        <v>BLACK HILLS NEBRASKA GAS, LLC</v>
      </c>
      <c r="B1" s="99"/>
      <c r="C1" s="99"/>
      <c r="D1" s="99"/>
      <c r="E1" s="99"/>
      <c r="F1" s="436"/>
      <c r="G1" s="99"/>
      <c r="H1" s="99"/>
      <c r="I1" s="615" t="s">
        <v>1323</v>
      </c>
      <c r="J1" s="91"/>
      <c r="K1" s="91"/>
    </row>
    <row r="2" spans="1:15">
      <c r="A2" s="92" t="s">
        <v>1492</v>
      </c>
      <c r="B2" s="92"/>
      <c r="C2" s="92"/>
      <c r="D2" s="92"/>
      <c r="E2" s="92"/>
      <c r="F2" s="436"/>
      <c r="G2" s="92"/>
      <c r="H2" s="92"/>
      <c r="I2" s="72" t="str">
        <f>Attach</f>
        <v>FINAL - BH January 15, 2021 Rev. Req. Model</v>
      </c>
    </row>
    <row r="3" spans="1:15">
      <c r="A3" s="70" t="str">
        <f>References!B2</f>
        <v>FOR THE BASE YEAR ENDED DECEMBER 31, 2019</v>
      </c>
      <c r="B3" s="93"/>
      <c r="C3" s="475"/>
      <c r="D3" s="93"/>
      <c r="E3" s="93"/>
      <c r="F3" s="436"/>
      <c r="G3" s="93"/>
      <c r="H3" s="93"/>
      <c r="I3" s="72" t="s">
        <v>776</v>
      </c>
      <c r="J3" s="91"/>
      <c r="K3" s="91"/>
    </row>
    <row r="4" spans="1:15">
      <c r="A4" s="1779"/>
      <c r="B4" s="1779"/>
      <c r="C4" s="1779"/>
      <c r="D4" s="1779"/>
      <c r="E4" s="1779"/>
      <c r="F4" s="1779"/>
      <c r="G4" s="1779"/>
      <c r="H4" s="1779"/>
      <c r="I4" s="94" t="s">
        <v>240</v>
      </c>
    </row>
    <row r="5" spans="1:15">
      <c r="A5" s="1615"/>
      <c r="B5" s="1615"/>
      <c r="C5" s="1615"/>
      <c r="D5" s="1615"/>
      <c r="E5" s="1615"/>
      <c r="F5" s="1615"/>
      <c r="G5" s="1615"/>
      <c r="H5" s="1615"/>
      <c r="I5" s="94"/>
    </row>
    <row r="6" spans="1:15">
      <c r="A6" s="44"/>
      <c r="B6" s="411" t="s">
        <v>199</v>
      </c>
      <c r="C6" s="411" t="s">
        <v>200</v>
      </c>
      <c r="D6" s="411" t="s">
        <v>41</v>
      </c>
      <c r="E6" s="411" t="s">
        <v>202</v>
      </c>
      <c r="F6" s="411" t="s">
        <v>323</v>
      </c>
      <c r="G6" s="411" t="s">
        <v>204</v>
      </c>
      <c r="H6" s="411" t="s">
        <v>205</v>
      </c>
      <c r="I6" s="411" t="s">
        <v>206</v>
      </c>
    </row>
    <row r="7" spans="1:15">
      <c r="A7" s="44"/>
      <c r="B7" s="411"/>
      <c r="C7" s="411"/>
      <c r="D7" s="411"/>
      <c r="E7" s="411"/>
      <c r="F7" s="424" t="s">
        <v>522</v>
      </c>
      <c r="G7" s="411" t="s">
        <v>324</v>
      </c>
      <c r="H7" s="411" t="s">
        <v>520</v>
      </c>
      <c r="I7" s="411" t="s">
        <v>521</v>
      </c>
    </row>
    <row r="8" spans="1:15">
      <c r="A8" s="411" t="s">
        <v>59</v>
      </c>
      <c r="B8" s="44"/>
      <c r="C8" s="42" t="s">
        <v>810</v>
      </c>
      <c r="D8" s="47" t="s">
        <v>232</v>
      </c>
      <c r="E8" s="42" t="s">
        <v>93</v>
      </c>
      <c r="F8" s="437" t="s">
        <v>518</v>
      </c>
      <c r="G8" s="411" t="s">
        <v>121</v>
      </c>
      <c r="H8" s="42"/>
      <c r="I8" s="42"/>
      <c r="K8" s="492">
        <v>1</v>
      </c>
      <c r="L8" s="86" t="str">
        <f>References!$C$17</f>
        <v>Exhibit No. MCC-2 NEG</v>
      </c>
      <c r="M8" s="86" t="str">
        <f>References!$D$17</f>
        <v>Exhibit No. MCC-2 NEGD</v>
      </c>
      <c r="N8" s="86" t="str">
        <f>References!$E$17</f>
        <v>FINAL - BH January 15, 2021 Rev. Req. Model</v>
      </c>
    </row>
    <row r="9" spans="1:15">
      <c r="A9" s="412" t="s">
        <v>195</v>
      </c>
      <c r="B9" s="412" t="s">
        <v>124</v>
      </c>
      <c r="C9" s="412" t="s">
        <v>304</v>
      </c>
      <c r="D9" s="61" t="s">
        <v>125</v>
      </c>
      <c r="E9" s="61" t="s">
        <v>126</v>
      </c>
      <c r="F9" s="444" t="s">
        <v>519</v>
      </c>
      <c r="G9" s="61" t="s">
        <v>122</v>
      </c>
      <c r="H9" s="412" t="s">
        <v>193</v>
      </c>
      <c r="I9" s="412" t="s">
        <v>123</v>
      </c>
      <c r="K9" s="492">
        <f t="shared" ref="K9:K29" si="0">1+K8</f>
        <v>2</v>
      </c>
      <c r="L9" s="75" t="str">
        <f>References!$C$18</f>
        <v>NEG</v>
      </c>
      <c r="M9" s="75" t="str">
        <f>References!$D$18</f>
        <v>NEGD</v>
      </c>
      <c r="N9" s="75" t="str">
        <f>References!$E$18</f>
        <v>Tot Co</v>
      </c>
    </row>
    <row r="10" spans="1:15">
      <c r="F10" s="438"/>
      <c r="K10" s="492">
        <f t="shared" si="0"/>
        <v>3</v>
      </c>
      <c r="L10" s="760"/>
      <c r="M10" s="82"/>
      <c r="N10" s="82"/>
    </row>
    <row r="11" spans="1:15" ht="14.25" customHeight="1">
      <c r="A11" s="176">
        <f>1+A10</f>
        <v>1</v>
      </c>
      <c r="B11" s="52" t="s">
        <v>127</v>
      </c>
      <c r="C11" s="1429"/>
      <c r="F11" s="438"/>
      <c r="G11" s="177"/>
      <c r="K11" s="492">
        <f t="shared" si="0"/>
        <v>4</v>
      </c>
      <c r="L11" s="14"/>
      <c r="M11" s="14"/>
      <c r="N11" s="506"/>
    </row>
    <row r="12" spans="1:15">
      <c r="A12" s="176">
        <f t="shared" ref="A12:A23" si="1">1+A11</f>
        <v>2</v>
      </c>
      <c r="B12" s="64" t="s">
        <v>486</v>
      </c>
      <c r="C12" s="1428">
        <f>HLOOKUP(Attach,$L$8:$AJ$222,K12,FALSE)</f>
        <v>4788843.0999999996</v>
      </c>
      <c r="D12" s="182">
        <v>37.699617363394353</v>
      </c>
      <c r="E12" s="182">
        <v>14</v>
      </c>
      <c r="F12" s="439">
        <f ca="1">(C12/$C$31)*E12</f>
        <v>0.3642166963279827</v>
      </c>
      <c r="G12" s="918">
        <f>+D12-E12</f>
        <v>23.699617363394353</v>
      </c>
      <c r="H12" s="918">
        <f>+G12/365</f>
        <v>6.4930458529847537E-2</v>
      </c>
      <c r="I12" s="49">
        <f>+C12*H12</f>
        <v>310941.77831049648</v>
      </c>
      <c r="K12" s="492">
        <f t="shared" si="0"/>
        <v>5</v>
      </c>
      <c r="L12" s="932">
        <v>2600984.58</v>
      </c>
      <c r="M12" s="932">
        <v>2187858.52</v>
      </c>
      <c r="N12" s="937">
        <f>L12+M12</f>
        <v>4788843.0999999996</v>
      </c>
    </row>
    <row r="13" spans="1:15">
      <c r="A13" s="176">
        <f t="shared" si="1"/>
        <v>3</v>
      </c>
      <c r="B13" s="64" t="s">
        <v>487</v>
      </c>
      <c r="C13" s="1421">
        <f>'Stmt L'!G11</f>
        <v>2264966.2599999984</v>
      </c>
      <c r="D13" s="182">
        <v>37.699617363394353</v>
      </c>
      <c r="E13" s="182">
        <v>14</v>
      </c>
      <c r="F13" s="439">
        <f ca="1">(C13/$C$31)*E13</f>
        <v>0.17226259271504346</v>
      </c>
      <c r="G13" s="918">
        <f>+D13-E13</f>
        <v>23.699617363394353</v>
      </c>
      <c r="H13" s="918">
        <f>+G13/365</f>
        <v>6.4930458529847537E-2</v>
      </c>
      <c r="I13" s="857">
        <f t="shared" ref="I13:I15" si="2">+C13*H13</f>
        <v>147065.29781643377</v>
      </c>
      <c r="K13" s="492">
        <f>1+K12</f>
        <v>6</v>
      </c>
      <c r="L13" s="960"/>
      <c r="M13" s="960"/>
      <c r="N13" s="937">
        <f t="shared" ref="N13:N17" si="3">L13+M13</f>
        <v>0</v>
      </c>
    </row>
    <row r="14" spans="1:15">
      <c r="A14" s="176">
        <f t="shared" si="1"/>
        <v>4</v>
      </c>
      <c r="B14" s="64" t="s">
        <v>128</v>
      </c>
      <c r="C14" s="1421">
        <f>'Sched H-4'!F139-C12-C13</f>
        <v>13460748.640000002</v>
      </c>
      <c r="D14" s="182">
        <v>37.699617363394353</v>
      </c>
      <c r="E14" s="182">
        <v>14</v>
      </c>
      <c r="F14" s="439">
        <f ca="1">(C14/$C$31)*E14</f>
        <v>1.0237607074164088</v>
      </c>
      <c r="G14" s="918">
        <f t="shared" ref="G14:G15" si="4">+D14-E14</f>
        <v>23.699617363394353</v>
      </c>
      <c r="H14" s="918">
        <f>+G14/365</f>
        <v>6.4930458529847537E-2</v>
      </c>
      <c r="I14" s="857">
        <f t="shared" si="2"/>
        <v>874012.58135022176</v>
      </c>
      <c r="K14" s="492">
        <f t="shared" si="0"/>
        <v>7</v>
      </c>
      <c r="L14" s="1168">
        <v>16371761.370000018</v>
      </c>
      <c r="M14" s="1168">
        <v>14651421.930000031</v>
      </c>
      <c r="N14" s="937">
        <f t="shared" si="3"/>
        <v>31023183.300000049</v>
      </c>
    </row>
    <row r="15" spans="1:15">
      <c r="A15" s="176">
        <f t="shared" si="1"/>
        <v>5</v>
      </c>
      <c r="B15" s="64" t="s">
        <v>1277</v>
      </c>
      <c r="C15" s="1192">
        <f>HLOOKUP(Attach,$L$8:$AJ$222,K15,FALSE)</f>
        <v>75442264.220000014</v>
      </c>
      <c r="D15" s="182">
        <v>38.856553936470199</v>
      </c>
      <c r="E15" s="182">
        <v>32.65299692180951</v>
      </c>
      <c r="F15" s="439">
        <f ca="1">(C15/$C$31)*E15</f>
        <v>13.382552890451326</v>
      </c>
      <c r="G15" s="919">
        <f t="shared" si="4"/>
        <v>6.2035570146606887</v>
      </c>
      <c r="H15" s="919">
        <f t="shared" ref="H15" si="5">+G15/365</f>
        <v>1.6996046615508735E-2</v>
      </c>
      <c r="I15" s="857">
        <f t="shared" si="2"/>
        <v>1282220.2394626469</v>
      </c>
      <c r="K15" s="492">
        <f t="shared" si="0"/>
        <v>8</v>
      </c>
      <c r="L15" s="1426">
        <v>75442264.220000014</v>
      </c>
      <c r="M15" s="932"/>
      <c r="N15" s="937">
        <f t="shared" si="3"/>
        <v>75442264.220000014</v>
      </c>
      <c r="O15" s="1259"/>
    </row>
    <row r="16" spans="1:15">
      <c r="A16" s="176">
        <f t="shared" si="1"/>
        <v>6</v>
      </c>
      <c r="B16" s="64" t="s">
        <v>488</v>
      </c>
      <c r="C16" s="1421">
        <f>C17-SUM(C12:C15)</f>
        <v>47110491.779999986</v>
      </c>
      <c r="D16" s="182">
        <v>37.699617363394353</v>
      </c>
      <c r="E16" s="182">
        <v>45.625</v>
      </c>
      <c r="F16" s="439">
        <f ca="1">(C16/$C$31)*E16</f>
        <v>11.67674301174088</v>
      </c>
      <c r="G16" s="919">
        <f>+D16-E16</f>
        <v>-7.9253826366056472</v>
      </c>
      <c r="H16" s="919">
        <f>+G16/365</f>
        <v>-2.1713377086590813E-2</v>
      </c>
      <c r="I16" s="857">
        <f>+C16*H16</f>
        <v>-1022927.8727538766</v>
      </c>
      <c r="K16" s="492">
        <f t="shared" si="0"/>
        <v>9</v>
      </c>
      <c r="L16" s="960"/>
      <c r="M16" s="960"/>
      <c r="N16" s="937">
        <f t="shared" si="3"/>
        <v>0</v>
      </c>
    </row>
    <row r="17" spans="1:15">
      <c r="A17" s="176">
        <f t="shared" si="1"/>
        <v>7</v>
      </c>
      <c r="B17" s="51" t="s">
        <v>268</v>
      </c>
      <c r="C17" s="1422">
        <f>'Stmt M'!I18</f>
        <v>143067314</v>
      </c>
      <c r="D17" s="180"/>
      <c r="E17" s="180"/>
      <c r="F17" s="440"/>
      <c r="G17" s="920"/>
      <c r="H17" s="922"/>
      <c r="I17" s="183">
        <f>SUM(I12:I16)</f>
        <v>1591312.0241859225</v>
      </c>
      <c r="K17" s="492">
        <f t="shared" si="0"/>
        <v>10</v>
      </c>
      <c r="L17" s="960"/>
      <c r="M17" s="960"/>
      <c r="N17" s="937">
        <f t="shared" si="3"/>
        <v>0</v>
      </c>
    </row>
    <row r="18" spans="1:15">
      <c r="A18" s="176">
        <f t="shared" si="1"/>
        <v>8</v>
      </c>
      <c r="C18" s="1423"/>
      <c r="D18" s="182"/>
      <c r="E18" s="182"/>
      <c r="F18" s="441"/>
      <c r="G18" s="921"/>
      <c r="H18" s="923"/>
      <c r="I18" s="178"/>
      <c r="K18" s="492">
        <f t="shared" si="0"/>
        <v>11</v>
      </c>
      <c r="L18" s="82"/>
      <c r="M18" s="82"/>
      <c r="N18" s="506"/>
    </row>
    <row r="19" spans="1:15">
      <c r="A19" s="176">
        <f t="shared" si="1"/>
        <v>9</v>
      </c>
      <c r="B19" s="64" t="s">
        <v>1278</v>
      </c>
      <c r="C19" s="1428">
        <f>HLOOKUP(Attach,$L$8:$AJ$222,K19,FALSE)</f>
        <v>70932490.969999984</v>
      </c>
      <c r="D19" s="182">
        <v>36.126087328058787</v>
      </c>
      <c r="E19" s="182">
        <v>35.063427344626923</v>
      </c>
      <c r="F19" s="439">
        <f ca="1">(C19/$C$31)*E19</f>
        <v>13.511413433999168</v>
      </c>
      <c r="G19" s="918">
        <f>+D19-E19</f>
        <v>1.062659983431864</v>
      </c>
      <c r="H19" s="918">
        <f>+G19/365</f>
        <v>2.911397214881819E-3</v>
      </c>
      <c r="I19" s="49">
        <f>+C19*H19</f>
        <v>206512.65665468771</v>
      </c>
      <c r="K19" s="492">
        <f t="shared" si="0"/>
        <v>12</v>
      </c>
      <c r="L19" s="1168"/>
      <c r="M19" s="1168">
        <v>70932490.969999984</v>
      </c>
      <c r="N19" s="937">
        <f t="shared" ref="N19" si="6">L19+M19</f>
        <v>70932490.969999984</v>
      </c>
    </row>
    <row r="20" spans="1:15">
      <c r="A20" s="176">
        <f t="shared" si="1"/>
        <v>10</v>
      </c>
      <c r="C20" s="1423"/>
      <c r="D20" s="182"/>
      <c r="E20" s="182"/>
      <c r="F20" s="441"/>
      <c r="G20" s="921"/>
      <c r="H20" s="923"/>
      <c r="I20" s="178"/>
      <c r="K20" s="492">
        <f t="shared" si="0"/>
        <v>13</v>
      </c>
      <c r="L20" s="842"/>
      <c r="M20" s="842"/>
      <c r="N20" s="506"/>
    </row>
    <row r="21" spans="1:15">
      <c r="A21" s="176">
        <f t="shared" si="1"/>
        <v>11</v>
      </c>
      <c r="B21" s="52" t="s">
        <v>269</v>
      </c>
      <c r="C21" s="1423"/>
      <c r="D21" s="182"/>
      <c r="E21" s="182"/>
      <c r="F21" s="439"/>
      <c r="G21" s="921"/>
      <c r="H21" s="923"/>
      <c r="I21" s="178"/>
      <c r="K21" s="492">
        <f t="shared" si="0"/>
        <v>14</v>
      </c>
      <c r="L21" s="842"/>
      <c r="M21" s="842"/>
      <c r="N21" s="506"/>
      <c r="O21" s="1259"/>
    </row>
    <row r="22" spans="1:15">
      <c r="A22" s="176">
        <f t="shared" si="1"/>
        <v>12</v>
      </c>
      <c r="B22" s="64" t="s">
        <v>1029</v>
      </c>
      <c r="C22" s="1423">
        <f>'Stmt L'!G35</f>
        <v>3909166.01</v>
      </c>
      <c r="D22" s="182">
        <v>37.699617363394353</v>
      </c>
      <c r="E22" s="182">
        <v>335.80700628517326</v>
      </c>
      <c r="F22" s="439">
        <f ca="1">(C22/$C$31)*E22</f>
        <v>7.1314045506497621</v>
      </c>
      <c r="G22" s="919">
        <f>+D22-E22</f>
        <v>-298.10738892177892</v>
      </c>
      <c r="H22" s="919">
        <f>+G22/365</f>
        <v>-0.81673257238843544</v>
      </c>
      <c r="I22" s="49">
        <f>+C22*H22</f>
        <v>-3192743.2112407363</v>
      </c>
      <c r="K22" s="492">
        <f t="shared" si="0"/>
        <v>15</v>
      </c>
      <c r="L22" s="1168"/>
      <c r="M22" s="1168"/>
      <c r="N22" s="937">
        <f t="shared" ref="N22:N27" si="7">L22+M22</f>
        <v>0</v>
      </c>
    </row>
    <row r="23" spans="1:15">
      <c r="A23" s="176">
        <f t="shared" si="1"/>
        <v>13</v>
      </c>
      <c r="B23" s="64" t="s">
        <v>270</v>
      </c>
      <c r="C23" s="1421">
        <f>'Stmt L'!G11</f>
        <v>2264966.2599999984</v>
      </c>
      <c r="D23" s="182">
        <v>37.699617363394353</v>
      </c>
      <c r="E23" s="182">
        <v>14</v>
      </c>
      <c r="F23" s="439">
        <f t="shared" ref="F23:F26" ca="1" si="8">(C23/$C$31)*E23</f>
        <v>0.17226259271504346</v>
      </c>
      <c r="G23" s="919">
        <f t="shared" ref="G23:G26" si="9">+D23-E23</f>
        <v>23.699617363394353</v>
      </c>
      <c r="H23" s="919">
        <f t="shared" ref="H23:H26" si="10">+G23/365</f>
        <v>6.4930458529847537E-2</v>
      </c>
      <c r="I23" s="209">
        <f>+C23*H23</f>
        <v>147065.29781643377</v>
      </c>
      <c r="K23" s="492">
        <f t="shared" si="0"/>
        <v>16</v>
      </c>
      <c r="L23" s="1168"/>
      <c r="M23" s="1168"/>
      <c r="N23" s="937">
        <f t="shared" si="7"/>
        <v>0</v>
      </c>
    </row>
    <row r="24" spans="1:15">
      <c r="A24" s="176">
        <f t="shared" ref="A24:A31" si="11">1+A23</f>
        <v>14</v>
      </c>
      <c r="B24" s="64" t="s">
        <v>271</v>
      </c>
      <c r="C24" s="1421">
        <f>'Stmt L'!G17+'Stmt L'!G23</f>
        <v>51886.36</v>
      </c>
      <c r="D24" s="182">
        <v>37.699617363394353</v>
      </c>
      <c r="E24" s="182">
        <v>14</v>
      </c>
      <c r="F24" s="439">
        <f t="shared" ca="1" si="8"/>
        <v>3.9462304838687222E-3</v>
      </c>
      <c r="G24" s="919">
        <f t="shared" si="9"/>
        <v>23.699617363394353</v>
      </c>
      <c r="H24" s="919">
        <f t="shared" si="10"/>
        <v>6.4930458529847537E-2</v>
      </c>
      <c r="I24" s="209">
        <f>+C24*H24</f>
        <v>3369.00514624474</v>
      </c>
      <c r="K24" s="492">
        <f t="shared" si="0"/>
        <v>17</v>
      </c>
      <c r="L24" s="1168"/>
      <c r="M24" s="1168"/>
      <c r="N24" s="937">
        <f t="shared" si="7"/>
        <v>0</v>
      </c>
    </row>
    <row r="25" spans="1:15">
      <c r="A25" s="176">
        <f t="shared" si="11"/>
        <v>15</v>
      </c>
      <c r="B25" s="64" t="s">
        <v>489</v>
      </c>
      <c r="C25" s="1192">
        <f>HLOOKUP(Attach,$L$8:$AJ$222,K25,FALSE)</f>
        <v>6969284.7400000002</v>
      </c>
      <c r="D25" s="182">
        <v>37.699617363394353</v>
      </c>
      <c r="E25" s="182">
        <v>65.795387083622899</v>
      </c>
      <c r="F25" s="439">
        <f ca="1">(C25/$C$31)*E25</f>
        <v>2.491063863670762</v>
      </c>
      <c r="G25" s="919">
        <f t="shared" si="9"/>
        <v>-28.095769720228546</v>
      </c>
      <c r="H25" s="919">
        <f t="shared" si="10"/>
        <v>-7.6974711562269996E-2</v>
      </c>
      <c r="I25" s="209">
        <f>+C25*H25</f>
        <v>-536458.68265682983</v>
      </c>
      <c r="K25" s="492">
        <f t="shared" si="0"/>
        <v>18</v>
      </c>
      <c r="L25" s="1168">
        <v>5971411.9800000004</v>
      </c>
      <c r="M25" s="1168">
        <v>997872.75999999989</v>
      </c>
      <c r="N25" s="937">
        <f t="shared" si="7"/>
        <v>6969284.7400000002</v>
      </c>
    </row>
    <row r="26" spans="1:15">
      <c r="A26" s="176">
        <f t="shared" si="11"/>
        <v>16</v>
      </c>
      <c r="B26" s="438" t="s">
        <v>490</v>
      </c>
      <c r="C26" s="1192">
        <f>HLOOKUP(Attach,$L$8:$AJ$222,K26,FALSE)</f>
        <v>18239542.490000002</v>
      </c>
      <c r="D26" s="182">
        <v>37.699617363394353</v>
      </c>
      <c r="E26" s="182">
        <v>35.200000000000003</v>
      </c>
      <c r="F26" s="439">
        <f t="shared" ca="1" si="8"/>
        <v>3.4878500936912351</v>
      </c>
      <c r="G26" s="919">
        <f t="shared" si="9"/>
        <v>2.4996173633943499</v>
      </c>
      <c r="H26" s="919">
        <f t="shared" si="10"/>
        <v>6.8482667490256163E-3</v>
      </c>
      <c r="I26" s="857">
        <f>+C26*H26</f>
        <v>124909.25235170691</v>
      </c>
      <c r="K26" s="492">
        <f t="shared" si="0"/>
        <v>19</v>
      </c>
      <c r="L26" s="1168">
        <v>11318382.220000003</v>
      </c>
      <c r="M26" s="1168">
        <v>6921160.2699999996</v>
      </c>
      <c r="N26" s="937">
        <f t="shared" si="7"/>
        <v>18239542.490000002</v>
      </c>
    </row>
    <row r="27" spans="1:15">
      <c r="A27" s="176">
        <f t="shared" si="11"/>
        <v>17</v>
      </c>
      <c r="B27" s="51" t="s">
        <v>272</v>
      </c>
      <c r="C27" s="1422">
        <f>SUM(C22:C26)</f>
        <v>31434845.859999999</v>
      </c>
      <c r="D27" s="180"/>
      <c r="E27" s="181"/>
      <c r="F27" s="440"/>
      <c r="G27" s="181"/>
      <c r="H27" s="183"/>
      <c r="I27" s="183">
        <f>SUM(I22:I26)</f>
        <v>-3453858.3385831807</v>
      </c>
      <c r="K27" s="492">
        <f t="shared" si="0"/>
        <v>20</v>
      </c>
      <c r="L27" s="1168"/>
      <c r="M27" s="1168"/>
      <c r="N27" s="937">
        <f t="shared" si="7"/>
        <v>0</v>
      </c>
    </row>
    <row r="28" spans="1:15">
      <c r="A28" s="176">
        <f t="shared" si="11"/>
        <v>18</v>
      </c>
      <c r="C28" s="1423"/>
      <c r="D28" s="179"/>
      <c r="E28" s="179"/>
      <c r="G28" s="179"/>
      <c r="I28" s="178"/>
      <c r="K28" s="492">
        <f t="shared" si="0"/>
        <v>21</v>
      </c>
      <c r="L28" s="642"/>
      <c r="M28" s="642"/>
      <c r="N28" s="506"/>
    </row>
    <row r="29" spans="1:15">
      <c r="A29" s="176">
        <f t="shared" si="11"/>
        <v>19</v>
      </c>
      <c r="B29" s="64" t="s">
        <v>1265</v>
      </c>
      <c r="C29" s="1569">
        <f ca="1">+'Stmt K'!E78</f>
        <v>9574528.7595300004</v>
      </c>
      <c r="D29" s="1427">
        <v>37.699617363394353</v>
      </c>
      <c r="E29" s="1427">
        <v>38.5</v>
      </c>
      <c r="F29" s="451">
        <f ca="1">(C29/$C$31)*E29</f>
        <v>2.0025314449447102</v>
      </c>
      <c r="G29" s="452">
        <f>+D29-E29</f>
        <v>-0.80038263660564724</v>
      </c>
      <c r="H29" s="452">
        <f>+G29/365</f>
        <v>-2.1928291413853347E-3</v>
      </c>
      <c r="I29" s="552">
        <f ca="1">+C29*H29</f>
        <v>-20995.305678929366</v>
      </c>
      <c r="K29" s="492">
        <f t="shared" si="0"/>
        <v>22</v>
      </c>
      <c r="L29" s="973"/>
      <c r="M29" s="973"/>
      <c r="N29" s="937">
        <f>L29+M29</f>
        <v>0</v>
      </c>
    </row>
    <row r="30" spans="1:15">
      <c r="A30" s="176">
        <f t="shared" si="11"/>
        <v>20</v>
      </c>
      <c r="C30" s="1383"/>
      <c r="D30" s="182"/>
      <c r="E30" s="182"/>
      <c r="F30" s="439"/>
      <c r="I30" s="178"/>
      <c r="L30" s="148"/>
    </row>
    <row r="31" spans="1:15" ht="13.5" thickBot="1">
      <c r="A31" s="176">
        <f t="shared" si="11"/>
        <v>21</v>
      </c>
      <c r="B31" s="53" t="s">
        <v>273</v>
      </c>
      <c r="C31" s="1424">
        <f ca="1">+C17+C27+C29</f>
        <v>184076688.61953002</v>
      </c>
      <c r="D31" s="449"/>
      <c r="E31" s="184"/>
      <c r="F31" s="442"/>
      <c r="G31" s="184"/>
      <c r="H31" s="184"/>
      <c r="I31" s="695">
        <f ca="1">+I17+I27+I29+I19</f>
        <v>-1677028.9634214998</v>
      </c>
      <c r="L31" s="148"/>
    </row>
    <row r="32" spans="1:15" ht="13.5" thickTop="1">
      <c r="B32" s="44"/>
      <c r="C32" s="1383"/>
      <c r="F32" s="64"/>
      <c r="I32" s="185"/>
    </row>
    <row r="33" spans="3:9">
      <c r="C33" s="1425"/>
      <c r="F33" s="64"/>
      <c r="I33" s="148"/>
    </row>
    <row r="34" spans="3:9">
      <c r="C34" s="1425"/>
      <c r="F34" s="438"/>
      <c r="I34" s="148"/>
    </row>
  </sheetData>
  <mergeCells count="1">
    <mergeCell ref="A4:H4"/>
  </mergeCells>
  <phoneticPr fontId="12" type="noConversion"/>
  <pageMargins left="0.75" right="0.75" top="1" bottom="1" header="1" footer="0.19"/>
  <pageSetup scale="90" orientation="landscape" verticalDpi="9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34"/>
  <sheetViews>
    <sheetView workbookViewId="0"/>
  </sheetViews>
  <sheetFormatPr defaultColWidth="9.33203125" defaultRowHeight="12.75"/>
  <cols>
    <col min="1" max="1" width="6.83203125" style="64" customWidth="1"/>
    <col min="2" max="2" width="55.6640625" style="64" bestFit="1" customWidth="1"/>
    <col min="3" max="3" width="16" style="64" bestFit="1" customWidth="1"/>
    <col min="4" max="4" width="10.1640625" style="64" bestFit="1" customWidth="1"/>
    <col min="5" max="5" width="9.33203125" style="64" bestFit="1" customWidth="1"/>
    <col min="6" max="6" width="15" style="82" bestFit="1" customWidth="1"/>
    <col min="7" max="7" width="12.33203125" style="64" bestFit="1" customWidth="1"/>
    <col min="8" max="8" width="12.1640625" style="64" bestFit="1" customWidth="1"/>
    <col min="9" max="9" width="13.6640625" style="64" bestFit="1" customWidth="1"/>
    <col min="10" max="10" width="9.33203125" style="64"/>
    <col min="11" max="11" width="3.1640625" style="64" bestFit="1" customWidth="1"/>
    <col min="12" max="12" width="21.83203125" style="64" bestFit="1" customWidth="1"/>
    <col min="13" max="13" width="21.33203125" style="64" bestFit="1" customWidth="1"/>
    <col min="14" max="15" width="21.83203125" style="64" bestFit="1" customWidth="1"/>
    <col min="16" max="16" width="22.6640625" style="64" bestFit="1" customWidth="1"/>
    <col min="17" max="17" width="22.1640625" style="64" bestFit="1" customWidth="1"/>
    <col min="18" max="18" width="22.6640625" style="64" bestFit="1" customWidth="1"/>
    <col min="19" max="20" width="21.83203125" style="64" bestFit="1" customWidth="1"/>
    <col min="21" max="22" width="21.33203125" style="64" bestFit="1" customWidth="1"/>
    <col min="23" max="23" width="21.83203125" style="64" bestFit="1" customWidth="1"/>
    <col min="24" max="25" width="22.6640625" style="64" bestFit="1" customWidth="1"/>
    <col min="26" max="26" width="22.33203125" style="64" bestFit="1" customWidth="1"/>
    <col min="27" max="16384" width="9.33203125" style="64"/>
  </cols>
  <sheetData>
    <row r="1" spans="1:13">
      <c r="A1" s="69" t="str">
        <f>Company</f>
        <v>BLACK HILLS NEBRASKA GAS, LLC</v>
      </c>
      <c r="B1" s="91"/>
      <c r="C1" s="91"/>
      <c r="D1" s="91"/>
      <c r="E1" s="91"/>
      <c r="F1" s="342"/>
      <c r="G1" s="91"/>
      <c r="H1" s="91"/>
      <c r="I1" s="615" t="s">
        <v>1323</v>
      </c>
    </row>
    <row r="2" spans="1:13">
      <c r="A2" s="92" t="s">
        <v>1493</v>
      </c>
      <c r="B2" s="90"/>
      <c r="C2" s="90"/>
      <c r="D2" s="90"/>
      <c r="E2" s="90"/>
      <c r="F2" s="342"/>
      <c r="G2" s="90"/>
      <c r="H2" s="90"/>
      <c r="I2" s="72" t="str">
        <f>Attach</f>
        <v>FINAL - BH January 15, 2021 Rev. Req. Model</v>
      </c>
    </row>
    <row r="3" spans="1:13">
      <c r="A3" s="70" t="str">
        <f>TYEnded</f>
        <v>FOR THE TEST YEAR ENDING DECEMBER 31, 2020</v>
      </c>
      <c r="B3" s="91"/>
      <c r="C3" s="91"/>
      <c r="D3" s="91"/>
      <c r="E3" s="91"/>
      <c r="F3" s="342"/>
      <c r="G3" s="91"/>
      <c r="H3" s="91"/>
      <c r="I3" s="72" t="s">
        <v>776</v>
      </c>
    </row>
    <row r="4" spans="1:13">
      <c r="I4" s="94" t="s">
        <v>239</v>
      </c>
    </row>
    <row r="5" spans="1:13">
      <c r="I5" s="94"/>
    </row>
    <row r="6" spans="1:13">
      <c r="A6" s="44"/>
      <c r="B6" s="411" t="s">
        <v>199</v>
      </c>
      <c r="C6" s="411" t="s">
        <v>200</v>
      </c>
      <c r="D6" s="411" t="s">
        <v>41</v>
      </c>
      <c r="E6" s="411" t="s">
        <v>202</v>
      </c>
      <c r="F6" s="411" t="s">
        <v>323</v>
      </c>
      <c r="G6" s="411" t="s">
        <v>204</v>
      </c>
      <c r="H6" s="411" t="s">
        <v>205</v>
      </c>
      <c r="I6" s="411" t="s">
        <v>206</v>
      </c>
    </row>
    <row r="7" spans="1:13">
      <c r="A7" s="44"/>
      <c r="B7" s="411"/>
      <c r="C7" s="411" t="s">
        <v>816</v>
      </c>
      <c r="D7" s="411"/>
      <c r="E7" s="411"/>
      <c r="F7" s="424" t="s">
        <v>522</v>
      </c>
      <c r="G7" s="411" t="s">
        <v>324</v>
      </c>
      <c r="H7" s="411" t="s">
        <v>520</v>
      </c>
      <c r="I7" s="411" t="s">
        <v>521</v>
      </c>
    </row>
    <row r="8" spans="1:13">
      <c r="A8" s="411" t="s">
        <v>59</v>
      </c>
      <c r="B8" s="42"/>
      <c r="C8" s="42" t="s">
        <v>811</v>
      </c>
      <c r="D8" s="47" t="s">
        <v>232</v>
      </c>
      <c r="E8" s="42" t="s">
        <v>93</v>
      </c>
      <c r="F8" s="448" t="s">
        <v>518</v>
      </c>
      <c r="G8" s="411" t="s">
        <v>121</v>
      </c>
      <c r="H8" s="44"/>
      <c r="I8" s="44"/>
    </row>
    <row r="9" spans="1:13">
      <c r="A9" s="412" t="s">
        <v>195</v>
      </c>
      <c r="B9" s="412" t="s">
        <v>124</v>
      </c>
      <c r="C9" s="412" t="s">
        <v>304</v>
      </c>
      <c r="D9" s="61" t="s">
        <v>125</v>
      </c>
      <c r="E9" s="61" t="s">
        <v>126</v>
      </c>
      <c r="F9" s="426" t="s">
        <v>519</v>
      </c>
      <c r="G9" s="61" t="s">
        <v>122</v>
      </c>
      <c r="H9" s="412" t="s">
        <v>193</v>
      </c>
      <c r="I9" s="412" t="s">
        <v>123</v>
      </c>
    </row>
    <row r="11" spans="1:13" ht="12" customHeight="1">
      <c r="A11" s="176">
        <f>1+A10</f>
        <v>1</v>
      </c>
      <c r="B11" s="52" t="s">
        <v>127</v>
      </c>
      <c r="C11" s="178"/>
      <c r="G11" s="924"/>
      <c r="L11" s="64" t="s">
        <v>1376</v>
      </c>
    </row>
    <row r="12" spans="1:13" ht="12" customHeight="1">
      <c r="A12" s="176">
        <f t="shared" ref="A12:A22" si="0">1+A11</f>
        <v>2</v>
      </c>
      <c r="B12" s="64" t="s">
        <v>1371</v>
      </c>
      <c r="C12" s="1188">
        <f>('Sched F-2 Pg 1'!C12/'Sched H-4'!F139)*'Sched H-4'!H139</f>
        <v>5351253.0759459352</v>
      </c>
      <c r="D12" s="1430">
        <f>'Sched F-2 Pg 1'!D12</f>
        <v>37.699617363394353</v>
      </c>
      <c r="E12" s="1430">
        <f>+'Sched F-2 Pg 1'!E12</f>
        <v>14</v>
      </c>
      <c r="F12" s="445">
        <f ca="1">(C12/$C$31)*E12</f>
        <v>0.39476417285468296</v>
      </c>
      <c r="G12" s="1431">
        <f t="shared" ref="G12:G14" si="1">+D12-E12</f>
        <v>23.699617363394353</v>
      </c>
      <c r="H12" s="1430">
        <f t="shared" ref="H12:H14" si="2">+G12/365</f>
        <v>6.4930458529847537E-2</v>
      </c>
      <c r="I12" s="1432">
        <f t="shared" ref="I12:I14" si="3">+C12*H12</f>
        <v>347459.31593042664</v>
      </c>
      <c r="L12" s="857">
        <f>'Sched F-2 Pg 1'!C12</f>
        <v>4788843.0999999996</v>
      </c>
      <c r="M12" s="64" t="s">
        <v>1372</v>
      </c>
    </row>
    <row r="13" spans="1:13" ht="12" customHeight="1">
      <c r="A13" s="176">
        <f t="shared" si="0"/>
        <v>3</v>
      </c>
      <c r="B13" s="64" t="s">
        <v>487</v>
      </c>
      <c r="C13" s="1186">
        <f>'Stmt L'!G14</f>
        <v>2412941.167860203</v>
      </c>
      <c r="D13" s="1430">
        <f>'Sched F-2 Pg 1'!D13</f>
        <v>37.699617363394353</v>
      </c>
      <c r="E13" s="1430">
        <f>+'Sched F-2 Pg 1'!E13</f>
        <v>14</v>
      </c>
      <c r="F13" s="445">
        <f ca="1">(C13/$C$31)*E13</f>
        <v>0.17800367703763775</v>
      </c>
      <c r="G13" s="1431">
        <f>+D13-E13</f>
        <v>23.699617363394353</v>
      </c>
      <c r="H13" s="1430">
        <f t="shared" si="2"/>
        <v>6.4930458529847537E-2</v>
      </c>
      <c r="I13" s="1190">
        <f t="shared" si="3"/>
        <v>156673.3764347088</v>
      </c>
      <c r="L13" s="1453">
        <f>'Sched H-4'!F139</f>
        <v>20514558</v>
      </c>
      <c r="M13" s="64" t="s">
        <v>1373</v>
      </c>
    </row>
    <row r="14" spans="1:13" ht="12" customHeight="1">
      <c r="A14" s="176">
        <f t="shared" si="0"/>
        <v>4</v>
      </c>
      <c r="B14" s="64" t="s">
        <v>128</v>
      </c>
      <c r="C14" s="1421">
        <f>'Sched H-4'!H139-C13-C12</f>
        <v>15159628.756193861</v>
      </c>
      <c r="D14" s="1430">
        <f>'Sched F-2 Pg 1'!D14</f>
        <v>37.699617363394353</v>
      </c>
      <c r="E14" s="1430">
        <f>+'Sched F-2 Pg 1'!E14</f>
        <v>14</v>
      </c>
      <c r="F14" s="445">
        <f ca="1">(C14/$C$31)*E14</f>
        <v>1.1183321404893687</v>
      </c>
      <c r="G14" s="1433">
        <f t="shared" si="1"/>
        <v>23.699617363394353</v>
      </c>
      <c r="H14" s="1434">
        <f t="shared" si="2"/>
        <v>6.4930458529847537E-2</v>
      </c>
      <c r="I14" s="1190">
        <f t="shared" si="3"/>
        <v>984321.64628192969</v>
      </c>
      <c r="L14" s="471">
        <f>L12/L13</f>
        <v>0.23343632848438653</v>
      </c>
    </row>
    <row r="15" spans="1:13">
      <c r="A15" s="176">
        <f t="shared" si="0"/>
        <v>5</v>
      </c>
      <c r="B15" s="64" t="s">
        <v>1277</v>
      </c>
      <c r="C15" s="1421">
        <f>'Sched F-2 Pg 1'!C15</f>
        <v>75442264.220000014</v>
      </c>
      <c r="D15" s="1430">
        <f>'Sched F-2 Pg 1'!D15</f>
        <v>38.856553936470199</v>
      </c>
      <c r="E15" s="1430">
        <f>+'Sched F-2 Pg 1'!E15</f>
        <v>32.65299692180951</v>
      </c>
      <c r="F15" s="445">
        <f ca="1">(C15/$C$31)*E15</f>
        <v>12.980516289012295</v>
      </c>
      <c r="G15" s="1433">
        <f>+D15-E15</f>
        <v>6.2035570146606887</v>
      </c>
      <c r="H15" s="1434">
        <f>+G15/365</f>
        <v>1.6996046615508735E-2</v>
      </c>
      <c r="I15" s="1190">
        <f>+C15*H15</f>
        <v>1282220.2394626469</v>
      </c>
      <c r="L15" s="1453">
        <f>'Sched H-4'!H139</f>
        <v>22923823</v>
      </c>
      <c r="M15" s="64" t="s">
        <v>1374</v>
      </c>
    </row>
    <row r="16" spans="1:13">
      <c r="A16" s="176">
        <f t="shared" si="0"/>
        <v>6</v>
      </c>
      <c r="B16" s="64" t="s">
        <v>488</v>
      </c>
      <c r="C16" s="1421">
        <f ca="1">C17-SUM(C12:C15)</f>
        <v>50421631.779999986</v>
      </c>
      <c r="D16" s="1430">
        <f>'Sched F-2 Pg 1'!D16</f>
        <v>37.699617363394353</v>
      </c>
      <c r="E16" s="1430">
        <f>+'Sched F-2 Pg 1'!E16</f>
        <v>45.625</v>
      </c>
      <c r="F16" s="445">
        <f ca="1">(C16/$C$31)*E16</f>
        <v>12.121991603466045</v>
      </c>
      <c r="G16" s="1433">
        <f>+D16-E16</f>
        <v>-7.9253826366056472</v>
      </c>
      <c r="H16" s="1434">
        <f>+G16/365</f>
        <v>-2.1713377086590813E-2</v>
      </c>
      <c r="I16" s="1190">
        <f ca="1">+C16*H16</f>
        <v>-1094823.9041603708</v>
      </c>
      <c r="L16" s="64">
        <f>L14*L15</f>
        <v>5351253.0759459352</v>
      </c>
      <c r="M16" s="64" t="s">
        <v>1375</v>
      </c>
    </row>
    <row r="17" spans="1:9">
      <c r="A17" s="176">
        <f t="shared" si="0"/>
        <v>7</v>
      </c>
      <c r="B17" s="51" t="s">
        <v>268</v>
      </c>
      <c r="C17" s="1422">
        <f ca="1">'Stmt H'!U173-'Stmt H'!J173</f>
        <v>148787719</v>
      </c>
      <c r="D17" s="1435"/>
      <c r="E17" s="1435"/>
      <c r="F17" s="446"/>
      <c r="G17" s="1436"/>
      <c r="H17" s="1437"/>
      <c r="I17" s="1438">
        <f ca="1">SUM(I12:I16)</f>
        <v>1675850.6739493415</v>
      </c>
    </row>
    <row r="18" spans="1:9">
      <c r="A18" s="176">
        <f t="shared" si="0"/>
        <v>8</v>
      </c>
      <c r="C18" s="1383"/>
      <c r="D18" s="1430"/>
      <c r="E18" s="1430"/>
      <c r="G18" s="1433"/>
      <c r="H18" s="1434"/>
      <c r="I18" s="1439"/>
    </row>
    <row r="19" spans="1:9">
      <c r="A19" s="176">
        <f t="shared" si="0"/>
        <v>9</v>
      </c>
      <c r="B19" s="64" t="s">
        <v>1278</v>
      </c>
      <c r="C19" s="1188">
        <f>'Sched F-2 Pg 1'!C19</f>
        <v>70932490.969999984</v>
      </c>
      <c r="D19" s="1430">
        <f>'Sched F-2 Pg 1'!D19</f>
        <v>36.126087328058787</v>
      </c>
      <c r="E19" s="1430">
        <f>+'Sched F-2 Pg 1'!E19</f>
        <v>35.063427344626923</v>
      </c>
      <c r="F19" s="445">
        <f ca="1">(C19/$C$31)*E19</f>
        <v>13.105505623874345</v>
      </c>
      <c r="G19" s="1431">
        <f t="shared" ref="G19" si="4">+D19-E19</f>
        <v>1.062659983431864</v>
      </c>
      <c r="H19" s="1430">
        <f t="shared" ref="H19" si="5">+G19/365</f>
        <v>2.911397214881819E-3</v>
      </c>
      <c r="I19" s="1432">
        <f t="shared" ref="I19" si="6">+C19*H19</f>
        <v>206512.65665468771</v>
      </c>
    </row>
    <row r="20" spans="1:9">
      <c r="A20" s="176">
        <f t="shared" si="0"/>
        <v>10</v>
      </c>
      <c r="C20" s="1383"/>
      <c r="D20" s="1430"/>
      <c r="E20" s="1430"/>
      <c r="G20" s="1433"/>
      <c r="H20" s="1434"/>
      <c r="I20" s="1439"/>
    </row>
    <row r="21" spans="1:9">
      <c r="A21" s="176">
        <f t="shared" si="0"/>
        <v>11</v>
      </c>
      <c r="B21" s="52" t="s">
        <v>269</v>
      </c>
      <c r="C21" s="1383"/>
      <c r="D21" s="1430"/>
      <c r="E21" s="1430"/>
      <c r="G21" s="1433"/>
      <c r="H21" s="1434"/>
      <c r="I21" s="1439"/>
    </row>
    <row r="22" spans="1:9">
      <c r="A22" s="176">
        <f t="shared" si="0"/>
        <v>12</v>
      </c>
      <c r="B22" s="64" t="str">
        <f>'Sched F-2 Pg 1'!B22</f>
        <v>Property Taxes</v>
      </c>
      <c r="C22" s="1423">
        <f>'Stmt L'!G38</f>
        <v>4699301.969868673</v>
      </c>
      <c r="D22" s="1430">
        <f>'Sched F-2 Pg 1'!D22</f>
        <v>37.699617363394353</v>
      </c>
      <c r="E22" s="1430">
        <f>+'Sched F-2 Pg 1'!E22</f>
        <v>335.80700628517326</v>
      </c>
      <c r="F22" s="445">
        <f ca="1">(C22/$C$31)*E22</f>
        <v>8.3152882931404086</v>
      </c>
      <c r="G22" s="1433">
        <f>+D22-E22</f>
        <v>-298.10738892177892</v>
      </c>
      <c r="H22" s="1434">
        <f>+G22/365</f>
        <v>-0.81673257238843544</v>
      </c>
      <c r="I22" s="683">
        <f>+C22*H22</f>
        <v>-3838072.9862808832</v>
      </c>
    </row>
    <row r="23" spans="1:9">
      <c r="A23" s="176">
        <f t="shared" ref="A23:A31" si="7">1+A22</f>
        <v>13</v>
      </c>
      <c r="B23" s="64" t="s">
        <v>270</v>
      </c>
      <c r="C23" s="1421">
        <f>C13</f>
        <v>2412941.167860203</v>
      </c>
      <c r="D23" s="1430">
        <f>'Sched F-2 Pg 1'!D23</f>
        <v>37.699617363394353</v>
      </c>
      <c r="E23" s="1430">
        <f>+'Sched F-2 Pg 1'!E23</f>
        <v>14</v>
      </c>
      <c r="F23" s="445">
        <f t="shared" ref="F23:F26" ca="1" si="8">(C23/$C$31)*E23</f>
        <v>0.17800367703763775</v>
      </c>
      <c r="G23" s="1433">
        <f>+D23-E23</f>
        <v>23.699617363394353</v>
      </c>
      <c r="H23" s="1434">
        <f>+G23/365</f>
        <v>6.4930458529847537E-2</v>
      </c>
      <c r="I23" s="805">
        <f t="shared" ref="I23:I26" si="9">+C23*H23</f>
        <v>156673.3764347088</v>
      </c>
    </row>
    <row r="24" spans="1:9">
      <c r="A24" s="176">
        <f t="shared" si="7"/>
        <v>14</v>
      </c>
      <c r="B24" s="64" t="s">
        <v>271</v>
      </c>
      <c r="C24" s="1421">
        <f>'Stmt L'!G20+'Stmt L'!G26</f>
        <v>51886.36</v>
      </c>
      <c r="D24" s="1430">
        <f>'Sched F-2 Pg 1'!D24</f>
        <v>37.699617363394353</v>
      </c>
      <c r="E24" s="1430">
        <f>+'Sched F-2 Pg 1'!E24</f>
        <v>14</v>
      </c>
      <c r="F24" s="445">
        <f t="shared" ca="1" si="8"/>
        <v>3.8276784329097672E-3</v>
      </c>
      <c r="G24" s="1433">
        <f>+D24-E24</f>
        <v>23.699617363394353</v>
      </c>
      <c r="H24" s="1434">
        <f>+G24/365</f>
        <v>6.4930458529847537E-2</v>
      </c>
      <c r="I24" s="805">
        <f t="shared" si="9"/>
        <v>3369.00514624474</v>
      </c>
    </row>
    <row r="25" spans="1:9">
      <c r="A25" s="176">
        <f t="shared" si="7"/>
        <v>15</v>
      </c>
      <c r="B25" s="64" t="s">
        <v>489</v>
      </c>
      <c r="C25" s="1421">
        <f>'Sched F-2 Pg 1'!C25</f>
        <v>6969284.7400000002</v>
      </c>
      <c r="D25" s="1430">
        <f>'Sched F-2 Pg 1'!D25</f>
        <v>37.699617363394353</v>
      </c>
      <c r="E25" s="1430">
        <f>+'Sched F-2 Pg 1'!E25</f>
        <v>65.795387083622899</v>
      </c>
      <c r="F25" s="445">
        <f t="shared" ca="1" si="8"/>
        <v>2.4162277051353924</v>
      </c>
      <c r="G25" s="1433">
        <f>+D25-E25</f>
        <v>-28.095769720228546</v>
      </c>
      <c r="H25" s="1434">
        <f>+G25/365</f>
        <v>-7.6974711562269996E-2</v>
      </c>
      <c r="I25" s="805">
        <f t="shared" si="9"/>
        <v>-536458.68265682983</v>
      </c>
    </row>
    <row r="26" spans="1:9">
      <c r="A26" s="176">
        <f t="shared" si="7"/>
        <v>16</v>
      </c>
      <c r="B26" s="64" t="s">
        <v>490</v>
      </c>
      <c r="C26" s="1421">
        <f>'Sched F-2 Pg 1'!C26</f>
        <v>18239542.490000002</v>
      </c>
      <c r="D26" s="1430">
        <f>'Sched F-2 Pg 1'!D26</f>
        <v>37.699617363394353</v>
      </c>
      <c r="E26" s="1430">
        <f>'Sched F-2 Pg 1'!E26</f>
        <v>35.200000000000003</v>
      </c>
      <c r="F26" s="445">
        <f t="shared" ca="1" si="8"/>
        <v>3.3830686361117204</v>
      </c>
      <c r="G26" s="1433">
        <f>+D26-E26</f>
        <v>2.4996173633943499</v>
      </c>
      <c r="H26" s="1434">
        <f>+G26/365</f>
        <v>6.8482667490256163E-3</v>
      </c>
      <c r="I26" s="805">
        <f t="shared" si="9"/>
        <v>124909.25235170691</v>
      </c>
    </row>
    <row r="27" spans="1:9">
      <c r="A27" s="176">
        <f t="shared" si="7"/>
        <v>17</v>
      </c>
      <c r="B27" s="51" t="s">
        <v>272</v>
      </c>
      <c r="C27" s="1422">
        <f>SUM(C22:C26)</f>
        <v>32372956.727728877</v>
      </c>
      <c r="D27" s="1435"/>
      <c r="E27" s="1440"/>
      <c r="F27" s="446"/>
      <c r="G27" s="1441"/>
      <c r="H27" s="1438"/>
      <c r="I27" s="1442">
        <f>SUM(I22:I26)</f>
        <v>-4089580.0350050526</v>
      </c>
    </row>
    <row r="28" spans="1:9">
      <c r="A28" s="176">
        <f t="shared" si="7"/>
        <v>18</v>
      </c>
      <c r="C28" s="1423"/>
      <c r="D28" s="1443"/>
      <c r="E28" s="1443"/>
      <c r="G28" s="1444"/>
      <c r="H28" s="1383"/>
      <c r="I28" s="1439"/>
    </row>
    <row r="29" spans="1:9">
      <c r="A29" s="176">
        <f t="shared" si="7"/>
        <v>19</v>
      </c>
      <c r="B29" s="64" t="s">
        <v>1265</v>
      </c>
      <c r="C29" s="1569">
        <f ca="1">+'Stmt K'!I78</f>
        <v>8617293.5380410012</v>
      </c>
      <c r="D29" s="1445">
        <f>'Sched F-2 Pg 1'!D29</f>
        <v>37.699617363394353</v>
      </c>
      <c r="E29" s="1445">
        <f>+'Sched F-2 Pg 1'!E29</f>
        <v>38.5</v>
      </c>
      <c r="F29" s="453">
        <f ca="1">(C29/$C$31)*E29</f>
        <v>1.7481786874321821</v>
      </c>
      <c r="G29" s="1446">
        <f>+D29-E29</f>
        <v>-0.80038263660564724</v>
      </c>
      <c r="H29" s="1447">
        <f>+G29/365</f>
        <v>-2.1928291413853347E-3</v>
      </c>
      <c r="I29" s="1448">
        <f ca="1">+C29*H29</f>
        <v>-18896.25239008784</v>
      </c>
    </row>
    <row r="30" spans="1:9">
      <c r="A30" s="176">
        <f t="shared" si="7"/>
        <v>20</v>
      </c>
      <c r="C30" s="1383"/>
      <c r="D30" s="1430"/>
      <c r="E30" s="1430"/>
      <c r="G30" s="1449"/>
      <c r="H30" s="1383"/>
      <c r="I30" s="1439"/>
    </row>
    <row r="31" spans="1:9" ht="13.5" thickBot="1">
      <c r="A31" s="176">
        <f t="shared" si="7"/>
        <v>21</v>
      </c>
      <c r="B31" s="53" t="s">
        <v>273</v>
      </c>
      <c r="C31" s="1424">
        <f ca="1">+C17+C27+C29</f>
        <v>189777969.26576987</v>
      </c>
      <c r="D31" s="1450"/>
      <c r="E31" s="1451"/>
      <c r="F31" s="447"/>
      <c r="G31" s="1451"/>
      <c r="H31" s="1451"/>
      <c r="I31" s="1424">
        <f ca="1">+I17+I27+I29+I19</f>
        <v>-2226112.9567911117</v>
      </c>
    </row>
    <row r="32" spans="1:9" ht="13.5" thickTop="1">
      <c r="F32" s="81"/>
    </row>
    <row r="33" spans="2:3">
      <c r="B33" s="64" t="s">
        <v>1512</v>
      </c>
      <c r="C33" s="148"/>
    </row>
    <row r="34" spans="2:3">
      <c r="B34" s="64" t="s">
        <v>1513</v>
      </c>
    </row>
  </sheetData>
  <phoneticPr fontId="12" type="noConversion"/>
  <pageMargins left="0.75" right="0.75" top="1" bottom="1" header="1" footer="0.19"/>
  <pageSetup scale="89"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9">
    <pageSetUpPr fitToPage="1"/>
  </sheetPr>
  <dimension ref="A1:L32"/>
  <sheetViews>
    <sheetView workbookViewId="0"/>
  </sheetViews>
  <sheetFormatPr defaultColWidth="9.33203125" defaultRowHeight="12.75"/>
  <cols>
    <col min="1" max="1" width="6.83203125" style="8" customWidth="1"/>
    <col min="2" max="2" width="62" style="8" bestFit="1" customWidth="1"/>
    <col min="3" max="3" width="15.33203125" style="8" customWidth="1"/>
    <col min="4" max="4" width="18.83203125" style="8" customWidth="1"/>
    <col min="5" max="5" width="18.83203125" style="8" bestFit="1" customWidth="1"/>
    <col min="6" max="6" width="11.83203125" style="8" customWidth="1"/>
    <col min="7" max="7" width="24.83203125" style="8" bestFit="1" customWidth="1"/>
    <col min="8" max="8" width="3.33203125" style="8" customWidth="1"/>
    <col min="9" max="9" width="4.33203125" style="8" customWidth="1"/>
    <col min="10" max="11" width="12.1640625" style="66" bestFit="1" customWidth="1"/>
    <col min="12" max="12" width="12.83203125" style="66" customWidth="1"/>
    <col min="13" max="16384" width="9.33203125" style="66"/>
  </cols>
  <sheetData>
    <row r="1" spans="1:12">
      <c r="A1" s="25" t="str">
        <f>Company</f>
        <v>BLACK HILLS NEBRASKA GAS, LLC</v>
      </c>
      <c r="B1" s="23"/>
      <c r="C1" s="23"/>
      <c r="D1" s="25"/>
      <c r="E1" s="25"/>
      <c r="F1" s="25"/>
      <c r="G1" s="615" t="s">
        <v>1319</v>
      </c>
      <c r="H1" s="69"/>
      <c r="I1" s="69"/>
    </row>
    <row r="2" spans="1:12">
      <c r="A2" s="25" t="s">
        <v>477</v>
      </c>
      <c r="B2" s="23"/>
      <c r="C2" s="23"/>
      <c r="D2" s="25"/>
      <c r="E2" s="25"/>
      <c r="F2" s="25"/>
      <c r="G2" s="615" t="str">
        <f>Attach</f>
        <v>FINAL - BH January 15, 2021 Rev. Req. Model</v>
      </c>
      <c r="H2" s="69"/>
      <c r="I2" s="69"/>
    </row>
    <row r="3" spans="1:12">
      <c r="A3" s="70" t="str">
        <f>TYEnded</f>
        <v>FOR THE TEST YEAR ENDING DECEMBER 31, 2020</v>
      </c>
      <c r="B3" s="23"/>
      <c r="C3" s="23"/>
      <c r="D3" s="210"/>
      <c r="E3" s="210"/>
      <c r="F3" s="210"/>
      <c r="G3" s="615" t="s">
        <v>802</v>
      </c>
      <c r="H3" s="95"/>
      <c r="I3" s="95"/>
    </row>
    <row r="4" spans="1:12" ht="14.25">
      <c r="A4" s="1378"/>
      <c r="B4" s="23"/>
      <c r="C4" s="660"/>
      <c r="D4" s="660"/>
      <c r="E4" s="660"/>
      <c r="F4" s="660"/>
      <c r="H4" s="6"/>
      <c r="I4" s="6"/>
    </row>
    <row r="5" spans="1:12" ht="14.25">
      <c r="A5" s="20"/>
      <c r="B5" s="20"/>
      <c r="C5" s="660"/>
      <c r="D5" s="660" t="s">
        <v>199</v>
      </c>
      <c r="E5" s="660" t="s">
        <v>200</v>
      </c>
      <c r="F5" s="661" t="s">
        <v>41</v>
      </c>
      <c r="G5" s="660" t="s">
        <v>202</v>
      </c>
    </row>
    <row r="6" spans="1:12">
      <c r="A6" s="20"/>
      <c r="B6" s="20"/>
      <c r="C6" s="20"/>
      <c r="D6" s="15"/>
      <c r="E6" s="15"/>
      <c r="F6" s="15"/>
      <c r="G6" s="15" t="s">
        <v>500</v>
      </c>
      <c r="I6" s="22"/>
    </row>
    <row r="7" spans="1:12" s="175" customFormat="1" ht="25.5">
      <c r="A7" s="381" t="s">
        <v>117</v>
      </c>
      <c r="B7" s="381" t="s">
        <v>196</v>
      </c>
      <c r="C7" s="812"/>
      <c r="D7" s="381" t="s">
        <v>286</v>
      </c>
      <c r="E7" s="381" t="s">
        <v>252</v>
      </c>
      <c r="F7" s="381" t="s">
        <v>290</v>
      </c>
      <c r="G7" s="381" t="s">
        <v>291</v>
      </c>
      <c r="H7" s="174"/>
      <c r="I7" s="82">
        <v>1</v>
      </c>
      <c r="J7" s="86" t="str">
        <f>References!$C$17</f>
        <v>Exhibit No. MCC-2 NEG</v>
      </c>
      <c r="K7" s="86" t="str">
        <f>References!$D$17</f>
        <v>Exhibit No. MCC-2 NEGD</v>
      </c>
      <c r="L7" s="86" t="str">
        <f>References!$E$17</f>
        <v>FINAL - BH January 15, 2021 Rev. Req. Model</v>
      </c>
    </row>
    <row r="8" spans="1:12" s="175" customFormat="1">
      <c r="A8" s="120">
        <v>1</v>
      </c>
      <c r="B8" s="20" t="s">
        <v>978</v>
      </c>
      <c r="C8" s="981"/>
      <c r="D8" s="351"/>
      <c r="E8" s="351"/>
      <c r="F8" s="351"/>
      <c r="G8" s="351"/>
      <c r="H8" s="174"/>
      <c r="I8" s="82">
        <f>I7+1</f>
        <v>2</v>
      </c>
      <c r="J8" s="82" t="str">
        <f>References!$C$18</f>
        <v>NEG</v>
      </c>
      <c r="K8" s="82" t="str">
        <f>References!$D$18</f>
        <v>NEGD</v>
      </c>
      <c r="L8" s="82" t="str">
        <f>References!$E$18</f>
        <v>Tot Co</v>
      </c>
    </row>
    <row r="9" spans="1:12" s="175" customFormat="1">
      <c r="A9" s="120">
        <f>A8+1</f>
        <v>2</v>
      </c>
      <c r="B9" s="23" t="s">
        <v>453</v>
      </c>
      <c r="C9" s="981"/>
      <c r="D9" s="816">
        <f>HLOOKUP(Attach, $J$7:$L$16,I9,FALSE)</f>
        <v>208250000</v>
      </c>
      <c r="E9" s="817">
        <f>D9/$D$12</f>
        <v>0.48421719907171201</v>
      </c>
      <c r="F9" s="817">
        <f>'Sched G-1'!N19</f>
        <v>4.3499999999999997E-2</v>
      </c>
      <c r="G9" s="818">
        <f t="shared" ref="G9:G11" si="0">ROUND(E9*F9,4)</f>
        <v>2.1100000000000001E-2</v>
      </c>
      <c r="H9" s="174"/>
      <c r="I9" s="82">
        <f t="shared" ref="I9:I16" si="1">I8+1</f>
        <v>3</v>
      </c>
      <c r="J9" s="940">
        <v>112500000</v>
      </c>
      <c r="K9" s="940">
        <v>95750000</v>
      </c>
      <c r="L9" s="937">
        <f>J9+K9</f>
        <v>208250000</v>
      </c>
    </row>
    <row r="10" spans="1:12" s="175" customFormat="1">
      <c r="A10" s="120">
        <f t="shared" ref="A10:A28" si="2">A9+1</f>
        <v>3</v>
      </c>
      <c r="B10" s="23" t="s">
        <v>977</v>
      </c>
      <c r="C10" s="981"/>
      <c r="D10" s="840">
        <v>0</v>
      </c>
      <c r="E10" s="817">
        <f t="shared" ref="E10:E11" si="3">D10/$D$12</f>
        <v>0</v>
      </c>
      <c r="F10" s="817">
        <v>0</v>
      </c>
      <c r="G10" s="818">
        <f t="shared" si="0"/>
        <v>0</v>
      </c>
      <c r="H10" s="174"/>
      <c r="I10" s="82">
        <f t="shared" si="1"/>
        <v>4</v>
      </c>
    </row>
    <row r="11" spans="1:12" s="175" customFormat="1">
      <c r="A11" s="120">
        <f t="shared" si="2"/>
        <v>4</v>
      </c>
      <c r="B11" s="23" t="s">
        <v>1296</v>
      </c>
      <c r="C11" s="981"/>
      <c r="D11" s="1360">
        <f>HLOOKUP(Attach,$J$7:$L$16,I11,FALSE)</f>
        <v>221825595</v>
      </c>
      <c r="E11" s="817">
        <f t="shared" si="3"/>
        <v>0.51578280092828799</v>
      </c>
      <c r="F11" s="820">
        <f>F25</f>
        <v>9.5000000000000001E-2</v>
      </c>
      <c r="G11" s="818">
        <f t="shared" si="0"/>
        <v>4.9000000000000002E-2</v>
      </c>
      <c r="H11" s="174"/>
      <c r="I11" s="82">
        <f t="shared" si="1"/>
        <v>5</v>
      </c>
      <c r="J11" s="940">
        <f>87072775+26323935</f>
        <v>113396710</v>
      </c>
      <c r="K11" s="940">
        <f>70064811+38364074</f>
        <v>108428885</v>
      </c>
      <c r="L11" s="937">
        <f>J11+K11</f>
        <v>221825595</v>
      </c>
    </row>
    <row r="12" spans="1:12" s="175" customFormat="1" ht="13.5" thickBot="1">
      <c r="A12" s="120">
        <f t="shared" si="2"/>
        <v>5</v>
      </c>
      <c r="B12" s="23" t="s">
        <v>1295</v>
      </c>
      <c r="C12" s="981"/>
      <c r="D12" s="1349">
        <f>SUM(D9:D11)</f>
        <v>430075595</v>
      </c>
      <c r="E12" s="821">
        <f>SUM(E9:E11)</f>
        <v>1</v>
      </c>
      <c r="F12" s="850"/>
      <c r="G12" s="821">
        <f>ROUND(SUM(G9:G11),4)</f>
        <v>7.0099999999999996E-2</v>
      </c>
      <c r="H12" s="174"/>
      <c r="I12" s="82">
        <f t="shared" si="1"/>
        <v>6</v>
      </c>
    </row>
    <row r="13" spans="1:12" s="175" customFormat="1" ht="13.5" thickTop="1">
      <c r="A13" s="120">
        <f t="shared" si="2"/>
        <v>6</v>
      </c>
      <c r="B13" s="381"/>
      <c r="C13" s="812"/>
      <c r="D13" s="381"/>
      <c r="E13" s="381"/>
      <c r="F13" s="381"/>
      <c r="G13" s="381"/>
      <c r="H13" s="174"/>
      <c r="I13" s="82">
        <f t="shared" si="1"/>
        <v>7</v>
      </c>
    </row>
    <row r="14" spans="1:12" s="175" customFormat="1">
      <c r="A14" s="120">
        <f t="shared" si="2"/>
        <v>7</v>
      </c>
      <c r="B14" s="120"/>
      <c r="C14" s="813"/>
      <c r="D14" s="120"/>
      <c r="E14" s="120"/>
      <c r="F14" s="120"/>
      <c r="G14" s="120"/>
      <c r="H14" s="174"/>
      <c r="I14" s="82">
        <f t="shared" si="1"/>
        <v>8</v>
      </c>
    </row>
    <row r="15" spans="1:12">
      <c r="A15" s="120">
        <f t="shared" si="2"/>
        <v>8</v>
      </c>
      <c r="B15" s="20" t="s">
        <v>1102</v>
      </c>
      <c r="C15" s="23"/>
      <c r="D15" s="26"/>
      <c r="E15" s="26"/>
      <c r="F15" s="814"/>
      <c r="G15" s="815"/>
      <c r="I15" s="82">
        <f t="shared" si="1"/>
        <v>9</v>
      </c>
    </row>
    <row r="16" spans="1:12">
      <c r="A16" s="120">
        <f t="shared" si="2"/>
        <v>9</v>
      </c>
      <c r="B16" s="23" t="s">
        <v>453</v>
      </c>
      <c r="C16" s="23"/>
      <c r="D16" s="816">
        <f>HLOOKUP(Attach,$J$7:$L$16,I16,FALSE)</f>
        <v>284250000</v>
      </c>
      <c r="E16" s="817">
        <f>+D16/D19</f>
        <v>0.5041292756586323</v>
      </c>
      <c r="F16" s="817">
        <f>'Sched G-1'!N40</f>
        <v>4.1700000000000001E-2</v>
      </c>
      <c r="G16" s="818">
        <f>ROUND(E16*F16,4)</f>
        <v>2.1000000000000001E-2</v>
      </c>
      <c r="I16" s="82">
        <f t="shared" si="1"/>
        <v>10</v>
      </c>
      <c r="J16" s="940">
        <v>177500000</v>
      </c>
      <c r="K16" s="940">
        <v>106750000</v>
      </c>
      <c r="L16" s="937">
        <f>J16+K16</f>
        <v>284250000</v>
      </c>
    </row>
    <row r="17" spans="1:10">
      <c r="A17" s="120">
        <f t="shared" si="2"/>
        <v>10</v>
      </c>
      <c r="B17" s="23" t="s">
        <v>977</v>
      </c>
      <c r="C17" s="23"/>
      <c r="D17" s="840">
        <v>0</v>
      </c>
      <c r="E17" s="817">
        <f>D17/D19</f>
        <v>0</v>
      </c>
      <c r="F17" s="817">
        <v>0</v>
      </c>
      <c r="G17" s="818">
        <f>ROUND(E17*F17,4)</f>
        <v>0</v>
      </c>
    </row>
    <row r="18" spans="1:10">
      <c r="A18" s="120">
        <f t="shared" si="2"/>
        <v>11</v>
      </c>
      <c r="B18" s="23" t="s">
        <v>1296</v>
      </c>
      <c r="C18" s="23"/>
      <c r="D18" s="1360">
        <f>'Stmt A pg 2'!F12</f>
        <v>279593469.76999998</v>
      </c>
      <c r="E18" s="819">
        <f>+D18/D19</f>
        <v>0.49587072434136775</v>
      </c>
      <c r="F18" s="820">
        <f>F25</f>
        <v>9.5000000000000001E-2</v>
      </c>
      <c r="G18" s="818">
        <f>ROUND(E18*F18,4)</f>
        <v>4.7100000000000003E-2</v>
      </c>
      <c r="I18" s="927"/>
    </row>
    <row r="19" spans="1:10" ht="13.5" thickBot="1">
      <c r="A19" s="120">
        <f t="shared" si="2"/>
        <v>12</v>
      </c>
      <c r="B19" s="23" t="s">
        <v>16</v>
      </c>
      <c r="C19" s="23"/>
      <c r="D19" s="1349">
        <f>SUM(D16:D18)</f>
        <v>563843469.76999998</v>
      </c>
      <c r="E19" s="821">
        <f>SUM(E16:E18)</f>
        <v>1</v>
      </c>
      <c r="F19" s="850"/>
      <c r="G19" s="821">
        <f>ROUND(SUM(G16:G18),4)</f>
        <v>6.8099999999999994E-2</v>
      </c>
      <c r="I19" s="22"/>
    </row>
    <row r="20" spans="1:10" ht="13.5" thickTop="1">
      <c r="A20" s="120">
        <f t="shared" si="2"/>
        <v>13</v>
      </c>
      <c r="B20" s="822"/>
      <c r="C20" s="1348"/>
      <c r="D20" s="823"/>
      <c r="E20" s="822"/>
      <c r="F20" s="824"/>
      <c r="G20" s="822"/>
    </row>
    <row r="21" spans="1:10">
      <c r="A21" s="120">
        <f t="shared" si="2"/>
        <v>14</v>
      </c>
      <c r="B21" s="23"/>
      <c r="C21" s="123"/>
      <c r="D21" s="160"/>
      <c r="E21" s="23"/>
      <c r="F21" s="103"/>
      <c r="G21" s="23"/>
    </row>
    <row r="22" spans="1:10">
      <c r="A22" s="120">
        <f t="shared" si="2"/>
        <v>15</v>
      </c>
      <c r="B22" s="20" t="s">
        <v>974</v>
      </c>
      <c r="C22" s="123"/>
      <c r="D22" s="160"/>
      <c r="E22" s="23"/>
      <c r="F22" s="103"/>
      <c r="G22" s="23"/>
    </row>
    <row r="23" spans="1:10">
      <c r="A23" s="120">
        <f t="shared" si="2"/>
        <v>16</v>
      </c>
      <c r="B23" s="23" t="s">
        <v>453</v>
      </c>
      <c r="C23" s="103" t="s">
        <v>1224</v>
      </c>
      <c r="D23" s="816">
        <f>'Sched G-1'!M63</f>
        <v>325000000</v>
      </c>
      <c r="E23" s="817">
        <f>+D23/D26</f>
        <v>0.5</v>
      </c>
      <c r="F23" s="817">
        <f>IF($F$32="Y",'Sched G-1'!N61,4.11%)</f>
        <v>3.9100000000000003E-2</v>
      </c>
      <c r="G23" s="846">
        <f>ROUND(E23*F23,4)</f>
        <v>1.9599999999999999E-2</v>
      </c>
    </row>
    <row r="24" spans="1:10">
      <c r="A24" s="120">
        <f t="shared" si="2"/>
        <v>17</v>
      </c>
      <c r="B24" s="23" t="s">
        <v>977</v>
      </c>
      <c r="C24" s="103"/>
      <c r="D24" s="840">
        <v>0</v>
      </c>
      <c r="E24" s="817">
        <f>D24/D26</f>
        <v>0</v>
      </c>
      <c r="F24" s="845">
        <f>F17</f>
        <v>0</v>
      </c>
      <c r="G24" s="846">
        <f>ROUND(E24*F24,4)</f>
        <v>0</v>
      </c>
      <c r="J24" s="66" t="s">
        <v>1652</v>
      </c>
    </row>
    <row r="25" spans="1:10">
      <c r="A25" s="120">
        <f t="shared" si="2"/>
        <v>18</v>
      </c>
      <c r="B25" s="23" t="s">
        <v>509</v>
      </c>
      <c r="C25" s="123"/>
      <c r="D25" s="847">
        <v>325000000</v>
      </c>
      <c r="E25" s="819">
        <f>+D25/D26</f>
        <v>0.5</v>
      </c>
      <c r="F25" s="820">
        <f>IF(J25="Y",J27,J26)</f>
        <v>9.5000000000000001E-2</v>
      </c>
      <c r="G25" s="848">
        <f>ROUND(E25*F25,4)</f>
        <v>4.7500000000000001E-2</v>
      </c>
      <c r="J25" s="66" t="str">
        <f>'MCC Testimony Table'!F26</f>
        <v>Y</v>
      </c>
    </row>
    <row r="26" spans="1:10" ht="13.5" thickBot="1">
      <c r="A26" s="120">
        <f t="shared" si="2"/>
        <v>19</v>
      </c>
      <c r="B26" s="23" t="s">
        <v>16</v>
      </c>
      <c r="C26" s="123"/>
      <c r="D26" s="849">
        <f>SUM(D23:D25)</f>
        <v>650000000</v>
      </c>
      <c r="E26" s="821">
        <f>SUM(E23:E25)</f>
        <v>1</v>
      </c>
      <c r="F26" s="850"/>
      <c r="G26" s="851">
        <f>ROUND(SUM(G23:G25),4)</f>
        <v>6.7100000000000007E-2</v>
      </c>
      <c r="J26" s="462">
        <v>0.1</v>
      </c>
    </row>
    <row r="27" spans="1:10" ht="13.5" thickTop="1">
      <c r="A27" s="120">
        <f t="shared" si="2"/>
        <v>20</v>
      </c>
      <c r="B27" s="23"/>
      <c r="C27" s="123"/>
      <c r="D27" s="472"/>
      <c r="E27" s="817"/>
      <c r="F27" s="1382"/>
      <c r="G27" s="845"/>
      <c r="J27" s="462">
        <v>9.5000000000000001E-2</v>
      </c>
    </row>
    <row r="28" spans="1:10">
      <c r="A28" s="120">
        <f t="shared" si="2"/>
        <v>21</v>
      </c>
      <c r="B28" s="23" t="s">
        <v>1494</v>
      </c>
      <c r="C28" s="123"/>
      <c r="D28" s="472"/>
      <c r="E28" s="817"/>
      <c r="F28" s="1382"/>
      <c r="G28" s="845"/>
    </row>
    <row r="29" spans="1:10">
      <c r="A29" s="103"/>
      <c r="B29" s="730"/>
      <c r="C29" s="123"/>
      <c r="D29" s="23"/>
      <c r="E29" s="23"/>
      <c r="F29" s="23"/>
      <c r="G29" s="23"/>
      <c r="I29" s="1166"/>
    </row>
    <row r="30" spans="1:10">
      <c r="A30" s="103"/>
      <c r="B30" s="1166"/>
      <c r="C30" s="123"/>
      <c r="D30" s="23"/>
      <c r="E30" s="23"/>
      <c r="F30" s="23"/>
      <c r="G30" s="23"/>
    </row>
    <row r="31" spans="1:10">
      <c r="B31" s="66"/>
    </row>
    <row r="32" spans="1:10">
      <c r="B32" s="8" t="s">
        <v>1535</v>
      </c>
      <c r="F32" s="8" t="str">
        <f>'Stmt N'!AH1</f>
        <v>Y</v>
      </c>
    </row>
  </sheetData>
  <phoneticPr fontId="12" type="noConversion"/>
  <printOptions horizontalCentered="1"/>
  <pageMargins left="0.75" right="0.75" top="1" bottom="1" header="1" footer="0.5"/>
  <pageSetup scale="85" orientation="landscape" horizontalDpi="1200" verticalDpi="1200" r:id="rId1"/>
  <headerFooter alignWithMargins="0">
    <oddHeader xml:space="preserve">&amp;R&amp;"Times New Roman,Bold"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F4D7-2DD9-408A-9EB2-134B2BDB2164}">
  <sheetPr>
    <pageSetUpPr fitToPage="1"/>
  </sheetPr>
  <dimension ref="A1:Q72"/>
  <sheetViews>
    <sheetView workbookViewId="0"/>
  </sheetViews>
  <sheetFormatPr defaultColWidth="9.33203125" defaultRowHeight="12.75"/>
  <cols>
    <col min="1" max="1" width="6.83203125" style="265" customWidth="1"/>
    <col min="2" max="2" width="30.83203125" style="1055" customWidth="1"/>
    <col min="3" max="4" width="12.6640625" style="1055" bestFit="1" customWidth="1"/>
    <col min="5" max="5" width="17.83203125" style="1055" bestFit="1" customWidth="1"/>
    <col min="6" max="6" width="13.6640625" style="1055" bestFit="1" customWidth="1"/>
    <col min="7" max="7" width="15.33203125" style="1055" customWidth="1"/>
    <col min="8" max="8" width="17.33203125" style="1055" customWidth="1"/>
    <col min="9" max="9" width="10.33203125" style="1055" bestFit="1" customWidth="1"/>
    <col min="10" max="10" width="11.33203125" style="1055" customWidth="1"/>
    <col min="11" max="11" width="20.33203125" style="1055" customWidth="1"/>
    <col min="12" max="12" width="10.83203125" style="1055" bestFit="1" customWidth="1"/>
    <col min="13" max="13" width="19.33203125" style="1055" bestFit="1" customWidth="1"/>
    <col min="14" max="14" width="21.6640625" style="1055" bestFit="1" customWidth="1"/>
    <col min="15" max="15" width="16.1640625" style="1055" bestFit="1" customWidth="1"/>
    <col min="16" max="16" width="16.6640625" style="1055" bestFit="1" customWidth="1"/>
    <col min="17" max="16384" width="9.33203125" style="1055"/>
  </cols>
  <sheetData>
    <row r="1" spans="1:17">
      <c r="A1" s="1038" t="str">
        <f>Company</f>
        <v>BLACK HILLS NEBRASKA GAS, LLC</v>
      </c>
      <c r="B1" s="1038"/>
      <c r="C1" s="1038"/>
      <c r="D1" s="1038"/>
      <c r="E1" s="1054"/>
      <c r="F1" s="1038"/>
      <c r="G1" s="1038"/>
      <c r="H1" s="1038"/>
      <c r="I1" s="1038"/>
      <c r="J1" s="1038"/>
      <c r="K1" s="1038"/>
      <c r="L1" s="1038"/>
      <c r="M1" s="1038"/>
      <c r="N1" s="615" t="s">
        <v>1319</v>
      </c>
      <c r="O1" s="258"/>
      <c r="P1" s="258"/>
      <c r="Q1" s="258"/>
    </row>
    <row r="2" spans="1:17">
      <c r="A2" s="1038" t="s">
        <v>438</v>
      </c>
      <c r="B2" s="1038"/>
      <c r="C2" s="1038"/>
      <c r="D2" s="1038"/>
      <c r="E2" s="1038"/>
      <c r="F2" s="1038"/>
      <c r="G2" s="1038"/>
      <c r="H2" s="1038"/>
      <c r="I2" s="1038"/>
      <c r="J2" s="1038"/>
      <c r="K2" s="1038"/>
      <c r="L2" s="1038"/>
      <c r="M2" s="1038"/>
      <c r="N2" s="1039" t="str">
        <f>Attach</f>
        <v>FINAL - BH January 15, 2021 Rev. Req. Model</v>
      </c>
      <c r="O2" s="258"/>
      <c r="P2" s="258"/>
      <c r="Q2" s="258"/>
    </row>
    <row r="3" spans="1:17">
      <c r="A3" s="1055"/>
      <c r="B3" s="1056"/>
      <c r="C3" s="1056"/>
      <c r="D3" s="1056"/>
      <c r="E3" s="1056"/>
      <c r="F3" s="1056"/>
      <c r="G3" s="1056"/>
      <c r="H3" s="1056"/>
      <c r="I3" s="1056"/>
      <c r="J3" s="1056"/>
      <c r="K3" s="1056"/>
      <c r="L3" s="1056"/>
      <c r="M3" s="1056"/>
      <c r="N3" s="1039" t="s">
        <v>452</v>
      </c>
      <c r="O3" s="258"/>
      <c r="P3" s="258"/>
      <c r="Q3" s="258"/>
    </row>
    <row r="4" spans="1:17">
      <c r="A4" s="70"/>
      <c r="B4" s="1056"/>
      <c r="C4" s="1056"/>
      <c r="D4" s="1056"/>
      <c r="E4" s="1056"/>
      <c r="F4" s="1056"/>
      <c r="G4" s="1056"/>
      <c r="H4" s="1056"/>
      <c r="I4" s="1056"/>
      <c r="J4" s="1056"/>
      <c r="K4" s="1056"/>
      <c r="L4" s="1056"/>
      <c r="M4" s="1056"/>
      <c r="O4" s="258"/>
      <c r="P4" s="258"/>
      <c r="Q4" s="258"/>
    </row>
    <row r="5" spans="1:17" ht="25.5">
      <c r="A5" s="305" t="s">
        <v>117</v>
      </c>
      <c r="B5" s="1056"/>
      <c r="C5" s="1056"/>
      <c r="D5" s="1056"/>
      <c r="E5" s="1056"/>
      <c r="F5" s="1056"/>
      <c r="G5" s="1056"/>
      <c r="H5" s="1056"/>
      <c r="I5" s="1056"/>
      <c r="J5" s="1056"/>
      <c r="K5" s="1056"/>
      <c r="L5" s="1056"/>
      <c r="M5" s="1056"/>
      <c r="N5" s="1056"/>
      <c r="O5" s="258"/>
      <c r="P5" s="258"/>
      <c r="Q5" s="258"/>
    </row>
    <row r="6" spans="1:17">
      <c r="A6" s="257">
        <v>1</v>
      </c>
      <c r="B6" s="1340" t="s">
        <v>976</v>
      </c>
      <c r="C6" s="1056"/>
      <c r="D6" s="1056"/>
      <c r="E6" s="1056"/>
      <c r="F6" s="1056"/>
      <c r="G6" s="1056"/>
      <c r="H6" s="1056"/>
      <c r="I6" s="1056"/>
      <c r="J6" s="1056"/>
      <c r="K6" s="1056"/>
      <c r="L6" s="1056"/>
      <c r="M6" s="1056"/>
      <c r="N6" s="1056"/>
      <c r="O6" s="258"/>
      <c r="P6" s="258"/>
      <c r="Q6" s="258"/>
    </row>
    <row r="7" spans="1:17">
      <c r="A7" s="257">
        <f>A6+1</f>
        <v>2</v>
      </c>
      <c r="B7" s="307" t="s">
        <v>199</v>
      </c>
      <c r="C7" s="307" t="s">
        <v>200</v>
      </c>
      <c r="D7" s="307" t="s">
        <v>201</v>
      </c>
      <c r="E7" s="307" t="s">
        <v>202</v>
      </c>
      <c r="F7" s="307" t="s">
        <v>203</v>
      </c>
      <c r="G7" s="307" t="s">
        <v>204</v>
      </c>
      <c r="H7" s="307" t="s">
        <v>205</v>
      </c>
      <c r="I7" s="307" t="s">
        <v>206</v>
      </c>
      <c r="J7" s="307" t="s">
        <v>207</v>
      </c>
      <c r="K7" s="307" t="s">
        <v>208</v>
      </c>
      <c r="L7" s="307" t="s">
        <v>209</v>
      </c>
      <c r="M7" s="307" t="s">
        <v>1</v>
      </c>
      <c r="N7" s="307" t="s">
        <v>2</v>
      </c>
      <c r="O7" s="258"/>
      <c r="P7" s="258"/>
      <c r="Q7" s="258"/>
    </row>
    <row r="8" spans="1:17">
      <c r="A8" s="257">
        <f t="shared" ref="A8:A63" si="0">A7+1</f>
        <v>3</v>
      </c>
      <c r="B8" s="307"/>
      <c r="C8" s="307"/>
      <c r="D8" s="307"/>
      <c r="E8" s="307"/>
      <c r="F8" s="1057" t="s">
        <v>759</v>
      </c>
      <c r="G8" s="307"/>
      <c r="H8" s="307"/>
      <c r="I8" s="307"/>
      <c r="J8" s="307"/>
      <c r="K8" s="261"/>
      <c r="L8" s="1057" t="s">
        <v>1138</v>
      </c>
      <c r="M8" s="307"/>
      <c r="N8" s="1057" t="s">
        <v>1044</v>
      </c>
      <c r="O8" s="258"/>
      <c r="P8" s="258"/>
      <c r="Q8" s="258"/>
    </row>
    <row r="9" spans="1:17" ht="25.5">
      <c r="A9" s="257">
        <f t="shared" si="0"/>
        <v>4</v>
      </c>
      <c r="B9" s="384" t="s">
        <v>439</v>
      </c>
      <c r="C9" s="384" t="s">
        <v>440</v>
      </c>
      <c r="D9" s="384" t="s">
        <v>441</v>
      </c>
      <c r="E9" s="384" t="s">
        <v>442</v>
      </c>
      <c r="F9" s="384" t="s">
        <v>443</v>
      </c>
      <c r="G9" s="384" t="s">
        <v>444</v>
      </c>
      <c r="H9" s="384" t="s">
        <v>445</v>
      </c>
      <c r="I9" s="384" t="s">
        <v>446</v>
      </c>
      <c r="J9" s="384" t="s">
        <v>760</v>
      </c>
      <c r="K9" s="384" t="s">
        <v>1045</v>
      </c>
      <c r="L9" s="384" t="s">
        <v>447</v>
      </c>
      <c r="M9" s="384" t="s">
        <v>448</v>
      </c>
      <c r="N9" s="384" t="s">
        <v>449</v>
      </c>
      <c r="O9" s="258"/>
      <c r="P9" s="258"/>
      <c r="Q9" s="258"/>
    </row>
    <row r="10" spans="1:17">
      <c r="A10" s="257">
        <f t="shared" si="0"/>
        <v>5</v>
      </c>
      <c r="B10" s="1056"/>
      <c r="C10" s="1056"/>
      <c r="D10" s="1056"/>
      <c r="E10" s="1056"/>
      <c r="F10" s="1056"/>
      <c r="G10" s="1056"/>
      <c r="H10" s="1056"/>
      <c r="I10" s="1056"/>
      <c r="J10" s="1056"/>
      <c r="K10" s="1056"/>
      <c r="L10" s="1056"/>
      <c r="M10" s="1056"/>
      <c r="N10" s="1056"/>
      <c r="O10" s="299"/>
      <c r="P10" s="299"/>
      <c r="Q10" s="258"/>
    </row>
    <row r="11" spans="1:17">
      <c r="A11" s="257">
        <f t="shared" si="0"/>
        <v>6</v>
      </c>
      <c r="B11" s="1058" t="s">
        <v>1050</v>
      </c>
      <c r="C11" s="1059">
        <v>41597</v>
      </c>
      <c r="D11" s="1059">
        <v>45260</v>
      </c>
      <c r="E11" s="1161">
        <v>112500000</v>
      </c>
      <c r="F11" s="1060">
        <v>0.99529999999999996</v>
      </c>
      <c r="G11" s="1160">
        <f>522532500*(E11/525000000)</f>
        <v>111971250</v>
      </c>
      <c r="H11" s="1061">
        <v>4.2500000000000003E-2</v>
      </c>
      <c r="I11" s="1062">
        <f>YIELD(C11,D11,H11,F11*100,100,2,0)</f>
        <v>4.3080413890097854E-2</v>
      </c>
      <c r="J11" s="1063">
        <v>9.4023931428571404E-4</v>
      </c>
      <c r="K11" s="1063">
        <v>0</v>
      </c>
      <c r="L11" s="1064">
        <f>ROUND(I11+J11+K11,4)</f>
        <v>4.3999999999999997E-2</v>
      </c>
      <c r="M11" s="852">
        <f>+E11</f>
        <v>112500000</v>
      </c>
      <c r="N11" s="1065">
        <f>M11*L11</f>
        <v>4950000</v>
      </c>
      <c r="O11" s="1342"/>
      <c r="P11" s="1214"/>
      <c r="Q11" s="1341"/>
    </row>
    <row r="12" spans="1:17">
      <c r="A12" s="257">
        <f t="shared" si="0"/>
        <v>7</v>
      </c>
      <c r="B12" s="1058" t="s">
        <v>1046</v>
      </c>
      <c r="C12" s="1059">
        <v>42382</v>
      </c>
      <c r="D12" s="1059">
        <v>46037</v>
      </c>
      <c r="E12" s="852">
        <v>20517857.140000001</v>
      </c>
      <c r="F12" s="1060">
        <v>0.997</v>
      </c>
      <c r="G12" s="867">
        <f>299091000*(E12/300000000)</f>
        <v>20455688.0328658</v>
      </c>
      <c r="H12" s="1061">
        <v>3.95E-2</v>
      </c>
      <c r="I12" s="1062">
        <f>YIELD(C12,D12,H12,F12*100,100,2,0)</f>
        <v>3.9866274969216742E-2</v>
      </c>
      <c r="J12" s="1063">
        <v>9.557763999999999E-4</v>
      </c>
      <c r="K12" s="1063">
        <v>0</v>
      </c>
      <c r="L12" s="1064">
        <f>ROUND(I12+J12+K12,4)</f>
        <v>4.0800000000000003E-2</v>
      </c>
      <c r="M12" s="853">
        <f>+E12</f>
        <v>20517857.140000001</v>
      </c>
      <c r="N12" s="1066">
        <f>M12*L12</f>
        <v>837128.57131200004</v>
      </c>
      <c r="O12" s="1342"/>
      <c r="P12" s="1214"/>
      <c r="Q12" s="1341"/>
    </row>
    <row r="13" spans="1:17">
      <c r="A13" s="257">
        <f t="shared" si="0"/>
        <v>8</v>
      </c>
      <c r="B13" s="1058" t="s">
        <v>1048</v>
      </c>
      <c r="C13" s="1059">
        <v>42601</v>
      </c>
      <c r="D13" s="1059">
        <v>53585</v>
      </c>
      <c r="E13" s="852">
        <v>20517857.140000001</v>
      </c>
      <c r="F13" s="1060">
        <v>0.99460000000000004</v>
      </c>
      <c r="G13" s="867">
        <f>298365000*(E13/300000000)</f>
        <v>20406034.818587001</v>
      </c>
      <c r="H13" s="1061">
        <v>4.2000000000000003E-2</v>
      </c>
      <c r="I13" s="1062">
        <f>YIELD(C13,D13,H13,F13*100,100,2,0)</f>
        <v>4.2317478535568533E-2</v>
      </c>
      <c r="J13" s="1063">
        <v>3.7221800274968932E-4</v>
      </c>
      <c r="K13" s="1063">
        <v>1.0321072000000001E-3</v>
      </c>
      <c r="L13" s="1064">
        <f>ROUND(I13+J13+K13,4)</f>
        <v>4.3700000000000003E-2</v>
      </c>
      <c r="M13" s="853">
        <f>+E13</f>
        <v>20517857.140000001</v>
      </c>
      <c r="N13" s="1066">
        <f>M13*L13</f>
        <v>896630.3570180001</v>
      </c>
      <c r="O13" s="1342"/>
      <c r="P13" s="1214"/>
      <c r="Q13" s="1341"/>
    </row>
    <row r="14" spans="1:17">
      <c r="A14" s="257">
        <f t="shared" si="0"/>
        <v>9</v>
      </c>
      <c r="B14" s="1058" t="s">
        <v>1049</v>
      </c>
      <c r="C14" s="1059">
        <v>42601</v>
      </c>
      <c r="D14" s="1059">
        <v>46402</v>
      </c>
      <c r="E14" s="852">
        <v>27357142.859999999</v>
      </c>
      <c r="F14" s="1060">
        <v>0.99950000000000006</v>
      </c>
      <c r="G14" s="867">
        <f>399796000*(E14/400000000)</f>
        <v>27343190.717141401</v>
      </c>
      <c r="H14" s="1061">
        <v>3.15E-2</v>
      </c>
      <c r="I14" s="1062">
        <f>YIELD(C14,D14,H14,F14*100,100,2,0)</f>
        <v>3.1554605496621493E-2</v>
      </c>
      <c r="J14" s="1063">
        <v>7.9281226167838715E-3</v>
      </c>
      <c r="K14" s="1063">
        <v>2.0488455181506475E-3</v>
      </c>
      <c r="L14" s="1064">
        <f>ROUND(I14+J14+K14,4)</f>
        <v>4.1500000000000002E-2</v>
      </c>
      <c r="M14" s="853">
        <f>+E14</f>
        <v>27357142.859999999</v>
      </c>
      <c r="N14" s="1066">
        <f>M14*L14</f>
        <v>1135321.42869</v>
      </c>
      <c r="O14" s="1342"/>
      <c r="P14" s="1214"/>
      <c r="Q14" s="1341"/>
    </row>
    <row r="15" spans="1:17">
      <c r="A15" s="257">
        <f t="shared" si="0"/>
        <v>10</v>
      </c>
      <c r="B15" s="1058" t="s">
        <v>1047</v>
      </c>
      <c r="C15" s="1059">
        <v>43329</v>
      </c>
      <c r="D15" s="1059">
        <v>48700</v>
      </c>
      <c r="E15" s="852">
        <v>27357142.859999999</v>
      </c>
      <c r="F15" s="1060">
        <v>0.99539999999999995</v>
      </c>
      <c r="G15" s="867">
        <f>398172000*(E15/400000000)</f>
        <v>27232120.7171298</v>
      </c>
      <c r="H15" s="1061">
        <v>4.3499999999999997E-2</v>
      </c>
      <c r="I15" s="1062">
        <f>YIELD(C15,D15,H15,F15*100,100,2,0)</f>
        <v>4.3922612137358034E-2</v>
      </c>
      <c r="J15" s="1063">
        <v>8.4427530000000001E-4</v>
      </c>
      <c r="K15" s="1063">
        <v>3.6077929561768038E-4</v>
      </c>
      <c r="L15" s="1064">
        <f>ROUND(I15+J15+K15,4)</f>
        <v>4.5100000000000001E-2</v>
      </c>
      <c r="M15" s="853">
        <f>+E15</f>
        <v>27357142.859999999</v>
      </c>
      <c r="N15" s="1066">
        <f>M15*L15</f>
        <v>1233807.142986</v>
      </c>
      <c r="O15" s="1342"/>
      <c r="P15" s="1214"/>
      <c r="Q15" s="1341"/>
    </row>
    <row r="16" spans="1:17" ht="13.5" thickBot="1">
      <c r="A16" s="257">
        <f t="shared" si="0"/>
        <v>11</v>
      </c>
      <c r="B16" s="1067"/>
      <c r="C16" s="1067"/>
      <c r="D16" s="1067"/>
      <c r="E16" s="1067"/>
      <c r="F16" s="1067"/>
      <c r="G16" s="1067"/>
      <c r="H16" s="1067"/>
      <c r="I16" s="1067"/>
      <c r="J16" s="1067"/>
      <c r="K16" s="1067"/>
      <c r="L16" s="1067"/>
      <c r="M16" s="1068"/>
      <c r="N16" s="1069"/>
      <c r="O16" s="299"/>
      <c r="P16" s="1214"/>
      <c r="Q16" s="258"/>
    </row>
    <row r="17" spans="1:17" ht="13.5" thickTop="1">
      <c r="A17" s="257">
        <f t="shared" si="0"/>
        <v>12</v>
      </c>
      <c r="B17" s="299" t="s">
        <v>761</v>
      </c>
      <c r="C17" s="299"/>
      <c r="D17" s="299"/>
      <c r="E17" s="1065"/>
      <c r="F17" s="1070"/>
      <c r="G17" s="1065"/>
      <c r="H17" s="1071"/>
      <c r="I17" s="299"/>
      <c r="J17" s="299"/>
      <c r="K17" s="299"/>
      <c r="L17" s="1070"/>
      <c r="M17" s="1065">
        <f>SUM(M11:M15)</f>
        <v>208250000</v>
      </c>
      <c r="N17" s="1065">
        <f>SUM(N11:N15)</f>
        <v>9052887.5000059996</v>
      </c>
      <c r="O17" s="299"/>
      <c r="P17" s="299"/>
      <c r="Q17" s="258"/>
    </row>
    <row r="18" spans="1:17">
      <c r="A18" s="257">
        <f t="shared" si="0"/>
        <v>13</v>
      </c>
      <c r="B18" s="1072"/>
      <c r="C18" s="299"/>
      <c r="D18" s="299"/>
      <c r="E18" s="1065"/>
      <c r="F18" s="1070"/>
      <c r="G18" s="1065"/>
      <c r="H18" s="1071"/>
      <c r="I18" s="299"/>
      <c r="J18" s="299"/>
      <c r="K18" s="299"/>
      <c r="L18" s="1070"/>
      <c r="M18" s="1065"/>
      <c r="N18" s="1065"/>
      <c r="O18" s="299"/>
      <c r="P18" s="299"/>
      <c r="Q18" s="258"/>
    </row>
    <row r="19" spans="1:17" ht="13.5" thickBot="1">
      <c r="A19" s="257">
        <f t="shared" si="0"/>
        <v>14</v>
      </c>
      <c r="B19" s="1072" t="s">
        <v>451</v>
      </c>
      <c r="C19" s="299"/>
      <c r="D19" s="299"/>
      <c r="E19" s="1065"/>
      <c r="F19" s="1070"/>
      <c r="G19" s="1065"/>
      <c r="H19" s="1071"/>
      <c r="I19" s="299"/>
      <c r="J19" s="299"/>
      <c r="K19" s="299"/>
      <c r="L19" s="1070"/>
      <c r="M19" s="1065"/>
      <c r="N19" s="1069">
        <f>ROUND(+N17/M17,4)</f>
        <v>4.3499999999999997E-2</v>
      </c>
      <c r="O19" s="299"/>
      <c r="P19" s="1063"/>
      <c r="Q19" s="258"/>
    </row>
    <row r="20" spans="1:17" ht="13.5" thickTop="1">
      <c r="A20" s="257">
        <f t="shared" si="0"/>
        <v>15</v>
      </c>
      <c r="B20" s="1067"/>
      <c r="C20" s="1067"/>
      <c r="D20" s="1067"/>
      <c r="E20" s="1067"/>
      <c r="F20" s="1067"/>
      <c r="G20" s="1067"/>
      <c r="H20" s="1067"/>
      <c r="I20" s="1056"/>
      <c r="J20" s="1056"/>
      <c r="K20" s="1056"/>
      <c r="L20" s="1056"/>
      <c r="M20" s="1056"/>
      <c r="N20" s="1056"/>
      <c r="O20" s="299"/>
      <c r="P20" s="299"/>
      <c r="Q20" s="258"/>
    </row>
    <row r="21" spans="1:17">
      <c r="A21" s="257">
        <f t="shared" si="0"/>
        <v>16</v>
      </c>
      <c r="B21" s="1067"/>
      <c r="C21" s="1067"/>
      <c r="D21" s="1067"/>
      <c r="E21" s="1067"/>
      <c r="F21" s="1067"/>
      <c r="G21" s="1067"/>
      <c r="H21" s="1067"/>
      <c r="I21" s="1056"/>
      <c r="J21" s="1056"/>
      <c r="K21" s="1056"/>
      <c r="L21" s="1056"/>
      <c r="M21" s="1056"/>
      <c r="N21" s="1056"/>
      <c r="O21" s="299"/>
      <c r="P21" s="299"/>
      <c r="Q21" s="258"/>
    </row>
    <row r="22" spans="1:17">
      <c r="A22" s="257">
        <f t="shared" si="0"/>
        <v>17</v>
      </c>
      <c r="B22" s="1067"/>
      <c r="C22" s="1067"/>
      <c r="D22" s="1067"/>
      <c r="E22" s="1067"/>
      <c r="F22" s="1067"/>
      <c r="G22" s="1067"/>
      <c r="H22" s="1067"/>
      <c r="I22" s="1056"/>
      <c r="J22" s="1056"/>
      <c r="K22" s="1056"/>
      <c r="L22" s="1056"/>
      <c r="M22" s="1056"/>
      <c r="N22" s="1056"/>
      <c r="O22" s="299"/>
      <c r="P22" s="299"/>
      <c r="Q22" s="258"/>
    </row>
    <row r="23" spans="1:17">
      <c r="A23" s="257">
        <f t="shared" si="0"/>
        <v>18</v>
      </c>
      <c r="B23" s="1340" t="str">
        <f>References!B2</f>
        <v>FOR THE BASE YEAR ENDED DECEMBER 31, 2019</v>
      </c>
      <c r="C23" s="1067"/>
      <c r="D23" s="1067"/>
      <c r="E23" s="1067"/>
      <c r="F23" s="1067"/>
      <c r="G23" s="1067"/>
      <c r="H23" s="1067"/>
      <c r="I23" s="1056"/>
      <c r="J23" s="1056"/>
      <c r="K23" s="1056"/>
      <c r="L23" s="1056"/>
      <c r="M23" s="1056"/>
      <c r="N23" s="1056"/>
      <c r="O23" s="299"/>
      <c r="P23" s="299"/>
      <c r="Q23" s="258"/>
    </row>
    <row r="24" spans="1:17">
      <c r="A24" s="257">
        <f t="shared" si="0"/>
        <v>19</v>
      </c>
      <c r="B24" s="255"/>
      <c r="C24" s="255"/>
      <c r="D24" s="255"/>
      <c r="E24" s="255"/>
      <c r="F24" s="255"/>
      <c r="G24" s="255"/>
      <c r="H24" s="255"/>
      <c r="I24" s="256"/>
      <c r="L24" s="256"/>
      <c r="M24" s="256"/>
      <c r="N24" s="256"/>
      <c r="O24" s="255"/>
      <c r="P24" s="255"/>
      <c r="Q24" s="256"/>
    </row>
    <row r="25" spans="1:17">
      <c r="A25" s="257">
        <f t="shared" si="0"/>
        <v>20</v>
      </c>
      <c r="B25" s="308" t="s">
        <v>199</v>
      </c>
      <c r="C25" s="307" t="s">
        <v>200</v>
      </c>
      <c r="D25" s="307" t="s">
        <v>201</v>
      </c>
      <c r="E25" s="307" t="s">
        <v>202</v>
      </c>
      <c r="F25" s="307" t="s">
        <v>203</v>
      </c>
      <c r="G25" s="307" t="s">
        <v>204</v>
      </c>
      <c r="H25" s="307" t="s">
        <v>205</v>
      </c>
      <c r="I25" s="307" t="s">
        <v>206</v>
      </c>
      <c r="J25" s="307" t="s">
        <v>207</v>
      </c>
      <c r="K25" s="307" t="s">
        <v>208</v>
      </c>
      <c r="L25" s="307" t="s">
        <v>209</v>
      </c>
      <c r="M25" s="307" t="s">
        <v>1</v>
      </c>
      <c r="N25" s="307" t="s">
        <v>2</v>
      </c>
      <c r="O25" s="1779"/>
      <c r="P25" s="1779"/>
      <c r="Q25" s="257"/>
    </row>
    <row r="26" spans="1:17">
      <c r="A26" s="257">
        <f t="shared" si="0"/>
        <v>21</v>
      </c>
      <c r="B26" s="308"/>
      <c r="C26" s="307"/>
      <c r="D26" s="307"/>
      <c r="E26" s="307"/>
      <c r="F26" s="1057" t="s">
        <v>759</v>
      </c>
      <c r="G26" s="307"/>
      <c r="H26" s="307"/>
      <c r="I26" s="307"/>
      <c r="J26" s="307"/>
      <c r="K26" s="261"/>
      <c r="L26" s="1057" t="s">
        <v>1138</v>
      </c>
      <c r="M26" s="307"/>
      <c r="N26" s="1057" t="s">
        <v>1044</v>
      </c>
      <c r="O26" s="268"/>
      <c r="P26" s="268"/>
      <c r="Q26" s="257"/>
    </row>
    <row r="27" spans="1:17" ht="25.5">
      <c r="A27" s="257">
        <f t="shared" si="0"/>
        <v>22</v>
      </c>
      <c r="B27" s="387" t="s">
        <v>439</v>
      </c>
      <c r="C27" s="384" t="s">
        <v>440</v>
      </c>
      <c r="D27" s="384" t="s">
        <v>441</v>
      </c>
      <c r="E27" s="384" t="s">
        <v>442</v>
      </c>
      <c r="F27" s="384" t="s">
        <v>443</v>
      </c>
      <c r="G27" s="384" t="s">
        <v>444</v>
      </c>
      <c r="H27" s="384" t="s">
        <v>445</v>
      </c>
      <c r="I27" s="384" t="s">
        <v>446</v>
      </c>
      <c r="J27" s="384" t="s">
        <v>760</v>
      </c>
      <c r="K27" s="384" t="s">
        <v>1045</v>
      </c>
      <c r="L27" s="384" t="s">
        <v>447</v>
      </c>
      <c r="M27" s="384" t="s">
        <v>448</v>
      </c>
      <c r="N27" s="384" t="s">
        <v>449</v>
      </c>
      <c r="O27" s="868"/>
      <c r="P27" s="868"/>
      <c r="Q27" s="1073"/>
    </row>
    <row r="28" spans="1:17" s="265" customFormat="1">
      <c r="A28" s="257">
        <f t="shared" si="0"/>
        <v>23</v>
      </c>
      <c r="B28" s="1058"/>
      <c r="C28" s="1074"/>
      <c r="D28" s="1074"/>
      <c r="E28" s="1075"/>
      <c r="F28" s="1076"/>
      <c r="G28" s="1077"/>
      <c r="H28" s="1078"/>
      <c r="I28" s="1063"/>
      <c r="J28" s="1063"/>
      <c r="K28" s="1063"/>
      <c r="L28" s="1070"/>
      <c r="M28" s="1065"/>
      <c r="N28" s="1065"/>
      <c r="O28" s="1087"/>
      <c r="P28" s="1215"/>
      <c r="Q28" s="258"/>
    </row>
    <row r="29" spans="1:17" s="1089" customFormat="1">
      <c r="A29" s="257">
        <f t="shared" si="0"/>
        <v>24</v>
      </c>
      <c r="B29" s="1058" t="s">
        <v>1050</v>
      </c>
      <c r="C29" s="1059">
        <v>41597</v>
      </c>
      <c r="D29" s="1059">
        <v>45260</v>
      </c>
      <c r="E29" s="1161">
        <v>112500000</v>
      </c>
      <c r="F29" s="1060">
        <v>0.99529999999999996</v>
      </c>
      <c r="G29" s="1160">
        <f>522532500*(E29/525000000)</f>
        <v>111971250</v>
      </c>
      <c r="H29" s="1061">
        <v>4.2500000000000003E-2</v>
      </c>
      <c r="I29" s="1062">
        <f t="shared" ref="I29:I35" si="1">YIELD(C29,D29,H29,F29*100,100,2,0)</f>
        <v>4.3080413890097854E-2</v>
      </c>
      <c r="J29" s="1063">
        <v>9.4023931428571404E-4</v>
      </c>
      <c r="K29" s="1063">
        <v>0</v>
      </c>
      <c r="L29" s="1064">
        <f t="shared" ref="L29:L35" si="2">ROUND(I29+J29+K29,4)</f>
        <v>4.3999999999999997E-2</v>
      </c>
      <c r="M29" s="852">
        <f t="shared" ref="M29:M35" si="3">+E29</f>
        <v>112500000</v>
      </c>
      <c r="N29" s="1065">
        <f t="shared" ref="N29:N35" si="4">M29*L29</f>
        <v>4950000</v>
      </c>
      <c r="O29" s="1162"/>
      <c r="P29" s="1343"/>
      <c r="Q29" s="1163"/>
    </row>
    <row r="30" spans="1:17" s="1089" customFormat="1">
      <c r="A30" s="257">
        <f t="shared" si="0"/>
        <v>25</v>
      </c>
      <c r="B30" s="1058" t="s">
        <v>1046</v>
      </c>
      <c r="C30" s="1059">
        <v>42382</v>
      </c>
      <c r="D30" s="1059">
        <v>46037</v>
      </c>
      <c r="E30" s="852">
        <v>23817857</v>
      </c>
      <c r="F30" s="1060">
        <v>0.997</v>
      </c>
      <c r="G30" s="867">
        <f>299091000*(E30/300000000)</f>
        <v>23745688.893289998</v>
      </c>
      <c r="H30" s="1061">
        <v>3.95E-2</v>
      </c>
      <c r="I30" s="1062">
        <f t="shared" si="1"/>
        <v>3.9866274969216742E-2</v>
      </c>
      <c r="J30" s="1063">
        <v>9.557763999999999E-4</v>
      </c>
      <c r="K30" s="1063">
        <v>0</v>
      </c>
      <c r="L30" s="1064">
        <f t="shared" si="2"/>
        <v>4.0800000000000003E-2</v>
      </c>
      <c r="M30" s="853">
        <f t="shared" si="3"/>
        <v>23817857</v>
      </c>
      <c r="N30" s="1066">
        <f t="shared" si="4"/>
        <v>971768.56560000009</v>
      </c>
      <c r="O30" s="1162"/>
      <c r="P30" s="1343"/>
      <c r="Q30" s="1163"/>
    </row>
    <row r="31" spans="1:17" s="1089" customFormat="1">
      <c r="A31" s="257">
        <f t="shared" si="0"/>
        <v>26</v>
      </c>
      <c r="B31" s="1058" t="s">
        <v>1048</v>
      </c>
      <c r="C31" s="1059">
        <v>42601</v>
      </c>
      <c r="D31" s="1059">
        <v>53585</v>
      </c>
      <c r="E31" s="852">
        <v>23817857</v>
      </c>
      <c r="F31" s="1060">
        <v>0.99460000000000004</v>
      </c>
      <c r="G31" s="867">
        <f>298365000*(E31/300000000)</f>
        <v>23688049.67935</v>
      </c>
      <c r="H31" s="1061">
        <v>4.2000000000000003E-2</v>
      </c>
      <c r="I31" s="1062">
        <f t="shared" si="1"/>
        <v>4.2317478535568533E-2</v>
      </c>
      <c r="J31" s="1063">
        <v>3.7221800274968932E-4</v>
      </c>
      <c r="K31" s="1063">
        <v>1.0321072000000001E-3</v>
      </c>
      <c r="L31" s="1064">
        <f t="shared" si="2"/>
        <v>4.3700000000000003E-2</v>
      </c>
      <c r="M31" s="853">
        <f t="shared" si="3"/>
        <v>23817857</v>
      </c>
      <c r="N31" s="1066">
        <f t="shared" si="4"/>
        <v>1040840.3509000001</v>
      </c>
      <c r="O31" s="1162"/>
      <c r="P31" s="1343"/>
      <c r="Q31" s="1163"/>
    </row>
    <row r="32" spans="1:17" s="1087" customFormat="1">
      <c r="A32" s="257">
        <f t="shared" si="0"/>
        <v>27</v>
      </c>
      <c r="B32" s="1058" t="s">
        <v>1049</v>
      </c>
      <c r="C32" s="1059">
        <v>42601</v>
      </c>
      <c r="D32" s="1059">
        <v>46402</v>
      </c>
      <c r="E32" s="852">
        <v>31757143</v>
      </c>
      <c r="F32" s="1060">
        <v>0.99950000000000006</v>
      </c>
      <c r="G32" s="867">
        <f>399796000*(E32/400000000)</f>
        <v>31740946.857069999</v>
      </c>
      <c r="H32" s="1061">
        <v>3.15E-2</v>
      </c>
      <c r="I32" s="1062">
        <f t="shared" si="1"/>
        <v>3.1554605496621493E-2</v>
      </c>
      <c r="J32" s="1063">
        <v>7.9281226167838715E-3</v>
      </c>
      <c r="K32" s="1063">
        <v>2.0488455181506475E-3</v>
      </c>
      <c r="L32" s="1064">
        <f t="shared" si="2"/>
        <v>4.1500000000000002E-2</v>
      </c>
      <c r="M32" s="853">
        <f t="shared" si="3"/>
        <v>31757143</v>
      </c>
      <c r="N32" s="1066">
        <f t="shared" si="4"/>
        <v>1317921.4345</v>
      </c>
      <c r="O32" s="1162"/>
      <c r="P32" s="1343"/>
      <c r="Q32" s="1163"/>
    </row>
    <row r="33" spans="1:17" s="1087" customFormat="1">
      <c r="A33" s="257">
        <f t="shared" si="0"/>
        <v>28</v>
      </c>
      <c r="B33" s="1058" t="s">
        <v>1047</v>
      </c>
      <c r="C33" s="1059">
        <v>43329</v>
      </c>
      <c r="D33" s="1059">
        <v>48700</v>
      </c>
      <c r="E33" s="852">
        <v>27357142.859999999</v>
      </c>
      <c r="F33" s="1060">
        <v>0.99539999999999995</v>
      </c>
      <c r="G33" s="867">
        <f>398172000*(E33/400000000)</f>
        <v>27232120.7171298</v>
      </c>
      <c r="H33" s="1061">
        <v>4.3499999999999997E-2</v>
      </c>
      <c r="I33" s="1062">
        <f t="shared" si="1"/>
        <v>4.3922612137358034E-2</v>
      </c>
      <c r="J33" s="1063">
        <v>8.4427530000000001E-4</v>
      </c>
      <c r="K33" s="1063">
        <v>3.6077929561768038E-4</v>
      </c>
      <c r="L33" s="1064">
        <f t="shared" si="2"/>
        <v>4.5100000000000001E-2</v>
      </c>
      <c r="M33" s="853">
        <f t="shared" si="3"/>
        <v>27357142.859999999</v>
      </c>
      <c r="N33" s="1066">
        <f t="shared" si="4"/>
        <v>1233807.142986</v>
      </c>
      <c r="O33" s="1162"/>
      <c r="P33" s="1343"/>
      <c r="Q33" s="1163"/>
    </row>
    <row r="34" spans="1:17">
      <c r="A34" s="257">
        <f t="shared" si="0"/>
        <v>29</v>
      </c>
      <c r="B34" s="1058" t="s">
        <v>1051</v>
      </c>
      <c r="C34" s="1059">
        <v>43741</v>
      </c>
      <c r="D34" s="1059">
        <v>47406</v>
      </c>
      <c r="E34" s="1075">
        <v>32500000</v>
      </c>
      <c r="F34" s="1060">
        <v>0.99660000000000004</v>
      </c>
      <c r="G34" s="1081">
        <f>398624000*(E34/400000000)</f>
        <v>32388200</v>
      </c>
      <c r="H34" s="1061">
        <v>3.0499999999999999E-2</v>
      </c>
      <c r="I34" s="1062">
        <f t="shared" si="1"/>
        <v>3.0895842212653402E-2</v>
      </c>
      <c r="J34" s="1063">
        <v>8.9999999999999998E-4</v>
      </c>
      <c r="K34" s="1063">
        <v>1.5607200000000002E-5</v>
      </c>
      <c r="L34" s="1064">
        <f t="shared" si="2"/>
        <v>3.1800000000000002E-2</v>
      </c>
      <c r="M34" s="1065">
        <f t="shared" si="3"/>
        <v>32500000</v>
      </c>
      <c r="N34" s="1065">
        <f t="shared" si="4"/>
        <v>1033500.0000000001</v>
      </c>
      <c r="O34" s="1162"/>
      <c r="P34" s="1343"/>
      <c r="Q34" s="1079"/>
    </row>
    <row r="35" spans="1:17">
      <c r="A35" s="257">
        <f t="shared" si="0"/>
        <v>30</v>
      </c>
      <c r="B35" s="1058" t="s">
        <v>1052</v>
      </c>
      <c r="C35" s="1059">
        <v>43741</v>
      </c>
      <c r="D35" s="1059">
        <v>54711</v>
      </c>
      <c r="E35" s="1075">
        <v>32500000</v>
      </c>
      <c r="F35" s="1060">
        <v>0.99809999999999999</v>
      </c>
      <c r="G35" s="1084">
        <f>299415000*(E35/300000000)</f>
        <v>32436625</v>
      </c>
      <c r="H35" s="1061">
        <v>3.8800000000000001E-2</v>
      </c>
      <c r="I35" s="1062">
        <f t="shared" si="1"/>
        <v>3.8907151549619573E-2</v>
      </c>
      <c r="J35" s="1063">
        <v>4.0000000000000002E-4</v>
      </c>
      <c r="K35" s="1063">
        <v>5.9999999999999995E-4</v>
      </c>
      <c r="L35" s="1064">
        <f t="shared" si="2"/>
        <v>3.9899999999999998E-2</v>
      </c>
      <c r="M35" s="1066">
        <f t="shared" si="3"/>
        <v>32500000</v>
      </c>
      <c r="N35" s="1066">
        <f t="shared" si="4"/>
        <v>1296750</v>
      </c>
      <c r="O35" s="1162"/>
      <c r="P35" s="1343"/>
      <c r="Q35" s="256"/>
    </row>
    <row r="36" spans="1:17">
      <c r="A36" s="257">
        <f t="shared" si="0"/>
        <v>31</v>
      </c>
      <c r="B36" s="1058"/>
      <c r="C36" s="1059"/>
      <c r="D36" s="1059"/>
      <c r="E36" s="1075"/>
      <c r="F36" s="1080"/>
      <c r="G36" s="1084"/>
      <c r="H36" s="1078"/>
      <c r="I36" s="1082"/>
      <c r="J36" s="1082"/>
      <c r="K36" s="1082"/>
      <c r="L36" s="1083"/>
      <c r="M36" s="1066"/>
      <c r="N36" s="1066"/>
      <c r="O36" s="1216"/>
      <c r="P36" s="255"/>
      <c r="Q36" s="256"/>
    </row>
    <row r="37" spans="1:17" ht="13.5" thickBot="1">
      <c r="A37" s="257">
        <f t="shared" si="0"/>
        <v>32</v>
      </c>
      <c r="B37" s="1058"/>
      <c r="C37" s="1085"/>
      <c r="D37" s="1085"/>
      <c r="E37" s="1075"/>
      <c r="F37" s="1076"/>
      <c r="G37" s="1086"/>
      <c r="H37" s="1071"/>
      <c r="I37" s="1063"/>
      <c r="J37" s="1063"/>
      <c r="K37" s="1063"/>
      <c r="L37" s="1070"/>
      <c r="M37" s="1068"/>
      <c r="N37" s="1069"/>
      <c r="O37" s="255"/>
      <c r="P37" s="255"/>
      <c r="Q37" s="256"/>
    </row>
    <row r="38" spans="1:17" ht="13.5" thickTop="1">
      <c r="A38" s="257">
        <f t="shared" si="0"/>
        <v>33</v>
      </c>
      <c r="B38" s="299" t="s">
        <v>761</v>
      </c>
      <c r="C38" s="299"/>
      <c r="D38" s="299"/>
      <c r="E38" s="1065"/>
      <c r="F38" s="1070"/>
      <c r="G38" s="1065"/>
      <c r="H38" s="1071"/>
      <c r="I38" s="299"/>
      <c r="J38" s="299"/>
      <c r="K38" s="299"/>
      <c r="L38" s="1070"/>
      <c r="M38" s="1065">
        <f>SUM(M29:M35)</f>
        <v>284249999.86000001</v>
      </c>
      <c r="N38" s="1065">
        <f>SUM(N29:N35)</f>
        <v>11844587.493985999</v>
      </c>
      <c r="O38" s="255"/>
      <c r="P38" s="255"/>
      <c r="Q38" s="256"/>
    </row>
    <row r="39" spans="1:17">
      <c r="A39" s="257">
        <f t="shared" si="0"/>
        <v>34</v>
      </c>
      <c r="B39" s="1072"/>
      <c r="C39" s="299"/>
      <c r="D39" s="299"/>
      <c r="E39" s="1065"/>
      <c r="F39" s="1070"/>
      <c r="G39" s="1065"/>
      <c r="H39" s="1071"/>
      <c r="I39" s="299"/>
      <c r="J39" s="299"/>
      <c r="K39" s="299"/>
      <c r="L39" s="1070"/>
      <c r="M39" s="1065"/>
      <c r="N39" s="1065"/>
      <c r="O39" s="255"/>
      <c r="P39" s="255"/>
      <c r="Q39" s="256"/>
    </row>
    <row r="40" spans="1:17" ht="13.5" thickBot="1">
      <c r="A40" s="257">
        <f t="shared" si="0"/>
        <v>35</v>
      </c>
      <c r="B40" s="1072" t="s">
        <v>451</v>
      </c>
      <c r="C40" s="299"/>
      <c r="D40" s="299"/>
      <c r="E40" s="1065"/>
      <c r="F40" s="1070"/>
      <c r="G40" s="1065"/>
      <c r="H40" s="1071"/>
      <c r="I40" s="299"/>
      <c r="J40" s="299"/>
      <c r="K40" s="299"/>
      <c r="L40" s="1070"/>
      <c r="M40" s="1065"/>
      <c r="N40" s="1069">
        <f>ROUND(+N38/M38,4)</f>
        <v>4.1700000000000001E-2</v>
      </c>
      <c r="O40" s="255"/>
      <c r="P40" s="255"/>
      <c r="Q40" s="256"/>
    </row>
    <row r="41" spans="1:17" ht="13.5" thickTop="1">
      <c r="A41" s="257">
        <f t="shared" si="0"/>
        <v>36</v>
      </c>
      <c r="B41" s="1072"/>
      <c r="C41" s="299"/>
      <c r="D41" s="299"/>
      <c r="E41" s="1065"/>
      <c r="F41" s="1070"/>
      <c r="G41" s="1065"/>
      <c r="H41" s="1071"/>
      <c r="I41" s="299"/>
      <c r="J41" s="299"/>
      <c r="K41" s="299"/>
      <c r="L41" s="1070"/>
      <c r="M41" s="1065"/>
      <c r="N41" s="1065"/>
      <c r="O41" s="255"/>
      <c r="P41" s="255"/>
      <c r="Q41" s="256"/>
    </row>
    <row r="42" spans="1:17">
      <c r="A42" s="257">
        <f t="shared" si="0"/>
        <v>37</v>
      </c>
      <c r="B42" s="1072"/>
      <c r="C42" s="299"/>
      <c r="D42" s="299"/>
      <c r="E42" s="1065"/>
      <c r="F42" s="1070"/>
      <c r="G42" s="1065"/>
      <c r="H42" s="1071"/>
      <c r="I42" s="299"/>
      <c r="J42" s="299"/>
      <c r="K42" s="299"/>
      <c r="L42" s="1070"/>
      <c r="M42" s="1065"/>
      <c r="N42" s="1065"/>
      <c r="O42" s="255"/>
      <c r="P42" s="255"/>
      <c r="Q42" s="256"/>
    </row>
    <row r="43" spans="1:17" s="1087" customFormat="1">
      <c r="A43" s="257">
        <f t="shared" si="0"/>
        <v>38</v>
      </c>
      <c r="B43" s="1072"/>
      <c r="C43" s="299"/>
      <c r="D43" s="299"/>
      <c r="E43" s="1065"/>
      <c r="F43" s="1070"/>
      <c r="G43" s="1065"/>
      <c r="H43" s="1071"/>
      <c r="I43" s="299"/>
      <c r="J43" s="299"/>
      <c r="K43" s="299"/>
      <c r="L43" s="1070"/>
      <c r="M43" s="1065"/>
      <c r="N43" s="1065"/>
      <c r="O43" s="255"/>
      <c r="P43" s="255"/>
      <c r="Q43" s="255"/>
    </row>
    <row r="44" spans="1:17">
      <c r="A44" s="257">
        <f t="shared" si="0"/>
        <v>39</v>
      </c>
      <c r="B44" s="1340" t="str">
        <f>TYEnded</f>
        <v>FOR THE TEST YEAR ENDING DECEMBER 31, 2020</v>
      </c>
      <c r="C44" s="1067"/>
      <c r="D44" s="1067"/>
      <c r="E44" s="1067"/>
      <c r="F44" s="1067"/>
      <c r="G44" s="1067"/>
      <c r="H44" s="1067"/>
      <c r="I44" s="1067"/>
      <c r="J44" s="1067"/>
      <c r="K44" s="1067"/>
      <c r="L44" s="1067"/>
      <c r="M44" s="1067"/>
      <c r="N44" s="1067"/>
      <c r="O44" s="1087"/>
      <c r="P44" s="1087"/>
    </row>
    <row r="45" spans="1:17">
      <c r="A45" s="257">
        <f t="shared" si="0"/>
        <v>40</v>
      </c>
      <c r="B45" s="1088"/>
      <c r="C45" s="1088"/>
      <c r="D45" s="1088"/>
      <c r="E45" s="1088"/>
      <c r="F45" s="1088"/>
      <c r="G45" s="1088"/>
      <c r="H45" s="1088"/>
      <c r="I45" s="1088"/>
      <c r="J45" s="1088"/>
      <c r="K45" s="1088"/>
      <c r="L45" s="1088"/>
      <c r="M45" s="1088"/>
      <c r="N45" s="1088"/>
      <c r="O45" s="1087"/>
      <c r="P45" s="1087"/>
    </row>
    <row r="46" spans="1:17">
      <c r="A46" s="257">
        <f t="shared" si="0"/>
        <v>41</v>
      </c>
      <c r="B46" s="307" t="s">
        <v>199</v>
      </c>
      <c r="C46" s="307" t="s">
        <v>200</v>
      </c>
      <c r="D46" s="307" t="s">
        <v>201</v>
      </c>
      <c r="E46" s="307" t="s">
        <v>202</v>
      </c>
      <c r="F46" s="307" t="s">
        <v>203</v>
      </c>
      <c r="G46" s="307" t="s">
        <v>204</v>
      </c>
      <c r="H46" s="307" t="s">
        <v>205</v>
      </c>
      <c r="I46" s="307" t="s">
        <v>206</v>
      </c>
      <c r="J46" s="307" t="s">
        <v>207</v>
      </c>
      <c r="K46" s="307" t="s">
        <v>208</v>
      </c>
      <c r="L46" s="307" t="s">
        <v>209</v>
      </c>
      <c r="M46" s="307" t="s">
        <v>1</v>
      </c>
      <c r="N46" s="307" t="s">
        <v>2</v>
      </c>
      <c r="O46" s="1087"/>
      <c r="P46" s="1087"/>
    </row>
    <row r="47" spans="1:17">
      <c r="A47" s="257">
        <f t="shared" si="0"/>
        <v>42</v>
      </c>
      <c r="B47" s="307"/>
      <c r="C47" s="307"/>
      <c r="D47" s="307"/>
      <c r="E47" s="307"/>
      <c r="F47" s="1057" t="s">
        <v>759</v>
      </c>
      <c r="G47" s="307"/>
      <c r="H47" s="307"/>
      <c r="I47" s="307"/>
      <c r="J47" s="307"/>
      <c r="K47" s="261"/>
      <c r="L47" s="1057" t="s">
        <v>1138</v>
      </c>
      <c r="M47" s="307"/>
      <c r="N47" s="1057" t="s">
        <v>1044</v>
      </c>
      <c r="O47" s="1087"/>
      <c r="P47" s="1087"/>
    </row>
    <row r="48" spans="1:17" ht="25.5">
      <c r="A48" s="257">
        <f t="shared" si="0"/>
        <v>43</v>
      </c>
      <c r="B48" s="387" t="s">
        <v>439</v>
      </c>
      <c r="C48" s="384" t="s">
        <v>440</v>
      </c>
      <c r="D48" s="384" t="s">
        <v>441</v>
      </c>
      <c r="E48" s="384" t="s">
        <v>442</v>
      </c>
      <c r="F48" s="384" t="s">
        <v>443</v>
      </c>
      <c r="G48" s="384" t="s">
        <v>444</v>
      </c>
      <c r="H48" s="384" t="s">
        <v>445</v>
      </c>
      <c r="I48" s="384" t="s">
        <v>446</v>
      </c>
      <c r="J48" s="384" t="s">
        <v>760</v>
      </c>
      <c r="K48" s="384" t="s">
        <v>1045</v>
      </c>
      <c r="L48" s="384" t="s">
        <v>447</v>
      </c>
      <c r="M48" s="384" t="s">
        <v>448</v>
      </c>
      <c r="N48" s="384" t="s">
        <v>449</v>
      </c>
      <c r="O48" s="1087"/>
      <c r="P48" s="1087"/>
    </row>
    <row r="49" spans="1:16">
      <c r="A49" s="257">
        <f t="shared" si="0"/>
        <v>44</v>
      </c>
      <c r="B49" s="1089"/>
      <c r="C49" s="1089"/>
      <c r="D49" s="1089"/>
      <c r="E49" s="1089"/>
      <c r="F49" s="261"/>
      <c r="G49" s="1089"/>
      <c r="H49" s="1089"/>
      <c r="I49" s="1089"/>
      <c r="J49" s="1089"/>
      <c r="K49" s="1089"/>
      <c r="L49" s="1089"/>
      <c r="M49" s="1089"/>
      <c r="N49" s="1089"/>
      <c r="O49" s="1087"/>
      <c r="P49" s="1087"/>
    </row>
    <row r="50" spans="1:16">
      <c r="A50" s="257">
        <f t="shared" si="0"/>
        <v>45</v>
      </c>
      <c r="B50" s="1212" t="s">
        <v>1050</v>
      </c>
      <c r="C50" s="1165">
        <v>41597</v>
      </c>
      <c r="D50" s="1165">
        <v>45260</v>
      </c>
      <c r="E50" s="1213">
        <v>525000000</v>
      </c>
      <c r="F50" s="1651">
        <f t="shared" ref="F50:F56" si="5">ROUND(G50/E50,4)</f>
        <v>0.99529999999999996</v>
      </c>
      <c r="G50" s="1090">
        <f>522532500*(E50/525000000)</f>
        <v>522532500</v>
      </c>
      <c r="H50" s="1164">
        <v>4.2500000000000003E-2</v>
      </c>
      <c r="I50" s="818">
        <f t="shared" ref="I50:I57" si="6">YIELD(C50,D50,H50,F50*100,100,2,0)</f>
        <v>4.3080413890097854E-2</v>
      </c>
      <c r="J50" s="815">
        <v>9.4023931428571404E-4</v>
      </c>
      <c r="K50" s="815">
        <v>0</v>
      </c>
      <c r="L50" s="1164">
        <f t="shared" ref="L50:L57" si="7">ROUND(I50+J50+K50,4)</f>
        <v>4.3999999999999997E-2</v>
      </c>
      <c r="M50" s="1091">
        <f t="shared" ref="M50:M57" si="8">+E50</f>
        <v>525000000</v>
      </c>
      <c r="N50" s="1092">
        <f t="shared" ref="N50:N57" si="9">M50*L50</f>
        <v>23100000</v>
      </c>
      <c r="O50" s="1162"/>
      <c r="P50" s="1217"/>
    </row>
    <row r="51" spans="1:16">
      <c r="A51" s="257">
        <f t="shared" si="0"/>
        <v>46</v>
      </c>
      <c r="B51" s="811" t="s">
        <v>1046</v>
      </c>
      <c r="C51" s="1165">
        <v>42382</v>
      </c>
      <c r="D51" s="1165">
        <v>46037</v>
      </c>
      <c r="E51" s="1091">
        <v>300000000</v>
      </c>
      <c r="F51" s="1651">
        <f t="shared" si="5"/>
        <v>0.997</v>
      </c>
      <c r="G51" s="1090">
        <f>299091000*(E51/300000000)</f>
        <v>299091000</v>
      </c>
      <c r="H51" s="1164">
        <v>3.95E-2</v>
      </c>
      <c r="I51" s="818">
        <f t="shared" si="6"/>
        <v>3.9866274969216742E-2</v>
      </c>
      <c r="J51" s="815">
        <v>9.557763999999999E-4</v>
      </c>
      <c r="K51" s="815">
        <v>0</v>
      </c>
      <c r="L51" s="1164">
        <f t="shared" si="7"/>
        <v>4.0800000000000003E-2</v>
      </c>
      <c r="M51" s="1091">
        <f t="shared" si="8"/>
        <v>300000000</v>
      </c>
      <c r="N51" s="1092">
        <f t="shared" si="9"/>
        <v>12240000</v>
      </c>
      <c r="O51" s="1162"/>
      <c r="P51" s="1217"/>
    </row>
    <row r="52" spans="1:16">
      <c r="A52" s="257">
        <f t="shared" si="0"/>
        <v>47</v>
      </c>
      <c r="B52" s="811" t="s">
        <v>1048</v>
      </c>
      <c r="C52" s="1165">
        <v>42601</v>
      </c>
      <c r="D52" s="1165">
        <v>53585</v>
      </c>
      <c r="E52" s="1091">
        <v>300000000</v>
      </c>
      <c r="F52" s="1651">
        <f t="shared" si="5"/>
        <v>0.99460000000000004</v>
      </c>
      <c r="G52" s="1090">
        <f>298365000*(E52/300000000)</f>
        <v>298365000</v>
      </c>
      <c r="H52" s="1164">
        <v>4.2000000000000003E-2</v>
      </c>
      <c r="I52" s="818">
        <f t="shared" si="6"/>
        <v>4.2317478535568533E-2</v>
      </c>
      <c r="J52" s="815">
        <v>3.7221800274968932E-4</v>
      </c>
      <c r="K52" s="815">
        <v>1.0321072000000001E-3</v>
      </c>
      <c r="L52" s="1164">
        <f t="shared" si="7"/>
        <v>4.3700000000000003E-2</v>
      </c>
      <c r="M52" s="1093">
        <f t="shared" si="8"/>
        <v>300000000</v>
      </c>
      <c r="N52" s="1094">
        <f t="shared" si="9"/>
        <v>13110000</v>
      </c>
      <c r="O52" s="1162"/>
      <c r="P52" s="1217"/>
    </row>
    <row r="53" spans="1:16">
      <c r="A53" s="257">
        <f t="shared" si="0"/>
        <v>48</v>
      </c>
      <c r="B53" s="811" t="s">
        <v>1049</v>
      </c>
      <c r="C53" s="1165">
        <v>42601</v>
      </c>
      <c r="D53" s="1165">
        <v>46402</v>
      </c>
      <c r="E53" s="1091">
        <v>400000000</v>
      </c>
      <c r="F53" s="1651">
        <f t="shared" si="5"/>
        <v>0.99950000000000006</v>
      </c>
      <c r="G53" s="1090">
        <f>399796000*(E53/400000000)</f>
        <v>399796000</v>
      </c>
      <c r="H53" s="1164">
        <v>3.15E-2</v>
      </c>
      <c r="I53" s="818">
        <f t="shared" si="6"/>
        <v>3.1554605496621493E-2</v>
      </c>
      <c r="J53" s="815">
        <v>7.9281226167838715E-3</v>
      </c>
      <c r="K53" s="815">
        <v>2.0488455181506475E-3</v>
      </c>
      <c r="L53" s="1164">
        <f t="shared" si="7"/>
        <v>4.1500000000000002E-2</v>
      </c>
      <c r="M53" s="1093">
        <f t="shared" si="8"/>
        <v>400000000</v>
      </c>
      <c r="N53" s="1094">
        <f t="shared" si="9"/>
        <v>16600000</v>
      </c>
      <c r="O53" s="1162"/>
      <c r="P53" s="1217"/>
    </row>
    <row r="54" spans="1:16">
      <c r="A54" s="257">
        <f t="shared" si="0"/>
        <v>49</v>
      </c>
      <c r="B54" s="811" t="s">
        <v>1047</v>
      </c>
      <c r="C54" s="1165">
        <v>43329</v>
      </c>
      <c r="D54" s="1165">
        <v>48700</v>
      </c>
      <c r="E54" s="1091">
        <v>400000000</v>
      </c>
      <c r="F54" s="1651">
        <f t="shared" si="5"/>
        <v>0.99539999999999995</v>
      </c>
      <c r="G54" s="1090">
        <f>398172000*(E54/400000000)</f>
        <v>398172000</v>
      </c>
      <c r="H54" s="1164">
        <v>4.3499999999999997E-2</v>
      </c>
      <c r="I54" s="818">
        <f t="shared" si="6"/>
        <v>4.3922612137358034E-2</v>
      </c>
      <c r="J54" s="815">
        <v>8.4427530000000001E-4</v>
      </c>
      <c r="K54" s="815">
        <v>3.6077929561768038E-4</v>
      </c>
      <c r="L54" s="1164">
        <f t="shared" si="7"/>
        <v>4.5100000000000001E-2</v>
      </c>
      <c r="M54" s="1093">
        <f t="shared" si="8"/>
        <v>400000000</v>
      </c>
      <c r="N54" s="1094">
        <f t="shared" si="9"/>
        <v>18040000</v>
      </c>
      <c r="O54" s="1162"/>
      <c r="P54" s="1217"/>
    </row>
    <row r="55" spans="1:16">
      <c r="A55" s="257">
        <f t="shared" si="0"/>
        <v>50</v>
      </c>
      <c r="B55" s="1210" t="s">
        <v>1051</v>
      </c>
      <c r="C55" s="1211">
        <v>43741</v>
      </c>
      <c r="D55" s="1211">
        <v>47406</v>
      </c>
      <c r="E55" s="1091">
        <v>400000000</v>
      </c>
      <c r="F55" s="1651">
        <f t="shared" si="5"/>
        <v>0.99660000000000004</v>
      </c>
      <c r="G55" s="1090">
        <f>398624000*(E55/400000000)</f>
        <v>398624000</v>
      </c>
      <c r="H55" s="1164">
        <v>3.0499999999999999E-2</v>
      </c>
      <c r="I55" s="818">
        <f t="shared" si="6"/>
        <v>3.0895842212653402E-2</v>
      </c>
      <c r="J55" s="815">
        <v>9.1638142750322994E-4</v>
      </c>
      <c r="K55" s="815">
        <v>1.5607200000000002E-5</v>
      </c>
      <c r="L55" s="1164">
        <f t="shared" si="7"/>
        <v>3.1800000000000002E-2</v>
      </c>
      <c r="M55" s="1093">
        <f t="shared" si="8"/>
        <v>400000000</v>
      </c>
      <c r="N55" s="1094">
        <f t="shared" si="9"/>
        <v>12720000</v>
      </c>
      <c r="O55" s="1162"/>
      <c r="P55" s="1217"/>
    </row>
    <row r="56" spans="1:16">
      <c r="A56" s="257">
        <f t="shared" si="0"/>
        <v>51</v>
      </c>
      <c r="B56" s="1210" t="s">
        <v>1052</v>
      </c>
      <c r="C56" s="1211">
        <v>43741</v>
      </c>
      <c r="D56" s="1211">
        <v>54711</v>
      </c>
      <c r="E56" s="1093">
        <v>300000000</v>
      </c>
      <c r="F56" s="1651">
        <f t="shared" si="5"/>
        <v>0.99809999999999999</v>
      </c>
      <c r="G56" s="1344">
        <f>299415000*(E56/300000000)</f>
        <v>299415000</v>
      </c>
      <c r="H56" s="1345">
        <v>3.875E-2</v>
      </c>
      <c r="I56" s="846">
        <f t="shared" si="6"/>
        <v>3.8857087829320992E-2</v>
      </c>
      <c r="J56" s="1346">
        <v>3.7515504697412002E-4</v>
      </c>
      <c r="K56" s="1346">
        <v>6.1844229551178071E-4</v>
      </c>
      <c r="L56" s="1345">
        <f t="shared" si="7"/>
        <v>3.9899999999999998E-2</v>
      </c>
      <c r="M56" s="1093">
        <f t="shared" si="8"/>
        <v>300000000</v>
      </c>
      <c r="N56" s="1094">
        <f t="shared" si="9"/>
        <v>11970000</v>
      </c>
      <c r="O56" s="1162"/>
      <c r="P56" s="1217"/>
    </row>
    <row r="57" spans="1:16">
      <c r="A57" s="257">
        <f t="shared" si="0"/>
        <v>52</v>
      </c>
      <c r="B57" s="1648" t="s">
        <v>1532</v>
      </c>
      <c r="C57" s="1649">
        <v>43999</v>
      </c>
      <c r="D57" s="1649">
        <v>47649</v>
      </c>
      <c r="E57" s="1650">
        <v>400000000</v>
      </c>
      <c r="F57" s="1651">
        <f t="shared" ref="F57" si="10">ROUND(G57/E57,4)</f>
        <v>0.99660000000000004</v>
      </c>
      <c r="G57" s="1652">
        <f>398632000*(E57/400000000)</f>
        <v>398632000</v>
      </c>
      <c r="H57" s="1653">
        <v>2.5000000000000001E-2</v>
      </c>
      <c r="I57" s="1654">
        <f t="shared" si="6"/>
        <v>2.5387215039377652E-2</v>
      </c>
      <c r="J57" s="1655">
        <v>9.5208421052631498E-4</v>
      </c>
      <c r="K57" s="1655">
        <v>0</v>
      </c>
      <c r="L57" s="1653">
        <f t="shared" si="7"/>
        <v>2.63E-2</v>
      </c>
      <c r="M57" s="1650">
        <f t="shared" si="8"/>
        <v>400000000</v>
      </c>
      <c r="N57" s="1307">
        <f t="shared" si="9"/>
        <v>10520000</v>
      </c>
      <c r="O57" s="1216"/>
      <c r="P57" s="1218"/>
    </row>
    <row r="58" spans="1:16">
      <c r="A58" s="257">
        <f t="shared" si="0"/>
        <v>53</v>
      </c>
      <c r="B58" s="1656"/>
      <c r="C58" s="1657"/>
      <c r="D58" s="1657"/>
      <c r="E58" s="1658"/>
      <c r="F58" s="1659"/>
      <c r="G58" s="1660"/>
      <c r="H58" s="1661"/>
      <c r="I58" s="1662"/>
      <c r="J58" s="1662"/>
      <c r="K58" s="1662"/>
      <c r="L58" s="1663"/>
      <c r="M58" s="1664"/>
      <c r="N58" s="1664"/>
      <c r="O58" s="255"/>
      <c r="P58" s="1087"/>
    </row>
    <row r="59" spans="1:16" ht="13.5" thickBot="1">
      <c r="A59" s="257">
        <f t="shared" si="0"/>
        <v>54</v>
      </c>
      <c r="B59" s="1656" t="s">
        <v>450</v>
      </c>
      <c r="C59" s="1657"/>
      <c r="D59" s="1657"/>
      <c r="E59" s="1658"/>
      <c r="F59" s="1659"/>
      <c r="G59" s="1665"/>
      <c r="H59" s="1661"/>
      <c r="I59" s="1662"/>
      <c r="J59" s="1662"/>
      <c r="K59" s="1662"/>
      <c r="L59" s="1663"/>
      <c r="M59" s="1040">
        <f>SUM(M50:M57)</f>
        <v>3025000000</v>
      </c>
      <c r="N59" s="1040">
        <f>SUM(N50:N57)</f>
        <v>118300000</v>
      </c>
      <c r="O59" s="255"/>
      <c r="P59" s="1087"/>
    </row>
    <row r="60" spans="1:16" ht="13.5" thickTop="1">
      <c r="A60" s="257">
        <f t="shared" si="0"/>
        <v>55</v>
      </c>
      <c r="B60" s="1656"/>
      <c r="C60" s="1666"/>
      <c r="D60" s="1666"/>
      <c r="E60" s="1658"/>
      <c r="F60" s="1659"/>
      <c r="G60" s="1665"/>
      <c r="H60" s="1661"/>
      <c r="I60" s="1662"/>
      <c r="J60" s="1662"/>
      <c r="K60" s="1662"/>
      <c r="L60" s="1663"/>
      <c r="M60" s="1667"/>
      <c r="N60" s="1667"/>
      <c r="O60" s="255"/>
      <c r="P60" s="1087"/>
    </row>
    <row r="61" spans="1:16" ht="13.5" thickBot="1">
      <c r="A61" s="257">
        <f t="shared" si="0"/>
        <v>56</v>
      </c>
      <c r="B61" s="731" t="s">
        <v>1223</v>
      </c>
      <c r="C61" s="1666"/>
      <c r="D61" s="1666"/>
      <c r="E61" s="1658"/>
      <c r="F61" s="1659"/>
      <c r="G61" s="1665"/>
      <c r="H61" s="1661"/>
      <c r="I61" s="1662"/>
      <c r="J61" s="1662"/>
      <c r="K61" s="1662"/>
      <c r="L61" s="1663"/>
      <c r="M61" s="1664"/>
      <c r="N61" s="1668">
        <f>ROUND(+N59/M59,4)</f>
        <v>3.9100000000000003E-2</v>
      </c>
      <c r="O61" s="255"/>
      <c r="P61" s="1087"/>
    </row>
    <row r="62" spans="1:16" ht="13.5" thickTop="1">
      <c r="A62" s="257">
        <f t="shared" si="0"/>
        <v>57</v>
      </c>
      <c r="B62" s="299"/>
      <c r="C62" s="299"/>
      <c r="D62" s="299"/>
      <c r="E62" s="1065"/>
      <c r="F62" s="1070"/>
      <c r="G62" s="1065"/>
      <c r="H62" s="1071"/>
      <c r="I62" s="299"/>
      <c r="J62" s="299"/>
      <c r="K62" s="299"/>
      <c r="L62" s="1070"/>
      <c r="M62" s="1065"/>
      <c r="N62" s="1065"/>
      <c r="O62" s="1087"/>
      <c r="P62" s="1087"/>
    </row>
    <row r="63" spans="1:16">
      <c r="A63" s="257">
        <f t="shared" si="0"/>
        <v>58</v>
      </c>
      <c r="B63" s="1347" t="s">
        <v>1222</v>
      </c>
      <c r="C63" s="1096"/>
      <c r="D63" s="1096"/>
      <c r="E63" s="1097"/>
      <c r="F63" s="1098"/>
      <c r="G63" s="1097"/>
      <c r="H63" s="1099"/>
      <c r="I63" s="1096"/>
      <c r="J63" s="1096"/>
      <c r="K63" s="1096"/>
      <c r="L63" s="1098"/>
      <c r="M63" s="1097">
        <v>325000000</v>
      </c>
      <c r="N63" s="1100">
        <f>M63*N61</f>
        <v>12707500</v>
      </c>
      <c r="O63" s="1219"/>
      <c r="P63" s="1087"/>
    </row>
    <row r="64" spans="1:16">
      <c r="A64" s="1055"/>
      <c r="B64" s="1072"/>
      <c r="C64" s="299"/>
      <c r="D64" s="299"/>
      <c r="E64" s="1065"/>
      <c r="F64" s="1070"/>
      <c r="G64" s="1065"/>
      <c r="H64" s="1071"/>
      <c r="I64" s="299"/>
      <c r="J64" s="299"/>
      <c r="K64" s="299"/>
      <c r="L64" s="1070"/>
      <c r="M64" s="1065"/>
      <c r="N64" s="1065"/>
      <c r="O64" s="1104"/>
    </row>
    <row r="65" spans="1:17">
      <c r="A65" s="1055"/>
      <c r="B65" s="1072"/>
      <c r="C65" s="299"/>
      <c r="D65" s="299"/>
      <c r="E65" s="1065"/>
      <c r="F65" s="1070"/>
      <c r="G65" s="1065"/>
      <c r="H65" s="1071"/>
      <c r="I65" s="299"/>
      <c r="J65" s="299"/>
      <c r="K65" s="299"/>
      <c r="L65" s="1070"/>
      <c r="M65" s="1065"/>
      <c r="N65" s="1065"/>
    </row>
    <row r="66" spans="1:17">
      <c r="A66" s="257"/>
      <c r="B66" s="1072"/>
      <c r="C66" s="299"/>
      <c r="D66" s="299"/>
      <c r="E66" s="1065"/>
      <c r="F66" s="1070"/>
      <c r="G66" s="1065"/>
      <c r="H66" s="1071"/>
      <c r="I66" s="299"/>
      <c r="J66" s="299"/>
      <c r="K66" s="299"/>
      <c r="L66" s="1070"/>
      <c r="M66" s="1065"/>
      <c r="N66" s="1065"/>
    </row>
    <row r="67" spans="1:17">
      <c r="A67" s="257"/>
      <c r="B67" s="1072"/>
      <c r="C67" s="299"/>
      <c r="D67" s="299"/>
      <c r="E67" s="1065"/>
      <c r="F67" s="1070"/>
      <c r="G67" s="1065"/>
      <c r="H67" s="1071"/>
      <c r="I67" s="299"/>
      <c r="J67" s="299"/>
      <c r="K67" s="299"/>
      <c r="L67" s="1070"/>
      <c r="M67" s="1065"/>
      <c r="N67" s="1065"/>
    </row>
    <row r="68" spans="1:17">
      <c r="A68" s="257"/>
      <c r="B68" s="299"/>
      <c r="C68" s="299"/>
      <c r="D68" s="299"/>
      <c r="E68" s="1065"/>
      <c r="F68" s="1070"/>
      <c r="G68" s="1065"/>
      <c r="H68" s="1071"/>
      <c r="I68" s="299"/>
      <c r="J68" s="299"/>
      <c r="K68" s="299"/>
      <c r="L68" s="1070"/>
      <c r="M68" s="1065"/>
      <c r="N68" s="1065"/>
      <c r="O68" s="256"/>
      <c r="P68" s="256"/>
      <c r="Q68" s="256"/>
    </row>
    <row r="69" spans="1:17" ht="12.75" customHeight="1">
      <c r="A69" s="257"/>
      <c r="B69" s="299"/>
      <c r="C69" s="1101"/>
      <c r="D69" s="1101"/>
      <c r="E69" s="1102"/>
      <c r="F69" s="1070"/>
      <c r="G69" s="1065"/>
      <c r="H69" s="1071"/>
      <c r="I69" s="299"/>
      <c r="J69" s="299"/>
      <c r="K69" s="299"/>
      <c r="L69" s="1070"/>
      <c r="M69" s="1065"/>
      <c r="N69" s="1065"/>
      <c r="O69" s="256"/>
      <c r="P69" s="256"/>
      <c r="Q69" s="256"/>
    </row>
    <row r="70" spans="1:17">
      <c r="A70" s="257"/>
      <c r="B70" s="299"/>
      <c r="C70" s="1103"/>
      <c r="D70" s="1103"/>
      <c r="E70" s="1103"/>
      <c r="F70" s="1103"/>
      <c r="G70" s="1103"/>
      <c r="H70" s="1103"/>
      <c r="I70" s="1103"/>
      <c r="J70" s="1103"/>
      <c r="K70" s="1103"/>
      <c r="L70" s="1103"/>
      <c r="M70" s="1103"/>
      <c r="N70" s="1103"/>
      <c r="O70" s="256"/>
      <c r="P70" s="256"/>
      <c r="Q70" s="256"/>
    </row>
    <row r="71" spans="1:17">
      <c r="A71" s="257"/>
      <c r="B71" s="1087"/>
    </row>
    <row r="72" spans="1:17">
      <c r="A72" s="257"/>
    </row>
  </sheetData>
  <mergeCells count="1">
    <mergeCell ref="O25:P25"/>
  </mergeCells>
  <printOptions horizontalCentered="1"/>
  <pageMargins left="0.5" right="0.5" top="0.75" bottom="0.25" header="0.3" footer="0.3"/>
  <pageSetup scale="62"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pageSetUpPr autoPageBreaks="0"/>
  </sheetPr>
  <dimension ref="A1:Z189"/>
  <sheetViews>
    <sheetView workbookViewId="0"/>
  </sheetViews>
  <sheetFormatPr defaultColWidth="10.6640625" defaultRowHeight="12.75"/>
  <cols>
    <col min="1" max="1" width="6.83203125" style="164" customWidth="1"/>
    <col min="2" max="2" width="9.6640625" style="164" customWidth="1"/>
    <col min="3" max="3" width="3.33203125" style="35" customWidth="1"/>
    <col min="4" max="4" width="65.33203125" style="164" customWidth="1"/>
    <col min="5" max="5" width="3.33203125" style="164" customWidth="1"/>
    <col min="6" max="6" width="20" style="165" bestFit="1" customWidth="1"/>
    <col min="7" max="7" width="3.33203125" style="167" customWidth="1"/>
    <col min="8" max="8" width="14.83203125" style="165" customWidth="1"/>
    <col min="9" max="13" width="15.33203125" style="165" customWidth="1"/>
    <col min="14" max="14" width="19" style="165" customWidth="1"/>
    <col min="15" max="15" width="16.33203125" style="165" customWidth="1"/>
    <col min="16" max="16" width="15.33203125" style="165" customWidth="1"/>
    <col min="17" max="17" width="16" style="165" customWidth="1"/>
    <col min="18" max="19" width="16.33203125" style="165" customWidth="1"/>
    <col min="20" max="20" width="19.83203125" style="167" customWidth="1"/>
    <col min="21" max="21" width="17.83203125" style="167" customWidth="1"/>
    <col min="22" max="22" width="10.6640625" style="98" customWidth="1"/>
    <col min="23" max="23" width="10" style="98" customWidth="1"/>
    <col min="24" max="24" width="21.83203125" style="98" customWidth="1"/>
    <col min="25" max="26" width="21.83203125" style="98" bestFit="1" customWidth="1"/>
    <col min="27" max="16384" width="10.6640625" style="98"/>
  </cols>
  <sheetData>
    <row r="1" spans="1:26" ht="16.5" customHeight="1">
      <c r="A1" s="69" t="str">
        <f>Company</f>
        <v>BLACK HILLS NEBRASKA GAS, LLC</v>
      </c>
      <c r="B1" s="97"/>
      <c r="C1" s="34"/>
      <c r="D1" s="97"/>
      <c r="E1" s="97"/>
      <c r="F1" s="1181"/>
      <c r="G1" s="97"/>
      <c r="H1" s="98"/>
      <c r="I1" s="98"/>
      <c r="J1" s="202"/>
      <c r="K1" s="202"/>
      <c r="L1" s="98"/>
      <c r="M1" s="1173"/>
      <c r="O1" s="98"/>
      <c r="P1" s="615" t="s">
        <v>1317</v>
      </c>
      <c r="Q1" s="98"/>
      <c r="R1" s="98"/>
      <c r="S1" s="98"/>
      <c r="T1" s="98"/>
      <c r="U1" s="615" t="s">
        <v>1317</v>
      </c>
      <c r="X1" s="1181"/>
      <c r="Y1" s="1181"/>
    </row>
    <row r="2" spans="1:26" ht="16.5" customHeight="1">
      <c r="A2" s="35" t="s">
        <v>275</v>
      </c>
      <c r="B2" s="97"/>
      <c r="F2" s="97"/>
      <c r="G2" s="164"/>
      <c r="H2" s="98"/>
      <c r="I2" s="98"/>
      <c r="J2" s="869"/>
      <c r="K2" s="762"/>
      <c r="L2" s="98"/>
      <c r="M2" s="1173"/>
      <c r="O2" s="98"/>
      <c r="P2" s="615" t="str">
        <f>Attach</f>
        <v>FINAL - BH January 15, 2021 Rev. Req. Model</v>
      </c>
      <c r="Q2" s="98"/>
      <c r="R2" s="98"/>
      <c r="S2" s="98"/>
      <c r="T2" s="164"/>
      <c r="U2" s="72" t="str">
        <f>Attach</f>
        <v>FINAL - BH January 15, 2021 Rev. Req. Model</v>
      </c>
    </row>
    <row r="3" spans="1:26">
      <c r="A3" s="70" t="str">
        <f>TYEnded</f>
        <v>FOR THE TEST YEAR ENDING DECEMBER 31, 2020</v>
      </c>
      <c r="B3" s="97"/>
      <c r="F3" s="97"/>
      <c r="G3" s="164"/>
      <c r="H3" s="98"/>
      <c r="I3" s="98"/>
      <c r="J3" s="869"/>
      <c r="K3" s="762"/>
      <c r="L3" s="98"/>
      <c r="M3" s="98"/>
      <c r="O3" s="98"/>
      <c r="P3" s="1106" t="s">
        <v>394</v>
      </c>
      <c r="Q3" s="98"/>
      <c r="R3" s="98"/>
      <c r="S3" s="98"/>
      <c r="T3" s="164"/>
      <c r="U3" s="116" t="s">
        <v>394</v>
      </c>
    </row>
    <row r="4" spans="1:26">
      <c r="A4" s="1375"/>
      <c r="B4" s="98"/>
      <c r="D4" s="1379"/>
      <c r="F4" s="98"/>
      <c r="G4" s="164"/>
      <c r="H4" s="98"/>
      <c r="J4" s="869"/>
      <c r="K4" s="762"/>
      <c r="L4" s="98"/>
      <c r="M4" s="98"/>
      <c r="N4" s="98"/>
      <c r="O4" s="98"/>
      <c r="P4" s="98"/>
      <c r="Q4" s="98"/>
      <c r="R4" s="98"/>
      <c r="S4" s="98"/>
      <c r="T4" s="164"/>
      <c r="U4" s="164"/>
    </row>
    <row r="5" spans="1:26">
      <c r="A5" s="97"/>
      <c r="B5" s="97"/>
      <c r="C5" s="34"/>
      <c r="D5" s="1379"/>
      <c r="E5" s="97"/>
      <c r="F5" s="166"/>
      <c r="G5" s="165"/>
      <c r="I5" s="1379"/>
      <c r="T5" s="164"/>
    </row>
    <row r="6" spans="1:26" ht="14.25" customHeight="1">
      <c r="A6" s="67"/>
      <c r="B6" s="67"/>
      <c r="C6" s="67"/>
      <c r="D6" s="1379"/>
      <c r="E6" s="67"/>
      <c r="F6" s="28" t="s">
        <v>199</v>
      </c>
      <c r="G6" s="405"/>
      <c r="H6" s="28" t="s">
        <v>200</v>
      </c>
      <c r="I6" s="28" t="s">
        <v>41</v>
      </c>
      <c r="J6" s="28" t="s">
        <v>202</v>
      </c>
      <c r="K6" s="28" t="s">
        <v>203</v>
      </c>
      <c r="L6" s="28" t="s">
        <v>204</v>
      </c>
      <c r="M6" s="28" t="s">
        <v>205</v>
      </c>
      <c r="N6" s="1107" t="s">
        <v>206</v>
      </c>
      <c r="O6" s="28" t="s">
        <v>207</v>
      </c>
      <c r="P6" s="28" t="s">
        <v>208</v>
      </c>
      <c r="Q6" s="28" t="s">
        <v>209</v>
      </c>
      <c r="R6" s="460" t="s">
        <v>1</v>
      </c>
      <c r="S6" s="1107" t="s">
        <v>2</v>
      </c>
      <c r="T6" s="460" t="s">
        <v>497</v>
      </c>
      <c r="U6" s="460" t="s">
        <v>973</v>
      </c>
    </row>
    <row r="7" spans="1:26" ht="12" customHeight="1">
      <c r="A7" s="67"/>
      <c r="B7" s="67"/>
      <c r="C7" s="67"/>
      <c r="D7" s="1379"/>
      <c r="E7" s="67"/>
      <c r="F7" s="405"/>
      <c r="G7" s="405"/>
      <c r="H7" s="28"/>
      <c r="I7" s="28"/>
      <c r="J7" s="28"/>
      <c r="K7" s="28"/>
      <c r="L7" s="28"/>
      <c r="M7" s="28"/>
      <c r="N7" s="28"/>
      <c r="O7" s="28"/>
      <c r="P7" s="28"/>
      <c r="Q7" s="28"/>
      <c r="R7" s="28"/>
      <c r="S7" s="28"/>
      <c r="T7" s="28"/>
      <c r="U7" s="28"/>
    </row>
    <row r="8" spans="1:26" s="67" customFormat="1" ht="11.25" customHeight="1">
      <c r="A8" s="59" t="s">
        <v>59</v>
      </c>
      <c r="B8" s="9" t="s">
        <v>241</v>
      </c>
      <c r="C8" s="59"/>
      <c r="D8" s="59"/>
      <c r="E8" s="59"/>
      <c r="F8" s="761" t="s">
        <v>1053</v>
      </c>
      <c r="G8" s="9"/>
      <c r="H8" s="762"/>
      <c r="I8" s="762"/>
      <c r="J8" s="869"/>
      <c r="K8" s="762"/>
      <c r="L8" s="762"/>
      <c r="M8" s="762"/>
      <c r="N8" s="869"/>
      <c r="O8" s="869"/>
      <c r="P8" s="762"/>
      <c r="Q8" s="808"/>
      <c r="R8" s="869"/>
      <c r="S8" s="808"/>
      <c r="T8" s="59" t="s">
        <v>229</v>
      </c>
      <c r="U8" s="59" t="s">
        <v>212</v>
      </c>
      <c r="W8" s="75">
        <v>1</v>
      </c>
      <c r="X8" s="86" t="str">
        <f>References!$C$17</f>
        <v>Exhibit No. MCC-2 NEG</v>
      </c>
      <c r="Y8" s="86" t="str">
        <f>References!$D$17</f>
        <v>Exhibit No. MCC-2 NEGD</v>
      </c>
      <c r="Z8" s="86" t="str">
        <f>References!$E$17</f>
        <v>FINAL - BH January 15, 2021 Rev. Req. Model</v>
      </c>
    </row>
    <row r="9" spans="1:26" s="67" customFormat="1">
      <c r="A9" s="406" t="s">
        <v>195</v>
      </c>
      <c r="B9" s="407" t="s">
        <v>516</v>
      </c>
      <c r="C9" s="408" t="s">
        <v>196</v>
      </c>
      <c r="D9" s="408"/>
      <c r="E9" s="59"/>
      <c r="F9" s="409" t="s">
        <v>212</v>
      </c>
      <c r="G9" s="59"/>
      <c r="H9" s="410" t="s">
        <v>119</v>
      </c>
      <c r="I9" s="410" t="s">
        <v>156</v>
      </c>
      <c r="J9" s="410" t="s">
        <v>215</v>
      </c>
      <c r="K9" s="410" t="s">
        <v>103</v>
      </c>
      <c r="L9" s="410" t="s">
        <v>26</v>
      </c>
      <c r="M9" s="410" t="s">
        <v>25</v>
      </c>
      <c r="N9" s="410" t="s">
        <v>261</v>
      </c>
      <c r="O9" s="410" t="s">
        <v>24</v>
      </c>
      <c r="P9" s="410" t="s">
        <v>67</v>
      </c>
      <c r="Q9" s="410" t="s">
        <v>27</v>
      </c>
      <c r="R9" s="410" t="s">
        <v>28</v>
      </c>
      <c r="S9" s="410" t="s">
        <v>331</v>
      </c>
      <c r="T9" s="410" t="s">
        <v>14</v>
      </c>
      <c r="U9" s="409" t="s">
        <v>229</v>
      </c>
      <c r="W9" s="75">
        <f>1+W8</f>
        <v>2</v>
      </c>
      <c r="X9" s="82" t="str">
        <f>References!$C$18</f>
        <v>NEG</v>
      </c>
      <c r="Y9" s="82" t="str">
        <f>References!$D$18</f>
        <v>NEGD</v>
      </c>
      <c r="Z9" s="75" t="str">
        <f>References!$E$18</f>
        <v>Tot Co</v>
      </c>
    </row>
    <row r="10" spans="1:26">
      <c r="A10" s="107">
        <v>1</v>
      </c>
      <c r="B10" s="96"/>
      <c r="C10" s="34"/>
      <c r="D10" s="34"/>
      <c r="E10" s="97"/>
      <c r="F10" s="133"/>
      <c r="G10" s="165"/>
      <c r="H10" s="133"/>
      <c r="I10" s="133"/>
      <c r="J10" s="133"/>
      <c r="K10" s="133"/>
      <c r="L10" s="133"/>
      <c r="M10" s="133"/>
      <c r="N10" s="133"/>
      <c r="O10" s="133"/>
      <c r="P10" s="133"/>
      <c r="Q10" s="133"/>
      <c r="R10" s="133"/>
      <c r="S10" s="133"/>
      <c r="T10" s="133"/>
      <c r="U10" s="133"/>
      <c r="W10" s="75">
        <f t="shared" ref="W10:W136" si="0">1+W9</f>
        <v>3</v>
      </c>
      <c r="X10" s="82"/>
      <c r="Y10" s="82"/>
      <c r="Z10" s="75"/>
    </row>
    <row r="11" spans="1:26">
      <c r="A11" s="170">
        <f t="shared" ref="A11:A38" si="1">A10+1</f>
        <v>2</v>
      </c>
      <c r="B11" s="96"/>
      <c r="C11" s="67" t="s">
        <v>696</v>
      </c>
      <c r="D11" s="67"/>
      <c r="E11" s="98"/>
      <c r="F11" s="133"/>
      <c r="G11" s="165"/>
      <c r="H11" s="133"/>
      <c r="I11" s="133"/>
      <c r="J11" s="133"/>
      <c r="K11" s="133"/>
      <c r="L11" s="133"/>
      <c r="M11" s="133"/>
      <c r="N11" s="133"/>
      <c r="O11" s="133"/>
      <c r="P11" s="133"/>
      <c r="Q11" s="133"/>
      <c r="R11" s="133"/>
      <c r="S11" s="133"/>
      <c r="T11" s="133"/>
      <c r="U11" s="133"/>
      <c r="W11" s="75">
        <f t="shared" si="0"/>
        <v>4</v>
      </c>
      <c r="X11" s="82"/>
      <c r="Y11" s="82"/>
      <c r="Z11" s="75"/>
    </row>
    <row r="12" spans="1:26">
      <c r="A12" s="170">
        <f t="shared" si="1"/>
        <v>3</v>
      </c>
      <c r="B12" s="96"/>
      <c r="C12" s="67"/>
      <c r="D12" s="67" t="s">
        <v>163</v>
      </c>
      <c r="E12" s="98"/>
      <c r="F12" s="133"/>
      <c r="G12" s="165"/>
      <c r="H12" s="133"/>
      <c r="I12" s="133"/>
      <c r="J12" s="133"/>
      <c r="K12" s="133"/>
      <c r="L12" s="133"/>
      <c r="M12" s="133"/>
      <c r="N12" s="133"/>
      <c r="O12" s="133"/>
      <c r="P12" s="133"/>
      <c r="Q12" s="133"/>
      <c r="R12" s="133"/>
      <c r="S12" s="133"/>
      <c r="T12" s="133"/>
      <c r="U12" s="133"/>
      <c r="W12" s="75">
        <f t="shared" si="0"/>
        <v>5</v>
      </c>
      <c r="X12" s="82"/>
      <c r="Y12" s="82"/>
      <c r="Z12" s="75"/>
    </row>
    <row r="13" spans="1:26">
      <c r="A13" s="170">
        <f t="shared" si="1"/>
        <v>4</v>
      </c>
      <c r="B13" s="170">
        <v>750</v>
      </c>
      <c r="C13" s="67"/>
      <c r="D13" s="98" t="s">
        <v>131</v>
      </c>
      <c r="E13" s="98"/>
      <c r="F13" s="613">
        <f t="shared" ref="F13:F22" si="2">HLOOKUP(Attach,$X$8:$AC$274,W13,FALSE)</f>
        <v>0</v>
      </c>
      <c r="G13" s="165"/>
      <c r="H13" s="764">
        <f>SUMIF('Sched H-1'!$B:$B,$B13,'Sched H-1'!$K:$K)</f>
        <v>0</v>
      </c>
      <c r="I13" s="765">
        <f>SUMIF('Sched H-2'!$B:$B,$B13,'Sched H-2'!$K:$K)</f>
        <v>0</v>
      </c>
      <c r="J13" s="764">
        <f>-SUMIF('Sched H-3'!$B:$B,$B13,'Sched H-3'!$H:$H)</f>
        <v>0</v>
      </c>
      <c r="K13" s="764">
        <f>SUMIF('Sched H-4'!$B:$B,$B13,'Sched H-4'!$J:$J)</f>
        <v>0</v>
      </c>
      <c r="L13" s="764">
        <f>SUMIF('Sched H-5'!$B:$B,$B13,'Sched H-5'!$F:$F)</f>
        <v>0</v>
      </c>
      <c r="M13" s="764">
        <f>SUMIF('Sched H-6'!$B:$B,$B13,'Sched H-6'!$AC:$AC)</f>
        <v>0</v>
      </c>
      <c r="N13" s="764">
        <v>0</v>
      </c>
      <c r="O13" s="765">
        <v>0</v>
      </c>
      <c r="P13" s="764">
        <f>SUMIF('Sched H-9'!$B:$B,$B13,'Sched H-9'!$H:$H)</f>
        <v>0</v>
      </c>
      <c r="Q13" s="764">
        <f>SUMIF('Sched H-10'!$B:$B,$B13,'Sched H-10'!$J:$J)</f>
        <v>0</v>
      </c>
      <c r="R13" s="764">
        <f>SUMIF('Sched H-11'!$B:$B,$B13,'Sched H-11'!$I:$I)</f>
        <v>0</v>
      </c>
      <c r="S13" s="764">
        <f>SUMIF('Sched H-12'!$B:$B,$B13,'Sched H-12'!$G:$G)</f>
        <v>0</v>
      </c>
      <c r="T13" s="764">
        <f t="shared" ref="T13:T22" si="3">SUM(H13:S13)</f>
        <v>0</v>
      </c>
      <c r="U13" s="766">
        <f t="shared" ref="U13:U22" si="4">SUM(F13:S13)</f>
        <v>0</v>
      </c>
      <c r="W13" s="75">
        <f t="shared" si="0"/>
        <v>6</v>
      </c>
      <c r="X13" s="986">
        <v>0</v>
      </c>
      <c r="Y13" s="986">
        <v>0</v>
      </c>
      <c r="Z13" s="937">
        <f t="shared" ref="Z13:Z23" si="5">+X13+Y13</f>
        <v>0</v>
      </c>
    </row>
    <row r="14" spans="1:26">
      <c r="A14" s="170">
        <f t="shared" si="1"/>
        <v>5</v>
      </c>
      <c r="B14" s="170">
        <v>752</v>
      </c>
      <c r="C14" s="67"/>
      <c r="D14" s="98" t="s">
        <v>919</v>
      </c>
      <c r="E14" s="98"/>
      <c r="F14" s="768">
        <f t="shared" si="2"/>
        <v>0</v>
      </c>
      <c r="G14" s="768"/>
      <c r="H14" s="769">
        <f>SUMIF('Sched H-1'!$B:$B,$B14,'Sched H-1'!$K:$K)</f>
        <v>0</v>
      </c>
      <c r="I14" s="774">
        <f>SUMIF('Sched H-2'!$B:$B,$B14,'Sched H-2'!$K:$K)</f>
        <v>0</v>
      </c>
      <c r="J14" s="769">
        <f>-SUMIF('Sched H-3'!$B:$B,$B14,'Sched H-3'!$H:$H)</f>
        <v>0</v>
      </c>
      <c r="K14" s="769">
        <f>SUMIF('Sched H-4'!$B:$B,$B14,'Sched H-4'!$J:$J)</f>
        <v>0</v>
      </c>
      <c r="L14" s="769">
        <f>SUMIF('Sched H-5'!$B:$B,$B14,'Sched H-5'!$F:$F)</f>
        <v>0</v>
      </c>
      <c r="M14" s="769">
        <f>SUMIF('Sched H-6'!$B:$B,$B14,'Sched H-6'!$AC:$AC)</f>
        <v>0</v>
      </c>
      <c r="N14" s="769">
        <v>0</v>
      </c>
      <c r="O14" s="769">
        <v>0</v>
      </c>
      <c r="P14" s="769">
        <f>SUMIF('Sched H-9'!$B:$B,$B14,'Sched H-9'!$H:$H)</f>
        <v>0</v>
      </c>
      <c r="Q14" s="769">
        <f>SUMIF('Sched H-10'!$B:$B,$B14,'Sched H-10'!$J:$J)</f>
        <v>0</v>
      </c>
      <c r="R14" s="769">
        <f>SUMIF('Sched H-11'!$B:$B,$B14,'Sched H-11'!$I:$I)</f>
        <v>0</v>
      </c>
      <c r="S14" s="769">
        <f>SUMIF('Sched H-12'!$B:$B,$B14,'Sched H-12'!$G:$G)</f>
        <v>0</v>
      </c>
      <c r="T14" s="769">
        <f t="shared" si="3"/>
        <v>0</v>
      </c>
      <c r="U14" s="775">
        <f t="shared" si="4"/>
        <v>0</v>
      </c>
      <c r="W14" s="75">
        <f t="shared" si="0"/>
        <v>7</v>
      </c>
      <c r="X14" s="986">
        <v>0</v>
      </c>
      <c r="Y14" s="986">
        <v>0</v>
      </c>
      <c r="Z14" s="937">
        <f t="shared" si="5"/>
        <v>0</v>
      </c>
    </row>
    <row r="15" spans="1:26">
      <c r="A15" s="170">
        <f t="shared" si="1"/>
        <v>6</v>
      </c>
      <c r="B15" s="170">
        <v>753</v>
      </c>
      <c r="C15" s="67"/>
      <c r="D15" s="98" t="s">
        <v>920</v>
      </c>
      <c r="E15" s="98"/>
      <c r="F15" s="768">
        <f t="shared" si="2"/>
        <v>0</v>
      </c>
      <c r="G15" s="768"/>
      <c r="H15" s="769">
        <f>SUMIF('Sched H-1'!$B:$B,$B15,'Sched H-1'!$K:$K)</f>
        <v>0</v>
      </c>
      <c r="I15" s="774">
        <f>SUMIF('Sched H-2'!$B:$B,$B15,'Sched H-2'!$K:$K)</f>
        <v>0</v>
      </c>
      <c r="J15" s="769">
        <f>-SUMIF('Sched H-3'!$B:$B,$B15,'Sched H-3'!$H:$H)</f>
        <v>0</v>
      </c>
      <c r="K15" s="769">
        <f>SUMIF('Sched H-4'!$B:$B,$B15,'Sched H-4'!$J:$J)</f>
        <v>0</v>
      </c>
      <c r="L15" s="769">
        <f>SUMIF('Sched H-5'!$B:$B,$B15,'Sched H-5'!$F:$F)</f>
        <v>0</v>
      </c>
      <c r="M15" s="769">
        <f>SUMIF('Sched H-6'!$B:$B,$B15,'Sched H-6'!$AC:$AC)</f>
        <v>0</v>
      </c>
      <c r="N15" s="769">
        <v>0</v>
      </c>
      <c r="O15" s="769">
        <v>0</v>
      </c>
      <c r="P15" s="769">
        <f>SUMIF('Sched H-9'!$B:$B,$B15,'Sched H-9'!$H:$H)</f>
        <v>0</v>
      </c>
      <c r="Q15" s="769">
        <f>SUMIF('Sched H-10'!$B:$B,$B15,'Sched H-10'!$J:$J)</f>
        <v>0</v>
      </c>
      <c r="R15" s="769">
        <f>SUMIF('Sched H-11'!$B:$B,$B15,'Sched H-11'!$I:$I)</f>
        <v>0</v>
      </c>
      <c r="S15" s="769">
        <f>SUMIF('Sched H-12'!$B:$B,$B15,'Sched H-12'!$G:$G)</f>
        <v>0</v>
      </c>
      <c r="T15" s="769">
        <f t="shared" si="3"/>
        <v>0</v>
      </c>
      <c r="U15" s="775">
        <f t="shared" si="4"/>
        <v>0</v>
      </c>
      <c r="W15" s="75">
        <f t="shared" si="0"/>
        <v>8</v>
      </c>
      <c r="X15" s="986">
        <v>0</v>
      </c>
      <c r="Y15" s="986">
        <v>0</v>
      </c>
      <c r="Z15" s="937">
        <f t="shared" si="5"/>
        <v>0</v>
      </c>
    </row>
    <row r="16" spans="1:26">
      <c r="A16" s="170">
        <f t="shared" si="1"/>
        <v>7</v>
      </c>
      <c r="B16" s="170">
        <v>754</v>
      </c>
      <c r="C16" s="67"/>
      <c r="D16" s="98" t="s">
        <v>921</v>
      </c>
      <c r="E16" s="98"/>
      <c r="F16" s="768">
        <f t="shared" si="2"/>
        <v>0</v>
      </c>
      <c r="G16" s="768"/>
      <c r="H16" s="769">
        <f>SUMIF('Sched H-1'!$B:$B,$B16,'Sched H-1'!$K:$K)</f>
        <v>0</v>
      </c>
      <c r="I16" s="769">
        <f>SUMIF('Sched H-2'!$B:$B,$B16,'Sched H-2'!$K:$K)</f>
        <v>0</v>
      </c>
      <c r="J16" s="769">
        <f>-SUMIF('Sched H-3'!$B:$B,$B16,'Sched H-3'!$H:$H)</f>
        <v>0</v>
      </c>
      <c r="K16" s="769">
        <f>SUMIF('Sched H-4'!$B:$B,$B16,'Sched H-4'!$J:$J)</f>
        <v>0</v>
      </c>
      <c r="L16" s="769">
        <f>SUMIF('Sched H-5'!$B:$B,$B16,'Sched H-5'!$F:$F)</f>
        <v>0</v>
      </c>
      <c r="M16" s="769">
        <f>SUMIF('Sched H-6'!$B:$B,$B16,'Sched H-6'!$AC:$AC)</f>
        <v>0</v>
      </c>
      <c r="N16" s="769">
        <v>0</v>
      </c>
      <c r="O16" s="769">
        <v>0</v>
      </c>
      <c r="P16" s="769">
        <f>SUMIF('Sched H-9'!$B:$B,$B16,'Sched H-9'!$H:$H)</f>
        <v>0</v>
      </c>
      <c r="Q16" s="769">
        <f>SUMIF('Sched H-10'!$B:$B,$B16,'Sched H-10'!$J:$J)</f>
        <v>0</v>
      </c>
      <c r="R16" s="769">
        <f>SUMIF('Sched H-11'!$B:$B,$B16,'Sched H-11'!$I:$I)</f>
        <v>0</v>
      </c>
      <c r="S16" s="769">
        <f>SUMIF('Sched H-12'!$B:$B,$B16,'Sched H-12'!$G:$G)</f>
        <v>0</v>
      </c>
      <c r="T16" s="769">
        <f t="shared" si="3"/>
        <v>0</v>
      </c>
      <c r="U16" s="775">
        <f t="shared" si="4"/>
        <v>0</v>
      </c>
      <c r="W16" s="75">
        <f t="shared" si="0"/>
        <v>9</v>
      </c>
      <c r="X16" s="986">
        <v>0</v>
      </c>
      <c r="Y16" s="986">
        <v>0</v>
      </c>
      <c r="Z16" s="937">
        <f t="shared" si="5"/>
        <v>0</v>
      </c>
    </row>
    <row r="17" spans="1:26">
      <c r="A17" s="170">
        <f t="shared" si="1"/>
        <v>8</v>
      </c>
      <c r="B17" s="170">
        <v>755</v>
      </c>
      <c r="C17" s="67"/>
      <c r="D17" s="98" t="s">
        <v>903</v>
      </c>
      <c r="E17" s="98"/>
      <c r="F17" s="768">
        <f t="shared" si="2"/>
        <v>0</v>
      </c>
      <c r="G17" s="768"/>
      <c r="H17" s="769">
        <f>SUMIF('Sched H-1'!$B:$B,$B17,'Sched H-1'!$K:$K)</f>
        <v>0</v>
      </c>
      <c r="I17" s="769">
        <f>SUMIF('Sched H-2'!$B:$B,$B17,'Sched H-2'!$K:$K)</f>
        <v>0</v>
      </c>
      <c r="J17" s="769">
        <f>-SUMIF('Sched H-3'!$B:$B,$B17,'Sched H-3'!$H:$H)</f>
        <v>0</v>
      </c>
      <c r="K17" s="769">
        <f>SUMIF('Sched H-4'!$B:$B,$B17,'Sched H-4'!$J:$J)</f>
        <v>0</v>
      </c>
      <c r="L17" s="769">
        <f>SUMIF('Sched H-5'!$B:$B,$B17,'Sched H-5'!$F:$F)</f>
        <v>0</v>
      </c>
      <c r="M17" s="769">
        <f>SUMIF('Sched H-6'!$B:$B,$B17,'Sched H-6'!$AC:$AC)</f>
        <v>0</v>
      </c>
      <c r="N17" s="769">
        <v>0</v>
      </c>
      <c r="O17" s="769">
        <v>0</v>
      </c>
      <c r="P17" s="769">
        <f>SUMIF('Sched H-9'!$B:$B,$B17,'Sched H-9'!$H:$H)</f>
        <v>0</v>
      </c>
      <c r="Q17" s="769">
        <f>SUMIF('Sched H-10'!$B:$B,$B17,'Sched H-10'!$J:$J)</f>
        <v>0</v>
      </c>
      <c r="R17" s="769">
        <f>SUMIF('Sched H-11'!$B:$B,$B17,'Sched H-11'!$I:$I)</f>
        <v>0</v>
      </c>
      <c r="S17" s="769">
        <f>SUMIF('Sched H-12'!$B:$B,$B17,'Sched H-12'!$G:$G)</f>
        <v>0</v>
      </c>
      <c r="T17" s="769">
        <f t="shared" si="3"/>
        <v>0</v>
      </c>
      <c r="U17" s="775">
        <f t="shared" si="4"/>
        <v>0</v>
      </c>
      <c r="W17" s="75">
        <f t="shared" si="0"/>
        <v>10</v>
      </c>
      <c r="X17" s="986">
        <v>0</v>
      </c>
      <c r="Y17" s="986">
        <v>0</v>
      </c>
      <c r="Z17" s="937">
        <f t="shared" si="5"/>
        <v>0</v>
      </c>
    </row>
    <row r="18" spans="1:26">
      <c r="A18" s="170">
        <f t="shared" si="1"/>
        <v>9</v>
      </c>
      <c r="B18" s="170">
        <v>756</v>
      </c>
      <c r="C18" s="67"/>
      <c r="D18" s="98" t="s">
        <v>922</v>
      </c>
      <c r="E18" s="98"/>
      <c r="F18" s="768">
        <f t="shared" si="2"/>
        <v>0</v>
      </c>
      <c r="G18" s="768"/>
      <c r="H18" s="769">
        <f>SUMIF('Sched H-1'!$B:$B,$B18,'Sched H-1'!$K:$K)</f>
        <v>0</v>
      </c>
      <c r="I18" s="769">
        <f>SUMIF('Sched H-2'!$B:$B,$B18,'Sched H-2'!$K:$K)</f>
        <v>0</v>
      </c>
      <c r="J18" s="769">
        <f>-SUMIF('Sched H-3'!$B:$B,$B18,'Sched H-3'!$H:$H)</f>
        <v>0</v>
      </c>
      <c r="K18" s="769">
        <f>SUMIF('Sched H-4'!$B:$B,$B18,'Sched H-4'!$J:$J)</f>
        <v>0</v>
      </c>
      <c r="L18" s="769">
        <f>SUMIF('Sched H-5'!$B:$B,$B18,'Sched H-5'!$F:$F)</f>
        <v>0</v>
      </c>
      <c r="M18" s="769">
        <f>SUMIF('Sched H-6'!$B:$B,$B18,'Sched H-6'!$AC:$AC)</f>
        <v>0</v>
      </c>
      <c r="N18" s="769">
        <v>0</v>
      </c>
      <c r="O18" s="769">
        <v>0</v>
      </c>
      <c r="P18" s="769">
        <f>SUMIF('Sched H-9'!$B:$B,$B18,'Sched H-9'!$H:$H)</f>
        <v>0</v>
      </c>
      <c r="Q18" s="769">
        <f>SUMIF('Sched H-10'!$B:$B,$B18,'Sched H-10'!$J:$J)</f>
        <v>0</v>
      </c>
      <c r="R18" s="769">
        <f>SUMIF('Sched H-11'!$B:$B,$B18,'Sched H-11'!$I:$I)</f>
        <v>0</v>
      </c>
      <c r="S18" s="769">
        <f>SUMIF('Sched H-12'!$B:$B,$B18,'Sched H-12'!$G:$G)</f>
        <v>0</v>
      </c>
      <c r="T18" s="769">
        <f t="shared" si="3"/>
        <v>0</v>
      </c>
      <c r="U18" s="775">
        <f t="shared" si="4"/>
        <v>0</v>
      </c>
      <c r="W18" s="75">
        <f t="shared" si="0"/>
        <v>11</v>
      </c>
      <c r="X18" s="986">
        <v>0</v>
      </c>
      <c r="Y18" s="986">
        <v>0</v>
      </c>
      <c r="Z18" s="937">
        <f t="shared" si="5"/>
        <v>0</v>
      </c>
    </row>
    <row r="19" spans="1:26">
      <c r="A19" s="170">
        <f t="shared" si="1"/>
        <v>10</v>
      </c>
      <c r="B19" s="170">
        <v>757</v>
      </c>
      <c r="C19" s="67"/>
      <c r="D19" s="98" t="s">
        <v>732</v>
      </c>
      <c r="E19" s="98"/>
      <c r="F19" s="768">
        <f t="shared" si="2"/>
        <v>0</v>
      </c>
      <c r="G19" s="768"/>
      <c r="H19" s="769">
        <f>SUMIF('Sched H-1'!$B:$B,$B19,'Sched H-1'!$K:$K)</f>
        <v>0</v>
      </c>
      <c r="I19" s="769">
        <f>SUMIF('Sched H-2'!$B:$B,$B19,'Sched H-2'!$K:$K)</f>
        <v>0</v>
      </c>
      <c r="J19" s="769">
        <f>-SUMIF('Sched H-3'!$B:$B,$B19,'Sched H-3'!$H:$H)</f>
        <v>0</v>
      </c>
      <c r="K19" s="769">
        <f>SUMIF('Sched H-4'!$B:$B,$B19,'Sched H-4'!$J:$J)</f>
        <v>0</v>
      </c>
      <c r="L19" s="769">
        <f>SUMIF('Sched H-5'!$B:$B,$B19,'Sched H-5'!$F:$F)</f>
        <v>0</v>
      </c>
      <c r="M19" s="769">
        <f>SUMIF('Sched H-6'!$B:$B,$B19,'Sched H-6'!$AC:$AC)</f>
        <v>0</v>
      </c>
      <c r="N19" s="769">
        <v>0</v>
      </c>
      <c r="O19" s="769">
        <v>0</v>
      </c>
      <c r="P19" s="769">
        <f>SUMIF('Sched H-9'!$B:$B,$B19,'Sched H-9'!$H:$H)</f>
        <v>0</v>
      </c>
      <c r="Q19" s="769">
        <f>SUMIF('Sched H-10'!$B:$B,$B19,'Sched H-10'!$J:$J)</f>
        <v>0</v>
      </c>
      <c r="R19" s="769">
        <f>SUMIF('Sched H-11'!$B:$B,$B19,'Sched H-11'!$I:$I)</f>
        <v>0</v>
      </c>
      <c r="S19" s="769">
        <f>SUMIF('Sched H-12'!$B:$B,$B19,'Sched H-12'!$G:$G)</f>
        <v>0</v>
      </c>
      <c r="T19" s="769">
        <f t="shared" si="3"/>
        <v>0</v>
      </c>
      <c r="U19" s="775">
        <f t="shared" si="4"/>
        <v>0</v>
      </c>
      <c r="W19" s="75">
        <f t="shared" si="0"/>
        <v>12</v>
      </c>
      <c r="X19" s="986">
        <v>0</v>
      </c>
      <c r="Y19" s="986">
        <v>0</v>
      </c>
      <c r="Z19" s="937">
        <f t="shared" si="5"/>
        <v>0</v>
      </c>
    </row>
    <row r="20" spans="1:26">
      <c r="A20" s="170">
        <f t="shared" si="1"/>
        <v>11</v>
      </c>
      <c r="B20" s="170">
        <v>758</v>
      </c>
      <c r="C20" s="67"/>
      <c r="D20" s="98" t="s">
        <v>904</v>
      </c>
      <c r="E20" s="98"/>
      <c r="F20" s="768">
        <f t="shared" si="2"/>
        <v>0</v>
      </c>
      <c r="G20" s="768"/>
      <c r="H20" s="769">
        <f>SUMIF('Sched H-1'!$B:$B,$B20,'Sched H-1'!$K:$K)</f>
        <v>0</v>
      </c>
      <c r="I20" s="774">
        <f>SUMIF('Sched H-2'!$B:$B,$B20,'Sched H-2'!$K:$K)</f>
        <v>0</v>
      </c>
      <c r="J20" s="769">
        <f>-SUMIF('Sched H-3'!$B:$B,$B20,'Sched H-3'!$H:$H)</f>
        <v>0</v>
      </c>
      <c r="K20" s="769">
        <f>SUMIF('Sched H-4'!$B:$B,$B20,'Sched H-4'!$J:$J)</f>
        <v>0</v>
      </c>
      <c r="L20" s="769">
        <f>SUMIF('Sched H-5'!$B:$B,$B20,'Sched H-5'!$F:$F)</f>
        <v>0</v>
      </c>
      <c r="M20" s="769">
        <f>SUMIF('Sched H-6'!$B:$B,$B20,'Sched H-6'!$AC:$AC)</f>
        <v>0</v>
      </c>
      <c r="N20" s="769">
        <v>0</v>
      </c>
      <c r="O20" s="769">
        <v>0</v>
      </c>
      <c r="P20" s="769">
        <f>SUMIF('Sched H-9'!$B:$B,$B20,'Sched H-9'!$H:$H)</f>
        <v>0</v>
      </c>
      <c r="Q20" s="769">
        <f>SUMIF('Sched H-10'!$B:$B,$B20,'Sched H-10'!$J:$J)</f>
        <v>0</v>
      </c>
      <c r="R20" s="769">
        <f>SUMIF('Sched H-11'!$B:$B,$B20,'Sched H-11'!$I:$I)</f>
        <v>0</v>
      </c>
      <c r="S20" s="769">
        <f>SUMIF('Sched H-12'!$B:$B,$B20,'Sched H-12'!$G:$G)</f>
        <v>0</v>
      </c>
      <c r="T20" s="769">
        <f t="shared" si="3"/>
        <v>0</v>
      </c>
      <c r="U20" s="775">
        <f t="shared" si="4"/>
        <v>0</v>
      </c>
      <c r="W20" s="75">
        <f t="shared" si="0"/>
        <v>13</v>
      </c>
      <c r="X20" s="986">
        <v>0</v>
      </c>
      <c r="Y20" s="986">
        <v>0</v>
      </c>
      <c r="Z20" s="937">
        <f t="shared" si="5"/>
        <v>0</v>
      </c>
    </row>
    <row r="21" spans="1:26">
      <c r="A21" s="170">
        <f t="shared" si="1"/>
        <v>12</v>
      </c>
      <c r="B21" s="170">
        <v>759</v>
      </c>
      <c r="C21" s="67"/>
      <c r="D21" s="98" t="s">
        <v>192</v>
      </c>
      <c r="E21" s="98"/>
      <c r="F21" s="768">
        <f t="shared" si="2"/>
        <v>0</v>
      </c>
      <c r="G21" s="768"/>
      <c r="H21" s="769">
        <f>SUMIF('Sched H-1'!$B:$B,$B21,'Sched H-1'!$K:$K)</f>
        <v>0</v>
      </c>
      <c r="I21" s="769">
        <f>SUMIF('Sched H-2'!$B:$B,$B21,'Sched H-2'!$K:$K)</f>
        <v>0</v>
      </c>
      <c r="J21" s="769">
        <f>-SUMIF('Sched H-3'!$B:$B,$B21,'Sched H-3'!$H:$H)</f>
        <v>0</v>
      </c>
      <c r="K21" s="769">
        <f>SUMIF('Sched H-4'!$B:$B,$B21,'Sched H-4'!$J:$J)</f>
        <v>0</v>
      </c>
      <c r="L21" s="769">
        <f>SUMIF('Sched H-5'!$B:$B,$B21,'Sched H-5'!$F:$F)</f>
        <v>0</v>
      </c>
      <c r="M21" s="769">
        <f>SUMIF('Sched H-6'!$B:$B,$B21,'Sched H-6'!$AC:$AC)</f>
        <v>0</v>
      </c>
      <c r="N21" s="769">
        <v>0</v>
      </c>
      <c r="O21" s="769">
        <v>0</v>
      </c>
      <c r="P21" s="769">
        <f>SUMIF('Sched H-9'!$B:$B,$B21,'Sched H-9'!$H:$H)</f>
        <v>0</v>
      </c>
      <c r="Q21" s="769">
        <f>SUMIF('Sched H-10'!$B:$B,$B21,'Sched H-10'!$J:$J)</f>
        <v>0</v>
      </c>
      <c r="R21" s="769">
        <f>SUMIF('Sched H-11'!$B:$B,$B21,'Sched H-11'!$I:$I)</f>
        <v>0</v>
      </c>
      <c r="S21" s="769">
        <f>SUMIF('Sched H-12'!$B:$B,$B21,'Sched H-12'!$G:$G)</f>
        <v>0</v>
      </c>
      <c r="T21" s="769">
        <f t="shared" si="3"/>
        <v>0</v>
      </c>
      <c r="U21" s="775">
        <f t="shared" si="4"/>
        <v>0</v>
      </c>
      <c r="W21" s="75">
        <f t="shared" si="0"/>
        <v>14</v>
      </c>
      <c r="X21" s="986">
        <v>0</v>
      </c>
      <c r="Y21" s="986">
        <v>0</v>
      </c>
      <c r="Z21" s="937">
        <f t="shared" si="5"/>
        <v>0</v>
      </c>
    </row>
    <row r="22" spans="1:26">
      <c r="A22" s="170">
        <f t="shared" si="1"/>
        <v>13</v>
      </c>
      <c r="B22" s="170">
        <v>760</v>
      </c>
      <c r="C22" s="67"/>
      <c r="D22" s="98" t="s">
        <v>185</v>
      </c>
      <c r="E22" s="98"/>
      <c r="F22" s="771">
        <f t="shared" si="2"/>
        <v>0</v>
      </c>
      <c r="G22" s="768"/>
      <c r="H22" s="772">
        <f>SUMIF('Sched H-1'!$B:$B,$B22,'Sched H-1'!$K:$K)</f>
        <v>0</v>
      </c>
      <c r="I22" s="772">
        <f>SUMIF('Sched H-2'!$B:$B,$B22,'Sched H-2'!$K:$K)</f>
        <v>0</v>
      </c>
      <c r="J22" s="772">
        <f>-SUMIF('Sched H-3'!$B:$B,$B22,'Sched H-3'!$H:$H)</f>
        <v>0</v>
      </c>
      <c r="K22" s="772">
        <f>SUMIF('Sched H-4'!$B:$B,$B22,'Sched H-4'!$J:$J)</f>
        <v>0</v>
      </c>
      <c r="L22" s="772">
        <f>SUMIF('Sched H-5'!$B:$B,$B22,'Sched H-5'!$F:$F)</f>
        <v>0</v>
      </c>
      <c r="M22" s="772">
        <f>SUMIF('Sched H-6'!$B:$B,$B22,'Sched H-6'!$AC:$AC)</f>
        <v>0</v>
      </c>
      <c r="N22" s="772">
        <v>0</v>
      </c>
      <c r="O22" s="772">
        <v>0</v>
      </c>
      <c r="P22" s="772">
        <f>SUMIF('Sched H-9'!$B:$B,$B22,'Sched H-9'!$H:$H)</f>
        <v>0</v>
      </c>
      <c r="Q22" s="772">
        <f>SUMIF('Sched H-10'!$B:$B,$B22,'Sched H-10'!$J:$J)</f>
        <v>0</v>
      </c>
      <c r="R22" s="772">
        <f>SUMIF('Sched H-11'!$B:$B,$B22,'Sched H-11'!$I:$I)</f>
        <v>0</v>
      </c>
      <c r="S22" s="772">
        <f>SUMIF('Sched H-12'!$B:$B,$B22,'Sched H-12'!$G:$G)</f>
        <v>0</v>
      </c>
      <c r="T22" s="772">
        <f t="shared" si="3"/>
        <v>0</v>
      </c>
      <c r="U22" s="778">
        <f t="shared" si="4"/>
        <v>0</v>
      </c>
      <c r="W22" s="75">
        <f t="shared" si="0"/>
        <v>15</v>
      </c>
      <c r="X22" s="987">
        <v>0</v>
      </c>
      <c r="Y22" s="987">
        <v>0</v>
      </c>
      <c r="Z22" s="946">
        <f t="shared" si="5"/>
        <v>0</v>
      </c>
    </row>
    <row r="23" spans="1:26">
      <c r="A23" s="170">
        <f t="shared" si="1"/>
        <v>14</v>
      </c>
      <c r="B23" s="96"/>
      <c r="C23" s="67" t="s">
        <v>697</v>
      </c>
      <c r="D23" s="67"/>
      <c r="E23" s="98"/>
      <c r="F23" s="613">
        <f>SUM(F13:F22)</f>
        <v>0</v>
      </c>
      <c r="G23" s="613"/>
      <c r="H23" s="613">
        <f t="shared" ref="H23:P23" si="6">SUM(H13:H22)</f>
        <v>0</v>
      </c>
      <c r="I23" s="613">
        <f t="shared" si="6"/>
        <v>0</v>
      </c>
      <c r="J23" s="613">
        <f t="shared" ref="J23" si="7">SUM(J13:J22)</f>
        <v>0</v>
      </c>
      <c r="K23" s="613">
        <f t="shared" si="6"/>
        <v>0</v>
      </c>
      <c r="L23" s="613">
        <f t="shared" si="6"/>
        <v>0</v>
      </c>
      <c r="M23" s="613">
        <f t="shared" si="6"/>
        <v>0</v>
      </c>
      <c r="N23" s="613">
        <f t="shared" si="6"/>
        <v>0</v>
      </c>
      <c r="O23" s="613">
        <f t="shared" si="6"/>
        <v>0</v>
      </c>
      <c r="P23" s="613">
        <f t="shared" si="6"/>
        <v>0</v>
      </c>
      <c r="Q23" s="613">
        <f t="shared" ref="Q23:R23" si="8">SUM(Q13:Q22)</f>
        <v>0</v>
      </c>
      <c r="R23" s="613">
        <f t="shared" si="8"/>
        <v>0</v>
      </c>
      <c r="S23" s="613">
        <f t="shared" ref="S23" si="9">SUM(S13:S22)</f>
        <v>0</v>
      </c>
      <c r="T23" s="613">
        <f>SUM(T13:T22)</f>
        <v>0</v>
      </c>
      <c r="U23" s="613">
        <f>SUM(U13:U22)</f>
        <v>0</v>
      </c>
      <c r="W23" s="75">
        <f t="shared" si="0"/>
        <v>16</v>
      </c>
      <c r="X23" s="1474">
        <f>SUM(X13:X22)</f>
        <v>0</v>
      </c>
      <c r="Y23" s="1474">
        <f>SUM(Y13:Y22)</f>
        <v>0</v>
      </c>
      <c r="Z23" s="937">
        <f t="shared" si="5"/>
        <v>0</v>
      </c>
    </row>
    <row r="24" spans="1:26">
      <c r="A24" s="170">
        <f t="shared" si="1"/>
        <v>15</v>
      </c>
      <c r="B24" s="96"/>
      <c r="C24" s="67"/>
      <c r="D24" s="67"/>
      <c r="E24" s="98"/>
      <c r="F24" s="133"/>
      <c r="G24" s="165"/>
      <c r="H24" s="133"/>
      <c r="I24" s="133"/>
      <c r="J24" s="133"/>
      <c r="K24" s="133"/>
      <c r="L24" s="133"/>
      <c r="M24" s="133"/>
      <c r="N24" s="133"/>
      <c r="O24" s="133"/>
      <c r="P24" s="133"/>
      <c r="Q24" s="133"/>
      <c r="R24" s="133"/>
      <c r="S24" s="133"/>
      <c r="T24" s="133"/>
      <c r="U24" s="133"/>
      <c r="W24" s="75">
        <f t="shared" si="0"/>
        <v>17</v>
      </c>
      <c r="X24" s="82"/>
      <c r="Y24" s="82"/>
      <c r="Z24" s="506"/>
    </row>
    <row r="25" spans="1:26">
      <c r="A25" s="170">
        <f t="shared" si="1"/>
        <v>16</v>
      </c>
      <c r="B25" s="734"/>
      <c r="C25" s="245"/>
      <c r="D25" s="735" t="s">
        <v>166</v>
      </c>
      <c r="E25" s="98"/>
      <c r="F25" s="133"/>
      <c r="G25" s="165"/>
      <c r="H25" s="133"/>
      <c r="I25" s="133"/>
      <c r="J25" s="133"/>
      <c r="K25" s="133"/>
      <c r="L25" s="133"/>
      <c r="M25" s="133"/>
      <c r="N25" s="133"/>
      <c r="O25" s="133"/>
      <c r="P25" s="133"/>
      <c r="Q25" s="133"/>
      <c r="R25" s="133"/>
      <c r="S25" s="133"/>
      <c r="T25" s="133"/>
      <c r="U25" s="133"/>
      <c r="W25" s="75">
        <f t="shared" si="0"/>
        <v>18</v>
      </c>
      <c r="X25" s="82"/>
      <c r="Y25" s="82"/>
      <c r="Z25" s="506"/>
    </row>
    <row r="26" spans="1:26">
      <c r="A26" s="170">
        <f t="shared" si="1"/>
        <v>17</v>
      </c>
      <c r="B26" s="736">
        <v>761</v>
      </c>
      <c r="C26" s="245"/>
      <c r="D26" s="245" t="s">
        <v>722</v>
      </c>
      <c r="E26" s="98"/>
      <c r="F26" s="613">
        <f t="shared" ref="F26:F32" si="10">HLOOKUP(Attach,$X$8:$AC$274,W26,FALSE)</f>
        <v>0</v>
      </c>
      <c r="G26" s="165"/>
      <c r="H26" s="764">
        <f>SUMIF('Sched H-1'!$B:$B,$B26,'Sched H-1'!$K:$K)</f>
        <v>0</v>
      </c>
      <c r="I26" s="764">
        <f>SUMIF('Sched H-2'!$B:$B,$B26,'Sched H-2'!$K:$K)</f>
        <v>0</v>
      </c>
      <c r="J26" s="764">
        <f>-SUMIF('Sched H-3'!$B:$B,$B26,'Sched H-3'!$H:$H)</f>
        <v>0</v>
      </c>
      <c r="K26" s="764">
        <f>SUMIF('Sched H-4'!$B:$B,$B26,'Sched H-4'!$J:$J)</f>
        <v>0</v>
      </c>
      <c r="L26" s="764">
        <f>SUMIF('Sched H-5'!$B:$B,$B26,'Sched H-5'!$F:$F)</f>
        <v>0</v>
      </c>
      <c r="M26" s="764">
        <f>SUMIF('Sched H-6'!$B:$B,$B26,'Sched H-6'!$AC:$AC)</f>
        <v>0</v>
      </c>
      <c r="N26" s="764">
        <v>0</v>
      </c>
      <c r="O26" s="765">
        <v>0</v>
      </c>
      <c r="P26" s="764">
        <f>SUMIF('Sched H-9'!$B:$B,$B26,'Sched H-9'!$H:$H)</f>
        <v>0</v>
      </c>
      <c r="Q26" s="764">
        <f>SUMIF('Sched H-10'!$B:$B,$B26,'Sched H-10'!$J:$J)</f>
        <v>0</v>
      </c>
      <c r="R26" s="764">
        <f>SUMIF('Sched H-11'!$B:$B,$B26,'Sched H-11'!$I:$I)</f>
        <v>0</v>
      </c>
      <c r="S26" s="764">
        <f>SUMIF('Sched H-12'!$B:$B,$B26,'Sched H-12'!$G:$G)</f>
        <v>0</v>
      </c>
      <c r="T26" s="764">
        <f t="shared" ref="T26:T32" si="11">SUM(H26:S26)</f>
        <v>0</v>
      </c>
      <c r="U26" s="766">
        <f t="shared" ref="U26:U32" si="12">SUM(F26:S26)</f>
        <v>0</v>
      </c>
      <c r="W26" s="75">
        <f t="shared" si="0"/>
        <v>19</v>
      </c>
      <c r="X26" s="988">
        <v>0</v>
      </c>
      <c r="Y26" s="988">
        <v>0</v>
      </c>
      <c r="Z26" s="937">
        <f t="shared" ref="Z26:Z33" si="13">+X26+Y26</f>
        <v>0</v>
      </c>
    </row>
    <row r="27" spans="1:26">
      <c r="A27" s="170">
        <f t="shared" si="1"/>
        <v>18</v>
      </c>
      <c r="B27" s="736">
        <v>762</v>
      </c>
      <c r="C27" s="245"/>
      <c r="D27" s="245" t="s">
        <v>572</v>
      </c>
      <c r="E27" s="98"/>
      <c r="F27" s="768">
        <f t="shared" si="10"/>
        <v>0</v>
      </c>
      <c r="G27" s="768"/>
      <c r="H27" s="769">
        <f>SUMIF('Sched H-1'!$B:$B,$B27,'Sched H-1'!$K:$K)</f>
        <v>0</v>
      </c>
      <c r="I27" s="769">
        <f>SUMIF('Sched H-2'!$B:$B,$B27,'Sched H-2'!$K:$K)</f>
        <v>0</v>
      </c>
      <c r="J27" s="769">
        <f>-SUMIF('Sched H-3'!$B:$B,$B27,'Sched H-3'!$H:$H)</f>
        <v>0</v>
      </c>
      <c r="K27" s="769">
        <f>SUMIF('Sched H-4'!$B:$B,$B27,'Sched H-4'!$J:$J)</f>
        <v>0</v>
      </c>
      <c r="L27" s="769">
        <f>SUMIF('Sched H-5'!$B:$B,$B27,'Sched H-5'!$F:$F)</f>
        <v>0</v>
      </c>
      <c r="M27" s="769">
        <f>SUMIF('Sched H-6'!$B:$B,$B27,'Sched H-6'!$AC:$AC)</f>
        <v>0</v>
      </c>
      <c r="N27" s="769">
        <v>0</v>
      </c>
      <c r="O27" s="769">
        <v>0</v>
      </c>
      <c r="P27" s="769">
        <f>SUMIF('Sched H-9'!$B:$B,$B27,'Sched H-9'!$H:$H)</f>
        <v>0</v>
      </c>
      <c r="Q27" s="769">
        <f>SUMIF('Sched H-10'!$B:$B,$B27,'Sched H-10'!$J:$J)</f>
        <v>0</v>
      </c>
      <c r="R27" s="769">
        <f>SUMIF('Sched H-11'!$B:$B,$B27,'Sched H-11'!$I:$I)</f>
        <v>0</v>
      </c>
      <c r="S27" s="769">
        <f>SUMIF('Sched H-12'!$B:$B,$B27,'Sched H-12'!$G:$G)</f>
        <v>0</v>
      </c>
      <c r="T27" s="769">
        <f t="shared" si="11"/>
        <v>0</v>
      </c>
      <c r="U27" s="775">
        <f t="shared" si="12"/>
        <v>0</v>
      </c>
      <c r="W27" s="75">
        <f t="shared" si="0"/>
        <v>20</v>
      </c>
      <c r="X27" s="988">
        <v>0</v>
      </c>
      <c r="Y27" s="988">
        <v>0</v>
      </c>
      <c r="Z27" s="937">
        <f t="shared" si="13"/>
        <v>0</v>
      </c>
    </row>
    <row r="28" spans="1:26">
      <c r="A28" s="170">
        <f t="shared" si="1"/>
        <v>19</v>
      </c>
      <c r="B28" s="736">
        <v>763</v>
      </c>
      <c r="C28" s="245"/>
      <c r="D28" s="245" t="s">
        <v>723</v>
      </c>
      <c r="E28" s="98"/>
      <c r="F28" s="768">
        <f t="shared" si="10"/>
        <v>0</v>
      </c>
      <c r="G28" s="768"/>
      <c r="H28" s="769">
        <f>SUMIF('Sched H-1'!$B:$B,$B28,'Sched H-1'!$K:$K)</f>
        <v>0</v>
      </c>
      <c r="I28" s="769">
        <f>SUMIF('Sched H-2'!$B:$B,$B28,'Sched H-2'!$K:$K)</f>
        <v>0</v>
      </c>
      <c r="J28" s="769">
        <f>-SUMIF('Sched H-3'!$B:$B,$B28,'Sched H-3'!$H:$H)</f>
        <v>0</v>
      </c>
      <c r="K28" s="769">
        <f>SUMIF('Sched H-4'!$B:$B,$B28,'Sched H-4'!$J:$J)</f>
        <v>0</v>
      </c>
      <c r="L28" s="769">
        <f>SUMIF('Sched H-5'!$B:$B,$B28,'Sched H-5'!$F:$F)</f>
        <v>0</v>
      </c>
      <c r="M28" s="769">
        <f>SUMIF('Sched H-6'!$B:$B,$B28,'Sched H-6'!$AC:$AC)</f>
        <v>0</v>
      </c>
      <c r="N28" s="769">
        <v>0</v>
      </c>
      <c r="O28" s="769">
        <v>0</v>
      </c>
      <c r="P28" s="769">
        <f>SUMIF('Sched H-9'!$B:$B,$B28,'Sched H-9'!$H:$H)</f>
        <v>0</v>
      </c>
      <c r="Q28" s="769">
        <f>SUMIF('Sched H-10'!$B:$B,$B28,'Sched H-10'!$J:$J)</f>
        <v>0</v>
      </c>
      <c r="R28" s="769">
        <f>SUMIF('Sched H-11'!$B:$B,$B28,'Sched H-11'!$I:$I)</f>
        <v>0</v>
      </c>
      <c r="S28" s="769">
        <f>SUMIF('Sched H-12'!$B:$B,$B28,'Sched H-12'!$G:$G)</f>
        <v>0</v>
      </c>
      <c r="T28" s="769">
        <f t="shared" si="11"/>
        <v>0</v>
      </c>
      <c r="U28" s="775">
        <f t="shared" si="12"/>
        <v>0</v>
      </c>
      <c r="W28" s="75">
        <f t="shared" si="0"/>
        <v>21</v>
      </c>
      <c r="X28" s="988">
        <v>0</v>
      </c>
      <c r="Y28" s="988">
        <v>0</v>
      </c>
      <c r="Z28" s="937">
        <f t="shared" si="13"/>
        <v>0</v>
      </c>
    </row>
    <row r="29" spans="1:26">
      <c r="A29" s="170">
        <f t="shared" si="1"/>
        <v>20</v>
      </c>
      <c r="B29" s="736">
        <v>764</v>
      </c>
      <c r="C29" s="245"/>
      <c r="D29" s="245" t="s">
        <v>724</v>
      </c>
      <c r="E29" s="98"/>
      <c r="F29" s="768">
        <f t="shared" si="10"/>
        <v>0</v>
      </c>
      <c r="G29" s="768"/>
      <c r="H29" s="769">
        <f>SUMIF('Sched H-1'!$B:$B,$B29,'Sched H-1'!$K:$K)</f>
        <v>0</v>
      </c>
      <c r="I29" s="769">
        <f>SUMIF('Sched H-2'!$B:$B,$B29,'Sched H-2'!$K:$K)</f>
        <v>0</v>
      </c>
      <c r="J29" s="769">
        <f>-SUMIF('Sched H-3'!$B:$B,$B29,'Sched H-3'!$H:$H)</f>
        <v>0</v>
      </c>
      <c r="K29" s="769">
        <f>SUMIF('Sched H-4'!$B:$B,$B29,'Sched H-4'!$J:$J)</f>
        <v>0</v>
      </c>
      <c r="L29" s="769">
        <f>SUMIF('Sched H-5'!$B:$B,$B29,'Sched H-5'!$F:$F)</f>
        <v>0</v>
      </c>
      <c r="M29" s="769">
        <f>SUMIF('Sched H-6'!$B:$B,$B29,'Sched H-6'!$AC:$AC)</f>
        <v>0</v>
      </c>
      <c r="N29" s="769">
        <v>0</v>
      </c>
      <c r="O29" s="769">
        <v>0</v>
      </c>
      <c r="P29" s="769">
        <f>SUMIF('Sched H-9'!$B:$B,$B29,'Sched H-9'!$H:$H)</f>
        <v>0</v>
      </c>
      <c r="Q29" s="769">
        <f>SUMIF('Sched H-10'!$B:$B,$B29,'Sched H-10'!$J:$J)</f>
        <v>0</v>
      </c>
      <c r="R29" s="769">
        <f>SUMIF('Sched H-11'!$B:$B,$B29,'Sched H-11'!$I:$I)</f>
        <v>0</v>
      </c>
      <c r="S29" s="769">
        <f>SUMIF('Sched H-12'!$B:$B,$B29,'Sched H-12'!$G:$G)</f>
        <v>0</v>
      </c>
      <c r="T29" s="769">
        <f t="shared" si="11"/>
        <v>0</v>
      </c>
      <c r="U29" s="775">
        <f t="shared" si="12"/>
        <v>0</v>
      </c>
      <c r="W29" s="75">
        <f t="shared" si="0"/>
        <v>22</v>
      </c>
      <c r="X29" s="988">
        <v>0</v>
      </c>
      <c r="Y29" s="988">
        <v>0</v>
      </c>
      <c r="Z29" s="937">
        <f t="shared" si="13"/>
        <v>0</v>
      </c>
    </row>
    <row r="30" spans="1:26">
      <c r="A30" s="170">
        <f t="shared" si="1"/>
        <v>21</v>
      </c>
      <c r="B30" s="736">
        <v>765</v>
      </c>
      <c r="C30" s="245"/>
      <c r="D30" s="245" t="s">
        <v>725</v>
      </c>
      <c r="E30" s="98"/>
      <c r="F30" s="768">
        <f t="shared" si="10"/>
        <v>0</v>
      </c>
      <c r="G30" s="768"/>
      <c r="H30" s="769">
        <f>SUMIF('Sched H-1'!$B:$B,$B30,'Sched H-1'!$K:$K)</f>
        <v>0</v>
      </c>
      <c r="I30" s="769">
        <f>SUMIF('Sched H-2'!$B:$B,$B30,'Sched H-2'!$K:$K)</f>
        <v>0</v>
      </c>
      <c r="J30" s="769">
        <f>-SUMIF('Sched H-3'!$B:$B,$B30,'Sched H-3'!$H:$H)</f>
        <v>0</v>
      </c>
      <c r="K30" s="769">
        <f>SUMIF('Sched H-4'!$B:$B,$B30,'Sched H-4'!$J:$J)</f>
        <v>0</v>
      </c>
      <c r="L30" s="769">
        <f>SUMIF('Sched H-5'!$B:$B,$B30,'Sched H-5'!$F:$F)</f>
        <v>0</v>
      </c>
      <c r="M30" s="769">
        <f>SUMIF('Sched H-6'!$B:$B,$B30,'Sched H-6'!$AC:$AC)</f>
        <v>0</v>
      </c>
      <c r="N30" s="769">
        <v>0</v>
      </c>
      <c r="O30" s="769">
        <v>0</v>
      </c>
      <c r="P30" s="769">
        <f>SUMIF('Sched H-9'!$B:$B,$B30,'Sched H-9'!$H:$H)</f>
        <v>0</v>
      </c>
      <c r="Q30" s="769">
        <f>SUMIF('Sched H-10'!$B:$B,$B30,'Sched H-10'!$J:$J)</f>
        <v>0</v>
      </c>
      <c r="R30" s="769">
        <f>SUMIF('Sched H-11'!$B:$B,$B30,'Sched H-11'!$I:$I)</f>
        <v>0</v>
      </c>
      <c r="S30" s="769">
        <f>SUMIF('Sched H-12'!$B:$B,$B30,'Sched H-12'!$G:$G)</f>
        <v>0</v>
      </c>
      <c r="T30" s="769">
        <f t="shared" si="11"/>
        <v>0</v>
      </c>
      <c r="U30" s="775">
        <f t="shared" si="12"/>
        <v>0</v>
      </c>
      <c r="W30" s="75">
        <f t="shared" si="0"/>
        <v>23</v>
      </c>
      <c r="X30" s="988">
        <v>0</v>
      </c>
      <c r="Y30" s="988">
        <v>0</v>
      </c>
      <c r="Z30" s="937">
        <f t="shared" si="13"/>
        <v>0</v>
      </c>
    </row>
    <row r="31" spans="1:26">
      <c r="A31" s="170">
        <f t="shared" si="1"/>
        <v>22</v>
      </c>
      <c r="B31" s="736">
        <v>766</v>
      </c>
      <c r="C31" s="245"/>
      <c r="D31" s="245" t="s">
        <v>726</v>
      </c>
      <c r="E31" s="98"/>
      <c r="F31" s="768">
        <f t="shared" si="10"/>
        <v>0</v>
      </c>
      <c r="G31" s="768"/>
      <c r="H31" s="769">
        <f>SUMIF('Sched H-1'!$B:$B,$B31,'Sched H-1'!$K:$K)</f>
        <v>0</v>
      </c>
      <c r="I31" s="769">
        <f>SUMIF('Sched H-2'!$B:$B,$B31,'Sched H-2'!$K:$K)</f>
        <v>0</v>
      </c>
      <c r="J31" s="769">
        <f>-SUMIF('Sched H-3'!$B:$B,$B31,'Sched H-3'!$H:$H)</f>
        <v>0</v>
      </c>
      <c r="K31" s="769">
        <f>SUMIF('Sched H-4'!$B:$B,$B31,'Sched H-4'!$J:$J)</f>
        <v>0</v>
      </c>
      <c r="L31" s="769">
        <f>SUMIF('Sched H-5'!$B:$B,$B31,'Sched H-5'!$F:$F)</f>
        <v>0</v>
      </c>
      <c r="M31" s="769">
        <f>SUMIF('Sched H-6'!$B:$B,$B31,'Sched H-6'!$AC:$AC)</f>
        <v>0</v>
      </c>
      <c r="N31" s="769">
        <v>0</v>
      </c>
      <c r="O31" s="769">
        <v>0</v>
      </c>
      <c r="P31" s="769">
        <f>SUMIF('Sched H-9'!$B:$B,$B31,'Sched H-9'!$H:$H)</f>
        <v>0</v>
      </c>
      <c r="Q31" s="769">
        <f>SUMIF('Sched H-10'!$B:$B,$B31,'Sched H-10'!$J:$J)</f>
        <v>0</v>
      </c>
      <c r="R31" s="769">
        <f>SUMIF('Sched H-11'!$B:$B,$B31,'Sched H-11'!$I:$I)</f>
        <v>0</v>
      </c>
      <c r="S31" s="769">
        <f>SUMIF('Sched H-12'!$B:$B,$B31,'Sched H-12'!$G:$G)</f>
        <v>0</v>
      </c>
      <c r="T31" s="769">
        <f t="shared" si="11"/>
        <v>0</v>
      </c>
      <c r="U31" s="775">
        <f t="shared" si="12"/>
        <v>0</v>
      </c>
      <c r="W31" s="75">
        <f t="shared" si="0"/>
        <v>24</v>
      </c>
      <c r="X31" s="988">
        <v>0</v>
      </c>
      <c r="Y31" s="988">
        <v>0</v>
      </c>
      <c r="Z31" s="937">
        <f t="shared" si="13"/>
        <v>0</v>
      </c>
    </row>
    <row r="32" spans="1:26">
      <c r="A32" s="170">
        <f t="shared" si="1"/>
        <v>23</v>
      </c>
      <c r="B32" s="736">
        <v>767</v>
      </c>
      <c r="C32" s="245"/>
      <c r="D32" s="245" t="s">
        <v>727</v>
      </c>
      <c r="E32" s="98"/>
      <c r="F32" s="771">
        <f t="shared" si="10"/>
        <v>0</v>
      </c>
      <c r="G32" s="768"/>
      <c r="H32" s="772">
        <f>SUMIF('Sched H-1'!$B:$B,$B32,'Sched H-1'!$K:$K)</f>
        <v>0</v>
      </c>
      <c r="I32" s="772">
        <f>SUMIF('Sched H-2'!$B:$B,$B32,'Sched H-2'!$K:$K)</f>
        <v>0</v>
      </c>
      <c r="J32" s="772">
        <f>-SUMIF('Sched H-3'!$B:$B,$B32,'Sched H-3'!$H:$H)</f>
        <v>0</v>
      </c>
      <c r="K32" s="772">
        <f>SUMIF('Sched H-4'!$B:$B,$B32,'Sched H-4'!$J:$J)</f>
        <v>0</v>
      </c>
      <c r="L32" s="772">
        <f>SUMIF('Sched H-5'!$B:$B,$B32,'Sched H-5'!$F:$F)</f>
        <v>0</v>
      </c>
      <c r="M32" s="772">
        <f>SUMIF('Sched H-6'!$B:$B,$B32,'Sched H-6'!$AC:$AC)</f>
        <v>0</v>
      </c>
      <c r="N32" s="772">
        <v>0</v>
      </c>
      <c r="O32" s="772">
        <v>0</v>
      </c>
      <c r="P32" s="772">
        <f>SUMIF('Sched H-9'!$B:$B,$B32,'Sched H-9'!$H:$H)</f>
        <v>0</v>
      </c>
      <c r="Q32" s="772">
        <f>SUMIF('Sched H-10'!$B:$B,$B32,'Sched H-10'!$J:$J)</f>
        <v>0</v>
      </c>
      <c r="R32" s="772">
        <f>SUMIF('Sched H-11'!$B:$B,$B32,'Sched H-11'!$I:$I)</f>
        <v>0</v>
      </c>
      <c r="S32" s="772">
        <f>SUMIF('Sched H-12'!$B:$B,$B32,'Sched H-12'!$G:$G)</f>
        <v>0</v>
      </c>
      <c r="T32" s="772">
        <f t="shared" si="11"/>
        <v>0</v>
      </c>
      <c r="U32" s="778">
        <f t="shared" si="12"/>
        <v>0</v>
      </c>
      <c r="W32" s="75">
        <f t="shared" si="0"/>
        <v>25</v>
      </c>
      <c r="X32" s="989">
        <v>0</v>
      </c>
      <c r="Y32" s="989">
        <v>0</v>
      </c>
      <c r="Z32" s="946">
        <f t="shared" si="13"/>
        <v>0</v>
      </c>
    </row>
    <row r="33" spans="1:26">
      <c r="A33" s="170">
        <f t="shared" si="1"/>
        <v>24</v>
      </c>
      <c r="B33" s="737"/>
      <c r="C33" s="735" t="s">
        <v>698</v>
      </c>
      <c r="D33" s="735"/>
      <c r="E33" s="98"/>
      <c r="F33" s="613">
        <f>SUM(F26:F32)</f>
        <v>0</v>
      </c>
      <c r="G33" s="613"/>
      <c r="H33" s="613">
        <f t="shared" ref="H33:T33" si="14">SUM(H26:H32)</f>
        <v>0</v>
      </c>
      <c r="I33" s="613">
        <f>SUM(I26:I32)</f>
        <v>0</v>
      </c>
      <c r="J33" s="613">
        <f t="shared" ref="J33" si="15">SUM(J26:J32)</f>
        <v>0</v>
      </c>
      <c r="K33" s="613">
        <f t="shared" si="14"/>
        <v>0</v>
      </c>
      <c r="L33" s="613">
        <f t="shared" si="14"/>
        <v>0</v>
      </c>
      <c r="M33" s="613">
        <f t="shared" si="14"/>
        <v>0</v>
      </c>
      <c r="N33" s="613">
        <f t="shared" si="14"/>
        <v>0</v>
      </c>
      <c r="O33" s="613">
        <f t="shared" si="14"/>
        <v>0</v>
      </c>
      <c r="P33" s="613">
        <f t="shared" si="14"/>
        <v>0</v>
      </c>
      <c r="Q33" s="613">
        <f t="shared" ref="Q33:R33" si="16">SUM(Q26:Q32)</f>
        <v>0</v>
      </c>
      <c r="R33" s="613">
        <f t="shared" si="16"/>
        <v>0</v>
      </c>
      <c r="S33" s="613">
        <f t="shared" ref="S33" si="17">SUM(S26:S32)</f>
        <v>0</v>
      </c>
      <c r="T33" s="613">
        <f t="shared" si="14"/>
        <v>0</v>
      </c>
      <c r="U33" s="767">
        <f>SUM(U26:U32)</f>
        <v>0</v>
      </c>
      <c r="W33" s="75">
        <f t="shared" si="0"/>
        <v>26</v>
      </c>
      <c r="X33" s="1474">
        <f>SUM(X26:X32)</f>
        <v>0</v>
      </c>
      <c r="Y33" s="1474">
        <f>SUM(Y26:Y32)</f>
        <v>0</v>
      </c>
      <c r="Z33" s="937">
        <f t="shared" si="13"/>
        <v>0</v>
      </c>
    </row>
    <row r="34" spans="1:26">
      <c r="A34" s="170">
        <f t="shared" si="1"/>
        <v>25</v>
      </c>
      <c r="B34" s="96"/>
      <c r="C34" s="67"/>
      <c r="D34" s="67"/>
      <c r="E34" s="98"/>
      <c r="F34" s="133"/>
      <c r="G34" s="165"/>
      <c r="H34" s="133"/>
      <c r="I34" s="133"/>
      <c r="J34" s="133"/>
      <c r="K34" s="133"/>
      <c r="L34" s="133"/>
      <c r="M34" s="133"/>
      <c r="N34" s="133"/>
      <c r="O34" s="133"/>
      <c r="P34" s="625"/>
      <c r="Q34" s="133"/>
      <c r="R34" s="133"/>
      <c r="S34" s="133"/>
      <c r="T34" s="133"/>
      <c r="U34" s="133"/>
      <c r="W34" s="75">
        <f t="shared" si="0"/>
        <v>27</v>
      </c>
      <c r="X34" s="82"/>
      <c r="Y34" s="82"/>
      <c r="Z34" s="506"/>
    </row>
    <row r="35" spans="1:26">
      <c r="A35" s="170">
        <f t="shared" si="1"/>
        <v>26</v>
      </c>
      <c r="B35" s="96"/>
      <c r="C35" s="67"/>
      <c r="D35" s="67"/>
      <c r="E35" s="98"/>
      <c r="F35" s="133"/>
      <c r="G35" s="165"/>
      <c r="H35" s="133"/>
      <c r="I35" s="133"/>
      <c r="J35" s="133"/>
      <c r="K35" s="133"/>
      <c r="L35" s="133"/>
      <c r="M35" s="133"/>
      <c r="N35" s="133"/>
      <c r="O35" s="133"/>
      <c r="P35" s="625"/>
      <c r="Q35" s="133"/>
      <c r="R35" s="133"/>
      <c r="S35" s="133"/>
      <c r="T35" s="133"/>
      <c r="U35" s="133"/>
      <c r="W35" s="75">
        <f t="shared" si="0"/>
        <v>28</v>
      </c>
      <c r="X35" s="82"/>
      <c r="Y35" s="82"/>
      <c r="Z35" s="506"/>
    </row>
    <row r="36" spans="1:26">
      <c r="A36" s="170">
        <f t="shared" si="1"/>
        <v>27</v>
      </c>
      <c r="B36" s="96"/>
      <c r="C36" s="67" t="s">
        <v>383</v>
      </c>
      <c r="D36" s="98"/>
      <c r="E36" s="98"/>
      <c r="F36" s="133"/>
      <c r="G36" s="165"/>
      <c r="H36" s="133"/>
      <c r="I36" s="133"/>
      <c r="J36" s="133"/>
      <c r="K36" s="133"/>
      <c r="L36" s="133"/>
      <c r="M36" s="133"/>
      <c r="N36" s="133"/>
      <c r="O36" s="133"/>
      <c r="P36" s="133"/>
      <c r="Q36" s="133"/>
      <c r="R36" s="133"/>
      <c r="S36" s="133"/>
      <c r="T36" s="133"/>
      <c r="U36" s="133"/>
      <c r="W36" s="75">
        <f t="shared" si="0"/>
        <v>29</v>
      </c>
      <c r="X36" s="14"/>
      <c r="Y36" s="14"/>
      <c r="Z36" s="506"/>
    </row>
    <row r="37" spans="1:26">
      <c r="A37" s="170">
        <f t="shared" si="1"/>
        <v>28</v>
      </c>
      <c r="B37" s="96"/>
      <c r="C37" s="67"/>
      <c r="D37" s="67" t="s">
        <v>380</v>
      </c>
      <c r="E37" s="98"/>
      <c r="F37" s="133"/>
      <c r="G37" s="165"/>
      <c r="H37" s="133"/>
      <c r="I37" s="133"/>
      <c r="J37" s="133"/>
      <c r="K37" s="133"/>
      <c r="L37" s="133"/>
      <c r="M37" s="133"/>
      <c r="N37" s="133"/>
      <c r="O37" s="133"/>
      <c r="P37" s="133"/>
      <c r="Q37" s="133"/>
      <c r="R37" s="133"/>
      <c r="S37" s="133"/>
      <c r="T37" s="133"/>
      <c r="U37" s="133"/>
      <c r="W37" s="75">
        <f t="shared" si="0"/>
        <v>30</v>
      </c>
      <c r="X37" s="14"/>
      <c r="Y37" s="14"/>
      <c r="Z37" s="506"/>
    </row>
    <row r="38" spans="1:26">
      <c r="A38" s="170">
        <f t="shared" si="1"/>
        <v>29</v>
      </c>
      <c r="B38" s="170">
        <v>804</v>
      </c>
      <c r="C38" s="67"/>
      <c r="D38" s="98" t="s">
        <v>480</v>
      </c>
      <c r="E38" s="98"/>
      <c r="F38" s="613">
        <f t="shared" ref="F38:F46" si="18">HLOOKUP(Attach,$X$8:$AC$274,W38,FALSE)</f>
        <v>70953809.859999999</v>
      </c>
      <c r="G38" s="613"/>
      <c r="H38" s="765">
        <f>SUMIF('Sched H-1'!$B:$B,$B38,'Sched H-1'!$K:$K)</f>
        <v>0</v>
      </c>
      <c r="I38" s="765">
        <f>SUMIF('Sched H-2'!$B:$B,$B38,'Sched H-2'!$K:$K)</f>
        <v>0</v>
      </c>
      <c r="J38" s="765">
        <f>-SUMIF('Sched H-3'!$B:$B,$B38,'Sched H-3'!$H:$H)</f>
        <v>-70953809.859999999</v>
      </c>
      <c r="K38" s="765">
        <f>SUMIF('Sched H-4'!$B:$B,$B38,'Sched H-4'!$J:$J)</f>
        <v>0</v>
      </c>
      <c r="L38" s="765">
        <f>SUMIF('Sched H-5'!$B:$B,$B38,'Sched H-5'!$F:$F)</f>
        <v>0</v>
      </c>
      <c r="M38" s="765">
        <f>SUMIF('Sched H-6'!$B:$B,$B38,'Sched H-6'!$AC:$AC)</f>
        <v>0</v>
      </c>
      <c r="N38" s="765">
        <v>0</v>
      </c>
      <c r="O38" s="765">
        <v>0</v>
      </c>
      <c r="P38" s="765">
        <f>SUMIF('Sched H-9'!$B:$B,$B38,'Sched H-9'!$H:$H)</f>
        <v>0</v>
      </c>
      <c r="Q38" s="765">
        <f>SUMIF('Sched H-10'!$B:$B,$B38,'Sched H-10'!$J:$J)</f>
        <v>0</v>
      </c>
      <c r="R38" s="765">
        <f>SUMIF('Sched H-11'!$B:$B,$B38,'Sched H-11'!$I:$I)</f>
        <v>0</v>
      </c>
      <c r="S38" s="765">
        <f>SUMIF('Sched H-12'!$B:$B,$B38,'Sched H-12'!$G:$G)</f>
        <v>0</v>
      </c>
      <c r="T38" s="765">
        <f t="shared" ref="T38:T46" si="19">SUM(H38:S38)</f>
        <v>-70953809.859999999</v>
      </c>
      <c r="U38" s="775">
        <f t="shared" ref="U38:U46" si="20">SUM(F38:S38)</f>
        <v>0</v>
      </c>
      <c r="W38" s="75">
        <f t="shared" si="0"/>
        <v>31</v>
      </c>
      <c r="X38" s="990">
        <v>70953809.870000005</v>
      </c>
      <c r="Y38" s="990">
        <v>-0.01</v>
      </c>
      <c r="Z38" s="947">
        <f t="shared" ref="Z38:Z47" si="21">+X38+Y38</f>
        <v>70953809.859999999</v>
      </c>
    </row>
    <row r="39" spans="1:26">
      <c r="A39" s="170">
        <f t="shared" ref="A39:A46" si="22">A38+1</f>
        <v>30</v>
      </c>
      <c r="B39" s="170">
        <v>805</v>
      </c>
      <c r="C39" s="67"/>
      <c r="D39" s="98" t="s">
        <v>492</v>
      </c>
      <c r="E39" s="98"/>
      <c r="F39" s="768">
        <f t="shared" si="18"/>
        <v>-2419037.3400000003</v>
      </c>
      <c r="G39" s="768"/>
      <c r="H39" s="769">
        <f>SUMIF('Sched H-1'!$B:$B,$B39,'Sched H-1'!$K:$K)</f>
        <v>0</v>
      </c>
      <c r="I39" s="769">
        <f>SUMIF('Sched H-2'!$B:$B,$B39,'Sched H-2'!$K:$K)</f>
        <v>0</v>
      </c>
      <c r="J39" s="769">
        <f>-SUMIF('Sched H-3'!$B:$B,$B39,'Sched H-3'!$H:$H)</f>
        <v>2419037.3400000003</v>
      </c>
      <c r="K39" s="769">
        <f>SUMIF('Sched H-4'!$B:$B,$B39,'Sched H-4'!$J:$J)</f>
        <v>0</v>
      </c>
      <c r="L39" s="769">
        <f>SUMIF('Sched H-5'!$B:$B,$B39,'Sched H-5'!$F:$F)</f>
        <v>0</v>
      </c>
      <c r="M39" s="769">
        <f>SUMIF('Sched H-6'!$B:$B,$B39,'Sched H-6'!$AC:$AC)</f>
        <v>0</v>
      </c>
      <c r="N39" s="769">
        <v>0</v>
      </c>
      <c r="O39" s="769">
        <v>0</v>
      </c>
      <c r="P39" s="769">
        <f>SUMIF('Sched H-9'!$B:$B,$B39,'Sched H-9'!$H:$H)</f>
        <v>0</v>
      </c>
      <c r="Q39" s="769">
        <f>SUMIF('Sched H-10'!$B:$B,$B39,'Sched H-10'!$J:$J)</f>
        <v>0</v>
      </c>
      <c r="R39" s="769">
        <f>SUMIF('Sched H-11'!$B:$B,$B39,'Sched H-11'!$I:$I)</f>
        <v>0</v>
      </c>
      <c r="S39" s="769">
        <f>SUMIF('Sched H-12'!$B:$B,$B39,'Sched H-12'!$G:$G)</f>
        <v>0</v>
      </c>
      <c r="T39" s="769">
        <f t="shared" si="19"/>
        <v>2419037.3400000003</v>
      </c>
      <c r="U39" s="775">
        <f t="shared" si="20"/>
        <v>0</v>
      </c>
      <c r="W39" s="75">
        <f t="shared" ref="W39:W46" si="23">1+W38</f>
        <v>32</v>
      </c>
      <c r="X39" s="990">
        <v>-2419037.3400000003</v>
      </c>
      <c r="Y39" s="990">
        <v>0</v>
      </c>
      <c r="Z39" s="947">
        <f t="shared" si="21"/>
        <v>-2419037.3400000003</v>
      </c>
    </row>
    <row r="40" spans="1:26">
      <c r="A40" s="170">
        <f t="shared" si="22"/>
        <v>31</v>
      </c>
      <c r="B40" s="170">
        <v>805.1</v>
      </c>
      <c r="C40" s="67"/>
      <c r="D40" s="98" t="s">
        <v>415</v>
      </c>
      <c r="E40" s="98"/>
      <c r="F40" s="768">
        <f t="shared" si="18"/>
        <v>5499379.8300000001</v>
      </c>
      <c r="G40" s="768"/>
      <c r="H40" s="769">
        <f>SUMIF('Sched H-1'!$B:$B,$B40,'Sched H-1'!$K:$K)</f>
        <v>0</v>
      </c>
      <c r="I40" s="769">
        <f>SUMIF('Sched H-2'!$B:$B,$B40,'Sched H-2'!$K:$K)</f>
        <v>0</v>
      </c>
      <c r="J40" s="769">
        <f>-SUMIF('Sched H-3'!$B:$B,$B40,'Sched H-3'!$H:$H)</f>
        <v>-5499379.8300000001</v>
      </c>
      <c r="K40" s="769">
        <f>SUMIF('Sched H-4'!$B:$B,$B40,'Sched H-4'!$J:$J)</f>
        <v>0</v>
      </c>
      <c r="L40" s="769">
        <f>SUMIF('Sched H-5'!$B:$B,$B40,'Sched H-5'!$F:$F)</f>
        <v>0</v>
      </c>
      <c r="M40" s="769">
        <f>SUMIF('Sched H-6'!$B:$B,$B40,'Sched H-6'!$AC:$AC)</f>
        <v>0</v>
      </c>
      <c r="N40" s="769">
        <v>0</v>
      </c>
      <c r="O40" s="769">
        <v>0</v>
      </c>
      <c r="P40" s="769">
        <f>SUMIF('Sched H-9'!$B:$B,$B40,'Sched H-9'!$H:$H)</f>
        <v>0</v>
      </c>
      <c r="Q40" s="769">
        <f>SUMIF('Sched H-10'!$B:$B,$B40,'Sched H-10'!$J:$J)</f>
        <v>0</v>
      </c>
      <c r="R40" s="769">
        <f>SUMIF('Sched H-11'!$B:$B,$B40,'Sched H-11'!$I:$I)</f>
        <v>0</v>
      </c>
      <c r="S40" s="769">
        <f>SUMIF('Sched H-12'!$B:$B,$B40,'Sched H-12'!$G:$G)</f>
        <v>0</v>
      </c>
      <c r="T40" s="769">
        <f t="shared" si="19"/>
        <v>-5499379.8300000001</v>
      </c>
      <c r="U40" s="775">
        <f t="shared" si="20"/>
        <v>0</v>
      </c>
      <c r="W40" s="75">
        <f t="shared" si="23"/>
        <v>33</v>
      </c>
      <c r="X40" s="990">
        <v>5499379.8300000001</v>
      </c>
      <c r="Y40" s="990">
        <v>0</v>
      </c>
      <c r="Z40" s="947">
        <f t="shared" si="21"/>
        <v>5499379.8300000001</v>
      </c>
    </row>
    <row r="41" spans="1:26">
      <c r="A41" s="170">
        <f t="shared" si="22"/>
        <v>32</v>
      </c>
      <c r="B41" s="170">
        <v>806</v>
      </c>
      <c r="C41" s="67"/>
      <c r="D41" s="98" t="s">
        <v>640</v>
      </c>
      <c r="E41" s="98"/>
      <c r="F41" s="768">
        <f t="shared" si="18"/>
        <v>0</v>
      </c>
      <c r="G41" s="768"/>
      <c r="H41" s="769">
        <f>SUMIF('Sched H-1'!$B:$B,$B41,'Sched H-1'!$K:$K)</f>
        <v>0</v>
      </c>
      <c r="I41" s="769">
        <f>SUMIF('Sched H-2'!$B:$B,$B41,'Sched H-2'!$K:$K)</f>
        <v>0</v>
      </c>
      <c r="J41" s="769">
        <f>-SUMIF('Sched H-3'!$B:$B,$B41,'Sched H-3'!$H:$H)</f>
        <v>0</v>
      </c>
      <c r="K41" s="769">
        <f>SUMIF('Sched H-4'!$B:$B,$B41,'Sched H-4'!$J:$J)</f>
        <v>0</v>
      </c>
      <c r="L41" s="769">
        <f>SUMIF('Sched H-5'!$B:$B,$B41,'Sched H-5'!$F:$F)</f>
        <v>0</v>
      </c>
      <c r="M41" s="769">
        <f>SUMIF('Sched H-6'!$B:$B,$B41,'Sched H-6'!$AC:$AC)</f>
        <v>0</v>
      </c>
      <c r="N41" s="769">
        <v>0</v>
      </c>
      <c r="O41" s="769">
        <v>0</v>
      </c>
      <c r="P41" s="769">
        <f>SUMIF('Sched H-9'!$B:$B,$B41,'Sched H-9'!$H:$H)</f>
        <v>0</v>
      </c>
      <c r="Q41" s="769">
        <f>SUMIF('Sched H-10'!$B:$B,$B41,'Sched H-10'!$J:$J)</f>
        <v>0</v>
      </c>
      <c r="R41" s="769">
        <f>SUMIF('Sched H-11'!$B:$B,$B41,'Sched H-11'!$I:$I)</f>
        <v>0</v>
      </c>
      <c r="S41" s="769">
        <f>SUMIF('Sched H-12'!$B:$B,$B41,'Sched H-12'!$G:$G)</f>
        <v>0</v>
      </c>
      <c r="T41" s="769">
        <f t="shared" si="19"/>
        <v>0</v>
      </c>
      <c r="U41" s="775">
        <f t="shared" si="20"/>
        <v>0</v>
      </c>
      <c r="W41" s="75">
        <f t="shared" si="23"/>
        <v>34</v>
      </c>
      <c r="X41" s="990">
        <v>0</v>
      </c>
      <c r="Y41" s="990">
        <v>0</v>
      </c>
      <c r="Z41" s="947">
        <f t="shared" si="21"/>
        <v>0</v>
      </c>
    </row>
    <row r="42" spans="1:26">
      <c r="A42" s="170">
        <f t="shared" si="22"/>
        <v>33</v>
      </c>
      <c r="B42" s="170">
        <v>808</v>
      </c>
      <c r="C42" s="67"/>
      <c r="D42" s="98" t="s">
        <v>738</v>
      </c>
      <c r="E42" s="98"/>
      <c r="F42" s="768">
        <f t="shared" si="18"/>
        <v>0</v>
      </c>
      <c r="G42" s="768"/>
      <c r="H42" s="769">
        <f>SUMIF('Sched H-1'!$B:$B,$B42,'Sched H-1'!$K:$K)</f>
        <v>0</v>
      </c>
      <c r="I42" s="769">
        <f>SUMIF('Sched H-2'!$B:$B,$B42,'Sched H-2'!$K:$K)</f>
        <v>0</v>
      </c>
      <c r="J42" s="769">
        <f>-SUMIF('Sched H-3'!$B:$B,$B42,'Sched H-3'!$H:$H)</f>
        <v>0</v>
      </c>
      <c r="K42" s="769">
        <f>SUMIF('Sched H-4'!$B:$B,$B42,'Sched H-4'!$J:$J)</f>
        <v>0</v>
      </c>
      <c r="L42" s="769">
        <f>SUMIF('Sched H-5'!$B:$B,$B42,'Sched H-5'!$F:$F)</f>
        <v>0</v>
      </c>
      <c r="M42" s="769">
        <f>SUMIF('Sched H-6'!$B:$B,$B42,'Sched H-6'!$AC:$AC)</f>
        <v>0</v>
      </c>
      <c r="N42" s="769">
        <v>0</v>
      </c>
      <c r="O42" s="769">
        <v>0</v>
      </c>
      <c r="P42" s="769">
        <f>SUMIF('Sched H-9'!$B:$B,$B42,'Sched H-9'!$H:$H)</f>
        <v>0</v>
      </c>
      <c r="Q42" s="769">
        <f>SUMIF('Sched H-10'!$B:$B,$B42,'Sched H-10'!$J:$J)</f>
        <v>0</v>
      </c>
      <c r="R42" s="769">
        <f>SUMIF('Sched H-11'!$B:$B,$B42,'Sched H-11'!$I:$I)</f>
        <v>0</v>
      </c>
      <c r="S42" s="769">
        <f>SUMIF('Sched H-12'!$B:$B,$B42,'Sched H-12'!$G:$G)</f>
        <v>0</v>
      </c>
      <c r="T42" s="769">
        <f t="shared" si="19"/>
        <v>0</v>
      </c>
      <c r="U42" s="775">
        <f t="shared" si="20"/>
        <v>0</v>
      </c>
      <c r="W42" s="75">
        <f t="shared" si="23"/>
        <v>35</v>
      </c>
      <c r="X42" s="990">
        <v>0</v>
      </c>
      <c r="Y42" s="990">
        <v>0</v>
      </c>
      <c r="Z42" s="947">
        <f t="shared" si="21"/>
        <v>0</v>
      </c>
    </row>
    <row r="43" spans="1:26">
      <c r="A43" s="170">
        <f t="shared" si="22"/>
        <v>34</v>
      </c>
      <c r="B43" s="170">
        <v>808.1</v>
      </c>
      <c r="C43" s="67"/>
      <c r="D43" s="98" t="s">
        <v>577</v>
      </c>
      <c r="E43" s="98"/>
      <c r="F43" s="768">
        <f t="shared" si="18"/>
        <v>10881933.35</v>
      </c>
      <c r="G43" s="768"/>
      <c r="H43" s="769">
        <f>SUMIF('Sched H-1'!$B:$B,$B43,'Sched H-1'!$K:$K)</f>
        <v>0</v>
      </c>
      <c r="I43" s="769">
        <f>SUMIF('Sched H-2'!$B:$B,$B43,'Sched H-2'!$K:$K)</f>
        <v>0</v>
      </c>
      <c r="J43" s="769">
        <f>-SUMIF('Sched H-3'!$B:$B,$B43,'Sched H-3'!$H:$H)</f>
        <v>-10881933.35</v>
      </c>
      <c r="K43" s="769">
        <f>SUMIF('Sched H-4'!$B:$B,$B43,'Sched H-4'!$J:$J)</f>
        <v>0</v>
      </c>
      <c r="L43" s="769">
        <f>SUMIF('Sched H-5'!$B:$B,$B43,'Sched H-5'!$F:$F)</f>
        <v>0</v>
      </c>
      <c r="M43" s="769">
        <f>SUMIF('Sched H-6'!$B:$B,$B43,'Sched H-6'!$AC:$AC)</f>
        <v>0</v>
      </c>
      <c r="N43" s="769">
        <v>0</v>
      </c>
      <c r="O43" s="769">
        <v>0</v>
      </c>
      <c r="P43" s="769">
        <f>SUMIF('Sched H-9'!$B:$B,$B43,'Sched H-9'!$H:$H)</f>
        <v>0</v>
      </c>
      <c r="Q43" s="769">
        <f>SUMIF('Sched H-10'!$B:$B,$B43,'Sched H-10'!$J:$J)</f>
        <v>0</v>
      </c>
      <c r="R43" s="769">
        <f>SUMIF('Sched H-11'!$B:$B,$B43,'Sched H-11'!$I:$I)</f>
        <v>0</v>
      </c>
      <c r="S43" s="769">
        <f>SUMIF('Sched H-12'!$B:$B,$B43,'Sched H-12'!$G:$G)</f>
        <v>0</v>
      </c>
      <c r="T43" s="769">
        <f t="shared" si="19"/>
        <v>-10881933.35</v>
      </c>
      <c r="U43" s="775">
        <f t="shared" si="20"/>
        <v>0</v>
      </c>
      <c r="W43" s="75">
        <f t="shared" si="23"/>
        <v>36</v>
      </c>
      <c r="X43" s="990">
        <v>10881933.35</v>
      </c>
      <c r="Y43" s="990">
        <v>0</v>
      </c>
      <c r="Z43" s="947">
        <f t="shared" si="21"/>
        <v>10881933.35</v>
      </c>
    </row>
    <row r="44" spans="1:26">
      <c r="A44" s="170">
        <f t="shared" si="22"/>
        <v>35</v>
      </c>
      <c r="B44" s="170">
        <v>808.2</v>
      </c>
      <c r="C44" s="67"/>
      <c r="D44" s="98" t="s">
        <v>578</v>
      </c>
      <c r="E44" s="98"/>
      <c r="F44" s="768">
        <f t="shared" si="18"/>
        <v>-9373034.5299999975</v>
      </c>
      <c r="G44" s="768"/>
      <c r="H44" s="769">
        <f>SUMIF('Sched H-1'!$B:$B,$B44,'Sched H-1'!$K:$K)</f>
        <v>0</v>
      </c>
      <c r="I44" s="769">
        <f>SUMIF('Sched H-2'!$B:$B,$B44,'Sched H-2'!$K:$K)</f>
        <v>0</v>
      </c>
      <c r="J44" s="769">
        <f>-SUMIF('Sched H-3'!$B:$B,$B44,'Sched H-3'!$H:$H)</f>
        <v>9373034.5299999975</v>
      </c>
      <c r="K44" s="769">
        <f>SUMIF('Sched H-4'!$B:$B,$B44,'Sched H-4'!$J:$J)</f>
        <v>0</v>
      </c>
      <c r="L44" s="769">
        <f>SUMIF('Sched H-5'!$B:$B,$B44,'Sched H-5'!$F:$F)</f>
        <v>0</v>
      </c>
      <c r="M44" s="769">
        <f>SUMIF('Sched H-6'!$B:$B,$B44,'Sched H-6'!$AC:$AC)</f>
        <v>0</v>
      </c>
      <c r="N44" s="769">
        <v>0</v>
      </c>
      <c r="O44" s="769">
        <v>0</v>
      </c>
      <c r="P44" s="769">
        <f>SUMIF('Sched H-9'!$B:$B,$B44,'Sched H-9'!$H:$H)</f>
        <v>0</v>
      </c>
      <c r="Q44" s="769">
        <f>SUMIF('Sched H-10'!$B:$B,$B44,'Sched H-10'!$J:$J)</f>
        <v>0</v>
      </c>
      <c r="R44" s="769">
        <f>SUMIF('Sched H-11'!$B:$B,$B44,'Sched H-11'!$I:$I)</f>
        <v>0</v>
      </c>
      <c r="S44" s="769">
        <f>SUMIF('Sched H-12'!$B:$B,$B44,'Sched H-12'!$G:$G)</f>
        <v>0</v>
      </c>
      <c r="T44" s="769">
        <f t="shared" si="19"/>
        <v>9373034.5299999975</v>
      </c>
      <c r="U44" s="775">
        <f t="shared" si="20"/>
        <v>0</v>
      </c>
      <c r="W44" s="75">
        <f t="shared" si="23"/>
        <v>37</v>
      </c>
      <c r="X44" s="990">
        <v>-9373034.5299999975</v>
      </c>
      <c r="Y44" s="990">
        <v>0</v>
      </c>
      <c r="Z44" s="947">
        <f t="shared" si="21"/>
        <v>-9373034.5299999975</v>
      </c>
    </row>
    <row r="45" spans="1:26">
      <c r="A45" s="170">
        <f t="shared" si="22"/>
        <v>36</v>
      </c>
      <c r="B45" s="170">
        <v>812</v>
      </c>
      <c r="C45" s="67"/>
      <c r="D45" s="98" t="s">
        <v>384</v>
      </c>
      <c r="E45" s="98"/>
      <c r="F45" s="768">
        <f t="shared" si="18"/>
        <v>-17200.079999999998</v>
      </c>
      <c r="G45" s="768"/>
      <c r="H45" s="769">
        <f>SUMIF('Sched H-1'!$B:$B,$B45,'Sched H-1'!$K:$K)</f>
        <v>0</v>
      </c>
      <c r="I45" s="769">
        <f>SUMIF('Sched H-2'!$B:$B,$B45,'Sched H-2'!$K:$K)</f>
        <v>0</v>
      </c>
      <c r="J45" s="769">
        <f>-SUMIF('Sched H-3'!$B:$B,$B45,'Sched H-3'!$H:$H)</f>
        <v>17200.079999999998</v>
      </c>
      <c r="K45" s="769">
        <f>SUMIF('Sched H-4'!$B:$B,$B45,'Sched H-4'!$J:$J)</f>
        <v>0</v>
      </c>
      <c r="L45" s="769">
        <f>SUMIF('Sched H-5'!$B:$B,$B45,'Sched H-5'!$F:$F)</f>
        <v>0</v>
      </c>
      <c r="M45" s="769">
        <f>SUMIF('Sched H-6'!$B:$B,$B45,'Sched H-6'!$AC:$AC)</f>
        <v>0</v>
      </c>
      <c r="N45" s="769">
        <v>0</v>
      </c>
      <c r="O45" s="769">
        <v>0</v>
      </c>
      <c r="P45" s="769">
        <f>SUMIF('Sched H-9'!$B:$B,$B45,'Sched H-9'!$H:$H)</f>
        <v>0</v>
      </c>
      <c r="Q45" s="769">
        <f>SUMIF('Sched H-10'!$B:$B,$B45,'Sched H-10'!$J:$J)</f>
        <v>0</v>
      </c>
      <c r="R45" s="769">
        <f>SUMIF('Sched H-11'!$B:$B,$B45,'Sched H-11'!$I:$I)</f>
        <v>0</v>
      </c>
      <c r="S45" s="769">
        <f>SUMIF('Sched H-12'!$B:$B,$B45,'Sched H-12'!$G:$G)</f>
        <v>0</v>
      </c>
      <c r="T45" s="769">
        <f t="shared" si="19"/>
        <v>17200.079999999998</v>
      </c>
      <c r="U45" s="775">
        <f t="shared" si="20"/>
        <v>0</v>
      </c>
      <c r="W45" s="75">
        <f t="shared" si="23"/>
        <v>38</v>
      </c>
      <c r="X45" s="990">
        <v>-17200.079999999998</v>
      </c>
      <c r="Y45" s="990">
        <v>0</v>
      </c>
      <c r="Z45" s="947">
        <f t="shared" si="21"/>
        <v>-17200.079999999998</v>
      </c>
    </row>
    <row r="46" spans="1:26">
      <c r="A46" s="170">
        <f t="shared" si="22"/>
        <v>37</v>
      </c>
      <c r="B46" s="170">
        <v>813</v>
      </c>
      <c r="C46" s="67"/>
      <c r="D46" s="98" t="s">
        <v>383</v>
      </c>
      <c r="E46" s="98"/>
      <c r="F46" s="768">
        <f t="shared" si="18"/>
        <v>0</v>
      </c>
      <c r="G46" s="768"/>
      <c r="H46" s="769">
        <f>SUMIF('Sched H-1'!$B:$B,$B46,'Sched H-1'!$K:$K)</f>
        <v>0</v>
      </c>
      <c r="I46" s="769">
        <f>SUMIF('Sched H-2'!$B:$B,$B46,'Sched H-2'!$K:$K)</f>
        <v>0</v>
      </c>
      <c r="J46" s="769">
        <f>-SUMIF('Sched H-3'!$B:$B,$B46,'Sched H-3'!$H:$H)</f>
        <v>0</v>
      </c>
      <c r="K46" s="769">
        <f>SUMIF('Sched H-4'!$B:$B,$B46,'Sched H-4'!$J:$J)</f>
        <v>0</v>
      </c>
      <c r="L46" s="769">
        <f>SUMIF('Sched H-5'!$B:$B,$B46,'Sched H-5'!$F:$F)</f>
        <v>0</v>
      </c>
      <c r="M46" s="769">
        <f>SUMIF('Sched H-6'!$B:$B,$B46,'Sched H-6'!$AC:$AC)</f>
        <v>0</v>
      </c>
      <c r="N46" s="769">
        <v>0</v>
      </c>
      <c r="O46" s="769">
        <v>0</v>
      </c>
      <c r="P46" s="769">
        <f>SUMIF('Sched H-9'!$B:$B,$B46,'Sched H-9'!$H:$H)</f>
        <v>0</v>
      </c>
      <c r="Q46" s="769">
        <f>SUMIF('Sched H-10'!$B:$B,$B46,'Sched H-10'!$J:$J)</f>
        <v>0</v>
      </c>
      <c r="R46" s="769">
        <f>SUMIF('Sched H-11'!$B:$B,$B46,'Sched H-11'!$I:$I)</f>
        <v>0</v>
      </c>
      <c r="S46" s="769">
        <f>SUMIF('Sched H-12'!$B:$B,$B46,'Sched H-12'!$G:$G)</f>
        <v>0</v>
      </c>
      <c r="T46" s="772">
        <f t="shared" si="19"/>
        <v>0</v>
      </c>
      <c r="U46" s="775">
        <f t="shared" si="20"/>
        <v>0</v>
      </c>
      <c r="W46" s="75">
        <f t="shared" si="23"/>
        <v>39</v>
      </c>
      <c r="X46" s="991">
        <v>0</v>
      </c>
      <c r="Y46" s="991">
        <v>0</v>
      </c>
      <c r="Z46" s="946">
        <f t="shared" si="21"/>
        <v>0</v>
      </c>
    </row>
    <row r="47" spans="1:26">
      <c r="A47" s="170">
        <f t="shared" ref="A47:A101" si="24">A46+1</f>
        <v>38</v>
      </c>
      <c r="B47" s="96"/>
      <c r="C47" s="67" t="s">
        <v>381</v>
      </c>
      <c r="D47" s="98"/>
      <c r="E47" s="98"/>
      <c r="F47" s="767">
        <f>SUM(F38:F46)</f>
        <v>75525851.089999989</v>
      </c>
      <c r="G47" s="613"/>
      <c r="H47" s="767">
        <f t="shared" ref="H47:U47" si="25">SUM(H38:H46)</f>
        <v>0</v>
      </c>
      <c r="I47" s="767">
        <f t="shared" si="25"/>
        <v>0</v>
      </c>
      <c r="J47" s="767">
        <f t="shared" ref="J47" si="26">SUM(J38:J46)</f>
        <v>-75525851.089999989</v>
      </c>
      <c r="K47" s="767">
        <f t="shared" si="25"/>
        <v>0</v>
      </c>
      <c r="L47" s="767">
        <f t="shared" si="25"/>
        <v>0</v>
      </c>
      <c r="M47" s="767">
        <f t="shared" si="25"/>
        <v>0</v>
      </c>
      <c r="N47" s="767">
        <f t="shared" si="25"/>
        <v>0</v>
      </c>
      <c r="O47" s="767">
        <f t="shared" si="25"/>
        <v>0</v>
      </c>
      <c r="P47" s="767">
        <f t="shared" si="25"/>
        <v>0</v>
      </c>
      <c r="Q47" s="767">
        <f t="shared" ref="Q47:R47" si="27">SUM(Q38:Q46)</f>
        <v>0</v>
      </c>
      <c r="R47" s="767">
        <f t="shared" si="27"/>
        <v>0</v>
      </c>
      <c r="S47" s="767">
        <f t="shared" ref="S47" si="28">SUM(S38:S46)</f>
        <v>0</v>
      </c>
      <c r="T47" s="767">
        <f>SUM(T38:T46)</f>
        <v>-75525851.089999989</v>
      </c>
      <c r="U47" s="767">
        <f t="shared" si="25"/>
        <v>0</v>
      </c>
      <c r="W47" s="75">
        <f t="shared" si="0"/>
        <v>40</v>
      </c>
      <c r="X47" s="1474">
        <f>SUM(X38:X46)</f>
        <v>75525851.099999994</v>
      </c>
      <c r="Y47" s="1474">
        <f>SUM(Y38:Y46)</f>
        <v>-0.01</v>
      </c>
      <c r="Z47" s="937">
        <f t="shared" si="21"/>
        <v>75525851.089999989</v>
      </c>
    </row>
    <row r="48" spans="1:26">
      <c r="A48" s="170">
        <f t="shared" si="24"/>
        <v>39</v>
      </c>
      <c r="B48" s="96"/>
      <c r="C48" s="67"/>
      <c r="D48" s="98"/>
      <c r="E48" s="98"/>
      <c r="F48" s="624"/>
      <c r="G48" s="624"/>
      <c r="H48" s="624"/>
      <c r="I48" s="624"/>
      <c r="J48" s="624"/>
      <c r="K48" s="624"/>
      <c r="L48" s="624"/>
      <c r="M48" s="624"/>
      <c r="N48" s="624"/>
      <c r="O48" s="624"/>
      <c r="P48" s="624"/>
      <c r="Q48" s="624"/>
      <c r="R48" s="624"/>
      <c r="S48" s="624"/>
      <c r="T48" s="624"/>
      <c r="U48" s="624"/>
      <c r="W48" s="75">
        <f t="shared" si="0"/>
        <v>41</v>
      </c>
      <c r="X48" s="474"/>
      <c r="Y48" s="474"/>
      <c r="Z48" s="506"/>
    </row>
    <row r="49" spans="1:26">
      <c r="A49" s="170">
        <f t="shared" si="24"/>
        <v>40</v>
      </c>
      <c r="B49" s="737"/>
      <c r="C49" s="735" t="s">
        <v>699</v>
      </c>
      <c r="D49" s="245"/>
      <c r="E49" s="98"/>
      <c r="F49" s="624"/>
      <c r="G49" s="624"/>
      <c r="H49" s="624"/>
      <c r="I49" s="624"/>
      <c r="J49" s="624"/>
      <c r="K49" s="624"/>
      <c r="L49" s="624"/>
      <c r="M49" s="624"/>
      <c r="N49" s="624"/>
      <c r="O49" s="624"/>
      <c r="P49" s="624"/>
      <c r="Q49" s="624"/>
      <c r="R49" s="624"/>
      <c r="S49" s="624"/>
      <c r="T49" s="624"/>
      <c r="U49" s="624"/>
      <c r="W49" s="75">
        <f t="shared" si="0"/>
        <v>42</v>
      </c>
      <c r="X49" s="474"/>
      <c r="Y49" s="474"/>
      <c r="Z49" s="506"/>
    </row>
    <row r="50" spans="1:26">
      <c r="A50" s="170">
        <f t="shared" si="24"/>
        <v>41</v>
      </c>
      <c r="B50" s="737"/>
      <c r="C50" s="735"/>
      <c r="D50" s="735" t="s">
        <v>163</v>
      </c>
      <c r="E50" s="98"/>
      <c r="F50" s="624"/>
      <c r="G50" s="624"/>
      <c r="H50" s="624"/>
      <c r="I50" s="624"/>
      <c r="J50" s="624"/>
      <c r="K50" s="624"/>
      <c r="L50" s="624"/>
      <c r="M50" s="624"/>
      <c r="N50" s="624"/>
      <c r="O50" s="624"/>
      <c r="P50" s="624"/>
      <c r="Q50" s="624"/>
      <c r="R50" s="624"/>
      <c r="S50" s="624"/>
      <c r="T50" s="624"/>
      <c r="U50" s="624"/>
      <c r="W50" s="75">
        <f t="shared" si="0"/>
        <v>43</v>
      </c>
      <c r="X50" s="474"/>
      <c r="Y50" s="474"/>
      <c r="Z50" s="506"/>
    </row>
    <row r="51" spans="1:26">
      <c r="A51" s="170">
        <f t="shared" si="24"/>
        <v>42</v>
      </c>
      <c r="B51" s="736">
        <v>814</v>
      </c>
      <c r="C51" s="735"/>
      <c r="D51" s="245" t="s">
        <v>131</v>
      </c>
      <c r="E51" s="98"/>
      <c r="F51" s="885">
        <f t="shared" ref="F51:F59" si="29">HLOOKUP(Attach,$X$8:$AC$274,W51,FALSE)</f>
        <v>0</v>
      </c>
      <c r="G51" s="613"/>
      <c r="H51" s="765">
        <f>SUMIF('Sched H-1'!$B:$B,$B51,'Sched H-1'!$K:$K)</f>
        <v>0</v>
      </c>
      <c r="I51" s="765">
        <f>SUMIF('Sched H-2'!$B:$B,$B51,'Sched H-2'!$K:$K)</f>
        <v>0</v>
      </c>
      <c r="J51" s="765">
        <f>-SUMIF('Sched H-3'!$B:$B,$B51,'Sched H-3'!$H:$H)</f>
        <v>0</v>
      </c>
      <c r="K51" s="765">
        <f>SUMIF('Sched H-4'!$B:$B,$B51,'Sched H-4'!$J:$J)</f>
        <v>0</v>
      </c>
      <c r="L51" s="765">
        <f>SUMIF('Sched H-5'!$B:$B,$B51,'Sched H-5'!$F:$F)</f>
        <v>0</v>
      </c>
      <c r="M51" s="765">
        <f>SUMIF('Sched H-6'!$B:$B,$B51,'Sched H-6'!$AC:$AC)</f>
        <v>0</v>
      </c>
      <c r="N51" s="765">
        <v>0</v>
      </c>
      <c r="O51" s="765">
        <v>0</v>
      </c>
      <c r="P51" s="765">
        <f>SUMIF('Sched H-9'!$B:$B,$B51,'Sched H-9'!$H:$H)</f>
        <v>0</v>
      </c>
      <c r="Q51" s="765">
        <f>SUMIF('Sched H-10'!$B:$B,$B51,'Sched H-10'!$J:$J)</f>
        <v>0</v>
      </c>
      <c r="R51" s="765">
        <f>SUMIF('Sched H-11'!$B:$B,$B51,'Sched H-11'!$I:$I)</f>
        <v>0</v>
      </c>
      <c r="S51" s="765">
        <f>SUMIF('Sched H-12'!$B:$B,$B51,'Sched H-12'!$G:$G)</f>
        <v>0</v>
      </c>
      <c r="T51" s="765">
        <f t="shared" ref="T51:T59" si="30">SUM(H51:S51)</f>
        <v>0</v>
      </c>
      <c r="U51" s="766">
        <f t="shared" ref="U51:U59" si="31">SUM(F51:S51)</f>
        <v>0</v>
      </c>
      <c r="W51" s="75">
        <f t="shared" si="0"/>
        <v>44</v>
      </c>
      <c r="X51" s="990">
        <v>0</v>
      </c>
      <c r="Y51" s="990">
        <v>0</v>
      </c>
      <c r="Z51" s="947">
        <f t="shared" ref="Z51:Z60" si="32">+X51+Y51</f>
        <v>0</v>
      </c>
    </row>
    <row r="52" spans="1:26">
      <c r="A52" s="170">
        <f t="shared" si="24"/>
        <v>43</v>
      </c>
      <c r="B52" s="736">
        <v>816</v>
      </c>
      <c r="C52" s="735"/>
      <c r="D52" s="245" t="s">
        <v>728</v>
      </c>
      <c r="E52" s="98"/>
      <c r="F52" s="768">
        <f t="shared" si="29"/>
        <v>0</v>
      </c>
      <c r="G52" s="768"/>
      <c r="H52" s="769">
        <f>SUMIF('Sched H-1'!$B:$B,$B52,'Sched H-1'!$K:$K)</f>
        <v>0</v>
      </c>
      <c r="I52" s="769">
        <f>SUMIF('Sched H-2'!$B:$B,$B52,'Sched H-2'!$K:$K)</f>
        <v>0</v>
      </c>
      <c r="J52" s="769">
        <f>-SUMIF('Sched H-3'!$B:$B,$B52,'Sched H-3'!$H:$H)</f>
        <v>0</v>
      </c>
      <c r="K52" s="769">
        <f>SUMIF('Sched H-4'!$B:$B,$B52,'Sched H-4'!$J:$J)</f>
        <v>0</v>
      </c>
      <c r="L52" s="769">
        <f>SUMIF('Sched H-5'!$B:$B,$B52,'Sched H-5'!$F:$F)</f>
        <v>0</v>
      </c>
      <c r="M52" s="769">
        <f>SUMIF('Sched H-6'!$B:$B,$B52,'Sched H-6'!$AC:$AC)</f>
        <v>0</v>
      </c>
      <c r="N52" s="769">
        <v>0</v>
      </c>
      <c r="O52" s="769">
        <v>0</v>
      </c>
      <c r="P52" s="769">
        <f>SUMIF('Sched H-9'!$B:$B,$B52,'Sched H-9'!$H:$H)</f>
        <v>0</v>
      </c>
      <c r="Q52" s="769">
        <f>SUMIF('Sched H-10'!$B:$B,$B52,'Sched H-10'!$J:$J)</f>
        <v>0</v>
      </c>
      <c r="R52" s="769">
        <f>SUMIF('Sched H-11'!$B:$B,$B52,'Sched H-11'!$I:$I)</f>
        <v>0</v>
      </c>
      <c r="S52" s="769">
        <f>SUMIF('Sched H-12'!$B:$B,$B52,'Sched H-12'!$G:$G)</f>
        <v>0</v>
      </c>
      <c r="T52" s="769">
        <f t="shared" si="30"/>
        <v>0</v>
      </c>
      <c r="U52" s="770">
        <f t="shared" si="31"/>
        <v>0</v>
      </c>
      <c r="W52" s="75">
        <f t="shared" si="0"/>
        <v>45</v>
      </c>
      <c r="X52" s="990">
        <v>0</v>
      </c>
      <c r="Y52" s="990">
        <v>0</v>
      </c>
      <c r="Z52" s="947">
        <f t="shared" si="32"/>
        <v>0</v>
      </c>
    </row>
    <row r="53" spans="1:26">
      <c r="A53" s="170">
        <f t="shared" si="24"/>
        <v>44</v>
      </c>
      <c r="B53" s="736">
        <v>817</v>
      </c>
      <c r="C53" s="735"/>
      <c r="D53" s="245" t="s">
        <v>729</v>
      </c>
      <c r="E53" s="98"/>
      <c r="F53" s="768">
        <f t="shared" si="29"/>
        <v>0</v>
      </c>
      <c r="G53" s="768"/>
      <c r="H53" s="769">
        <f>SUMIF('Sched H-1'!$B:$B,$B53,'Sched H-1'!$K:$K)</f>
        <v>0</v>
      </c>
      <c r="I53" s="769">
        <f>SUMIF('Sched H-2'!$B:$B,$B53,'Sched H-2'!$K:$K)</f>
        <v>0</v>
      </c>
      <c r="J53" s="769">
        <f>-SUMIF('Sched H-3'!$B:$B,$B53,'Sched H-3'!$H:$H)</f>
        <v>0</v>
      </c>
      <c r="K53" s="769">
        <f>SUMIF('Sched H-4'!$B:$B,$B53,'Sched H-4'!$J:$J)</f>
        <v>0</v>
      </c>
      <c r="L53" s="769">
        <f>SUMIF('Sched H-5'!$B:$B,$B53,'Sched H-5'!$F:$F)</f>
        <v>0</v>
      </c>
      <c r="M53" s="769">
        <f>SUMIF('Sched H-6'!$B:$B,$B53,'Sched H-6'!$AC:$AC)</f>
        <v>0</v>
      </c>
      <c r="N53" s="769">
        <v>0</v>
      </c>
      <c r="O53" s="769">
        <v>0</v>
      </c>
      <c r="P53" s="769">
        <f>SUMIF('Sched H-9'!$B:$B,$B53,'Sched H-9'!$H:$H)</f>
        <v>0</v>
      </c>
      <c r="Q53" s="769">
        <f>SUMIF('Sched H-10'!$B:$B,$B53,'Sched H-10'!$J:$J)</f>
        <v>0</v>
      </c>
      <c r="R53" s="769">
        <f>SUMIF('Sched H-11'!$B:$B,$B53,'Sched H-11'!$I:$I)</f>
        <v>0</v>
      </c>
      <c r="S53" s="769">
        <f>SUMIF('Sched H-12'!$B:$B,$B53,'Sched H-12'!$G:$G)</f>
        <v>0</v>
      </c>
      <c r="T53" s="769">
        <f t="shared" si="30"/>
        <v>0</v>
      </c>
      <c r="U53" s="770">
        <f t="shared" si="31"/>
        <v>0</v>
      </c>
      <c r="W53" s="75">
        <f t="shared" si="0"/>
        <v>46</v>
      </c>
      <c r="X53" s="990">
        <v>0</v>
      </c>
      <c r="Y53" s="990">
        <v>0</v>
      </c>
      <c r="Z53" s="947">
        <f t="shared" si="32"/>
        <v>0</v>
      </c>
    </row>
    <row r="54" spans="1:26">
      <c r="A54" s="170">
        <f t="shared" si="24"/>
        <v>45</v>
      </c>
      <c r="B54" s="736">
        <v>818</v>
      </c>
      <c r="C54" s="735"/>
      <c r="D54" s="245" t="s">
        <v>730</v>
      </c>
      <c r="E54" s="98"/>
      <c r="F54" s="768">
        <f t="shared" si="29"/>
        <v>0</v>
      </c>
      <c r="G54" s="768"/>
      <c r="H54" s="769">
        <f>SUMIF('Sched H-1'!$B:$B,$B54,'Sched H-1'!$K:$K)</f>
        <v>0</v>
      </c>
      <c r="I54" s="769">
        <f>SUMIF('Sched H-2'!$B:$B,$B54,'Sched H-2'!$K:$K)</f>
        <v>0</v>
      </c>
      <c r="J54" s="769">
        <f>-SUMIF('Sched H-3'!$B:$B,$B54,'Sched H-3'!$H:$H)</f>
        <v>0</v>
      </c>
      <c r="K54" s="769">
        <f>SUMIF('Sched H-4'!$B:$B,$B54,'Sched H-4'!$J:$J)</f>
        <v>0</v>
      </c>
      <c r="L54" s="769">
        <f>SUMIF('Sched H-5'!$B:$B,$B54,'Sched H-5'!$F:$F)</f>
        <v>0</v>
      </c>
      <c r="M54" s="769">
        <f>SUMIF('Sched H-6'!$B:$B,$B54,'Sched H-6'!$AC:$AC)</f>
        <v>0</v>
      </c>
      <c r="N54" s="769">
        <v>0</v>
      </c>
      <c r="O54" s="769">
        <v>0</v>
      </c>
      <c r="P54" s="769">
        <f>SUMIF('Sched H-9'!$B:$B,$B54,'Sched H-9'!$H:$H)</f>
        <v>0</v>
      </c>
      <c r="Q54" s="769">
        <f>SUMIF('Sched H-10'!$B:$B,$B54,'Sched H-10'!$J:$J)</f>
        <v>0</v>
      </c>
      <c r="R54" s="769">
        <f>SUMIF('Sched H-11'!$B:$B,$B54,'Sched H-11'!$I:$I)</f>
        <v>0</v>
      </c>
      <c r="S54" s="769">
        <f>SUMIF('Sched H-12'!$B:$B,$B54,'Sched H-12'!$G:$G)</f>
        <v>0</v>
      </c>
      <c r="T54" s="769">
        <f t="shared" si="30"/>
        <v>0</v>
      </c>
      <c r="U54" s="770">
        <f t="shared" si="31"/>
        <v>0</v>
      </c>
      <c r="W54" s="75">
        <f t="shared" si="0"/>
        <v>47</v>
      </c>
      <c r="X54" s="990">
        <v>0</v>
      </c>
      <c r="Y54" s="990">
        <v>0</v>
      </c>
      <c r="Z54" s="947">
        <f t="shared" si="32"/>
        <v>0</v>
      </c>
    </row>
    <row r="55" spans="1:26">
      <c r="A55" s="170">
        <f t="shared" si="24"/>
        <v>46</v>
      </c>
      <c r="B55" s="736">
        <v>819</v>
      </c>
      <c r="C55" s="735"/>
      <c r="D55" s="245" t="s">
        <v>731</v>
      </c>
      <c r="E55" s="98"/>
      <c r="F55" s="768">
        <f t="shared" si="29"/>
        <v>0</v>
      </c>
      <c r="G55" s="768"/>
      <c r="H55" s="769">
        <f>SUMIF('Sched H-1'!$B:$B,$B55,'Sched H-1'!$K:$K)</f>
        <v>0</v>
      </c>
      <c r="I55" s="769">
        <f>SUMIF('Sched H-2'!$B:$B,$B55,'Sched H-2'!$K:$K)</f>
        <v>0</v>
      </c>
      <c r="J55" s="769">
        <f>-SUMIF('Sched H-3'!$B:$B,$B55,'Sched H-3'!$H:$H)</f>
        <v>0</v>
      </c>
      <c r="K55" s="769">
        <f>SUMIF('Sched H-4'!$B:$B,$B55,'Sched H-4'!$J:$J)</f>
        <v>0</v>
      </c>
      <c r="L55" s="769">
        <f>SUMIF('Sched H-5'!$B:$B,$B55,'Sched H-5'!$F:$F)</f>
        <v>0</v>
      </c>
      <c r="M55" s="769">
        <f>SUMIF('Sched H-6'!$B:$B,$B55,'Sched H-6'!$AC:$AC)</f>
        <v>0</v>
      </c>
      <c r="N55" s="769">
        <v>0</v>
      </c>
      <c r="O55" s="769">
        <v>0</v>
      </c>
      <c r="P55" s="769">
        <f>SUMIF('Sched H-9'!$B:$B,$B55,'Sched H-9'!$H:$H)</f>
        <v>0</v>
      </c>
      <c r="Q55" s="769">
        <f>SUMIF('Sched H-10'!$B:$B,$B55,'Sched H-10'!$J:$J)</f>
        <v>0</v>
      </c>
      <c r="R55" s="769">
        <f>SUMIF('Sched H-11'!$B:$B,$B55,'Sched H-11'!$I:$I)</f>
        <v>0</v>
      </c>
      <c r="S55" s="769">
        <f>SUMIF('Sched H-12'!$B:$B,$B55,'Sched H-12'!$G:$G)</f>
        <v>0</v>
      </c>
      <c r="T55" s="769">
        <f t="shared" si="30"/>
        <v>0</v>
      </c>
      <c r="U55" s="770">
        <f t="shared" si="31"/>
        <v>0</v>
      </c>
      <c r="W55" s="75">
        <f t="shared" si="0"/>
        <v>48</v>
      </c>
      <c r="X55" s="990">
        <v>0</v>
      </c>
      <c r="Y55" s="990">
        <v>0</v>
      </c>
      <c r="Z55" s="947">
        <f t="shared" si="32"/>
        <v>0</v>
      </c>
    </row>
    <row r="56" spans="1:26">
      <c r="A56" s="170">
        <f t="shared" si="24"/>
        <v>47</v>
      </c>
      <c r="B56" s="736">
        <v>820</v>
      </c>
      <c r="C56" s="735"/>
      <c r="D56" s="245" t="s">
        <v>916</v>
      </c>
      <c r="E56" s="98"/>
      <c r="F56" s="768">
        <f t="shared" si="29"/>
        <v>0</v>
      </c>
      <c r="G56" s="768"/>
      <c r="H56" s="769">
        <f>SUMIF('Sched H-1'!$B:$B,$B56,'Sched H-1'!$K:$K)</f>
        <v>0</v>
      </c>
      <c r="I56" s="769">
        <f>SUMIF('Sched H-2'!$B:$B,$B56,'Sched H-2'!$K:$K)</f>
        <v>0</v>
      </c>
      <c r="J56" s="769">
        <f>-SUMIF('Sched H-3'!$B:$B,$B56,'Sched H-3'!$H:$H)</f>
        <v>0</v>
      </c>
      <c r="K56" s="769">
        <f>SUMIF('Sched H-4'!$B:$B,$B56,'Sched H-4'!$J:$J)</f>
        <v>0</v>
      </c>
      <c r="L56" s="769">
        <f>SUMIF('Sched H-5'!$B:$B,$B56,'Sched H-5'!$F:$F)</f>
        <v>0</v>
      </c>
      <c r="M56" s="769">
        <f>SUMIF('Sched H-6'!$B:$B,$B56,'Sched H-6'!$AC:$AC)</f>
        <v>0</v>
      </c>
      <c r="N56" s="769">
        <v>0</v>
      </c>
      <c r="O56" s="769">
        <v>0</v>
      </c>
      <c r="P56" s="769">
        <f>SUMIF('Sched H-9'!$B:$B,$B56,'Sched H-9'!$H:$H)</f>
        <v>0</v>
      </c>
      <c r="Q56" s="769">
        <f>SUMIF('Sched H-10'!$B:$B,$B56,'Sched H-10'!$J:$J)</f>
        <v>0</v>
      </c>
      <c r="R56" s="769">
        <f>SUMIF('Sched H-11'!$B:$B,$B56,'Sched H-11'!$I:$I)</f>
        <v>0</v>
      </c>
      <c r="S56" s="769">
        <f>SUMIF('Sched H-12'!$B:$B,$B56,'Sched H-12'!$G:$G)</f>
        <v>0</v>
      </c>
      <c r="T56" s="769">
        <f t="shared" si="30"/>
        <v>0</v>
      </c>
      <c r="U56" s="770">
        <f t="shared" si="31"/>
        <v>0</v>
      </c>
      <c r="W56" s="75">
        <f t="shared" si="0"/>
        <v>49</v>
      </c>
      <c r="X56" s="990">
        <v>0</v>
      </c>
      <c r="Y56" s="990">
        <v>0</v>
      </c>
      <c r="Z56" s="947">
        <f t="shared" si="32"/>
        <v>0</v>
      </c>
    </row>
    <row r="57" spans="1:26">
      <c r="A57" s="170">
        <f t="shared" si="24"/>
        <v>48</v>
      </c>
      <c r="B57" s="736">
        <v>821</v>
      </c>
      <c r="C57" s="735"/>
      <c r="D57" s="245" t="s">
        <v>732</v>
      </c>
      <c r="E57" s="98"/>
      <c r="F57" s="768">
        <f t="shared" si="29"/>
        <v>0</v>
      </c>
      <c r="G57" s="768"/>
      <c r="H57" s="769">
        <f>SUMIF('Sched H-1'!$B:$B,$B57,'Sched H-1'!$K:$K)</f>
        <v>0</v>
      </c>
      <c r="I57" s="769">
        <f>SUMIF('Sched H-2'!$B:$B,$B57,'Sched H-2'!$K:$K)</f>
        <v>0</v>
      </c>
      <c r="J57" s="769">
        <f>-SUMIF('Sched H-3'!$B:$B,$B57,'Sched H-3'!$H:$H)</f>
        <v>0</v>
      </c>
      <c r="K57" s="769">
        <f>SUMIF('Sched H-4'!$B:$B,$B57,'Sched H-4'!$J:$J)</f>
        <v>0</v>
      </c>
      <c r="L57" s="769">
        <f>SUMIF('Sched H-5'!$B:$B,$B57,'Sched H-5'!$F:$F)</f>
        <v>0</v>
      </c>
      <c r="M57" s="769">
        <f>SUMIF('Sched H-6'!$B:$B,$B57,'Sched H-6'!$AC:$AC)</f>
        <v>0</v>
      </c>
      <c r="N57" s="769">
        <v>0</v>
      </c>
      <c r="O57" s="769">
        <v>0</v>
      </c>
      <c r="P57" s="769">
        <f>SUMIF('Sched H-9'!$B:$B,$B57,'Sched H-9'!$H:$H)</f>
        <v>0</v>
      </c>
      <c r="Q57" s="769">
        <f>SUMIF('Sched H-10'!$B:$B,$B57,'Sched H-10'!$J:$J)</f>
        <v>0</v>
      </c>
      <c r="R57" s="769">
        <f>SUMIF('Sched H-11'!$B:$B,$B57,'Sched H-11'!$I:$I)</f>
        <v>0</v>
      </c>
      <c r="S57" s="769">
        <f>SUMIF('Sched H-12'!$B:$B,$B57,'Sched H-12'!$G:$G)</f>
        <v>0</v>
      </c>
      <c r="T57" s="769">
        <f t="shared" si="30"/>
        <v>0</v>
      </c>
      <c r="U57" s="770">
        <f t="shared" si="31"/>
        <v>0</v>
      </c>
      <c r="W57" s="75">
        <f t="shared" si="0"/>
        <v>50</v>
      </c>
      <c r="X57" s="990">
        <v>0</v>
      </c>
      <c r="Y57" s="990">
        <v>0</v>
      </c>
      <c r="Z57" s="947">
        <f t="shared" si="32"/>
        <v>0</v>
      </c>
    </row>
    <row r="58" spans="1:26">
      <c r="A58" s="170">
        <f t="shared" si="24"/>
        <v>49</v>
      </c>
      <c r="B58" s="736">
        <v>824</v>
      </c>
      <c r="C58" s="735"/>
      <c r="D58" s="245" t="s">
        <v>192</v>
      </c>
      <c r="E58" s="98"/>
      <c r="F58" s="768">
        <f t="shared" si="29"/>
        <v>0</v>
      </c>
      <c r="G58" s="768"/>
      <c r="H58" s="769">
        <f>SUMIF('Sched H-1'!$B:$B,$B58,'Sched H-1'!$K:$K)</f>
        <v>0</v>
      </c>
      <c r="I58" s="769">
        <f>SUMIF('Sched H-2'!$B:$B,$B58,'Sched H-2'!$K:$K)</f>
        <v>0</v>
      </c>
      <c r="J58" s="769">
        <f>-SUMIF('Sched H-3'!$B:$B,$B58,'Sched H-3'!$H:$H)</f>
        <v>0</v>
      </c>
      <c r="K58" s="769">
        <f>SUMIF('Sched H-4'!$B:$B,$B58,'Sched H-4'!$J:$J)</f>
        <v>0</v>
      </c>
      <c r="L58" s="769">
        <f>SUMIF('Sched H-5'!$B:$B,$B58,'Sched H-5'!$F:$F)</f>
        <v>0</v>
      </c>
      <c r="M58" s="769">
        <f>SUMIF('Sched H-6'!$B:$B,$B58,'Sched H-6'!$AC:$AC)</f>
        <v>0</v>
      </c>
      <c r="N58" s="769">
        <v>0</v>
      </c>
      <c r="O58" s="769">
        <v>0</v>
      </c>
      <c r="P58" s="769">
        <f>SUMIF('Sched H-9'!$B:$B,$B58,'Sched H-9'!$H:$H)</f>
        <v>0</v>
      </c>
      <c r="Q58" s="769">
        <f>SUMIF('Sched H-10'!$B:$B,$B58,'Sched H-10'!$J:$J)</f>
        <v>0</v>
      </c>
      <c r="R58" s="769">
        <f>SUMIF('Sched H-11'!$B:$B,$B58,'Sched H-11'!$I:$I)</f>
        <v>0</v>
      </c>
      <c r="S58" s="769">
        <f>SUMIF('Sched H-12'!$B:$B,$B58,'Sched H-12'!$G:$G)</f>
        <v>0</v>
      </c>
      <c r="T58" s="769">
        <f t="shared" si="30"/>
        <v>0</v>
      </c>
      <c r="U58" s="770">
        <f t="shared" si="31"/>
        <v>0</v>
      </c>
      <c r="W58" s="75">
        <f t="shared" si="0"/>
        <v>51</v>
      </c>
      <c r="X58" s="990">
        <v>0</v>
      </c>
      <c r="Y58" s="990">
        <v>0</v>
      </c>
      <c r="Z58" s="947">
        <f t="shared" si="32"/>
        <v>0</v>
      </c>
    </row>
    <row r="59" spans="1:26">
      <c r="A59" s="170">
        <f t="shared" si="24"/>
        <v>50</v>
      </c>
      <c r="B59" s="736">
        <v>826</v>
      </c>
      <c r="C59" s="735"/>
      <c r="D59" s="245" t="s">
        <v>185</v>
      </c>
      <c r="E59" s="98"/>
      <c r="F59" s="771">
        <f t="shared" si="29"/>
        <v>0</v>
      </c>
      <c r="G59" s="768"/>
      <c r="H59" s="772">
        <f>SUMIF('Sched H-1'!$B:$B,$B59,'Sched H-1'!$K:$K)</f>
        <v>0</v>
      </c>
      <c r="I59" s="772">
        <f>SUMIF('Sched H-2'!$B:$B,$B59,'Sched H-2'!$K:$K)</f>
        <v>0</v>
      </c>
      <c r="J59" s="772">
        <f>-SUMIF('Sched H-3'!$B:$B,$B59,'Sched H-3'!$H:$H)</f>
        <v>0</v>
      </c>
      <c r="K59" s="772">
        <f>SUMIF('Sched H-4'!$B:$B,$B59,'Sched H-4'!$J:$J)</f>
        <v>0</v>
      </c>
      <c r="L59" s="772">
        <f>SUMIF('Sched H-5'!$B:$B,$B59,'Sched H-5'!$F:$F)</f>
        <v>0</v>
      </c>
      <c r="M59" s="772">
        <f>SUMIF('Sched H-6'!$B:$B,$B59,'Sched H-6'!$AC:$AC)</f>
        <v>0</v>
      </c>
      <c r="N59" s="772">
        <v>0</v>
      </c>
      <c r="O59" s="772">
        <v>0</v>
      </c>
      <c r="P59" s="772">
        <f>SUMIF('Sched H-9'!$B:$B,$B59,'Sched H-9'!$H:$H)</f>
        <v>0</v>
      </c>
      <c r="Q59" s="772">
        <f>SUMIF('Sched H-10'!$B:$B,$B59,'Sched H-10'!$J:$J)</f>
        <v>0</v>
      </c>
      <c r="R59" s="772">
        <f>SUMIF('Sched H-11'!$B:$B,$B59,'Sched H-11'!$I:$I)</f>
        <v>0</v>
      </c>
      <c r="S59" s="772">
        <f>SUMIF('Sched H-12'!$B:$B,$B59,'Sched H-12'!$G:$G)</f>
        <v>0</v>
      </c>
      <c r="T59" s="772">
        <f t="shared" si="30"/>
        <v>0</v>
      </c>
      <c r="U59" s="773">
        <f t="shared" si="31"/>
        <v>0</v>
      </c>
      <c r="W59" s="75">
        <f t="shared" si="0"/>
        <v>52</v>
      </c>
      <c r="X59" s="991">
        <v>0</v>
      </c>
      <c r="Y59" s="991">
        <v>0</v>
      </c>
      <c r="Z59" s="946">
        <f t="shared" si="32"/>
        <v>0</v>
      </c>
    </row>
    <row r="60" spans="1:26">
      <c r="A60" s="170">
        <f t="shared" si="24"/>
        <v>51</v>
      </c>
      <c r="B60" s="737"/>
      <c r="C60" s="735" t="s">
        <v>700</v>
      </c>
      <c r="D60" s="245"/>
      <c r="E60" s="98"/>
      <c r="F60" s="613">
        <f>SUM(F51:F59)</f>
        <v>0</v>
      </c>
      <c r="G60" s="613"/>
      <c r="H60" s="613">
        <f t="shared" ref="H60:P60" si="33">SUM(H51:H59)</f>
        <v>0</v>
      </c>
      <c r="I60" s="613">
        <f t="shared" si="33"/>
        <v>0</v>
      </c>
      <c r="J60" s="613">
        <f t="shared" ref="J60" si="34">SUM(J51:J59)</f>
        <v>0</v>
      </c>
      <c r="K60" s="613">
        <f t="shared" si="33"/>
        <v>0</v>
      </c>
      <c r="L60" s="613">
        <f t="shared" si="33"/>
        <v>0</v>
      </c>
      <c r="M60" s="613">
        <f t="shared" si="33"/>
        <v>0</v>
      </c>
      <c r="N60" s="613">
        <f t="shared" si="33"/>
        <v>0</v>
      </c>
      <c r="O60" s="613">
        <f t="shared" si="33"/>
        <v>0</v>
      </c>
      <c r="P60" s="613">
        <f t="shared" si="33"/>
        <v>0</v>
      </c>
      <c r="Q60" s="613">
        <f t="shared" ref="Q60:R60" si="35">SUM(Q51:Q59)</f>
        <v>0</v>
      </c>
      <c r="R60" s="613">
        <f t="shared" si="35"/>
        <v>0</v>
      </c>
      <c r="S60" s="613">
        <f t="shared" ref="S60" si="36">SUM(S51:S59)</f>
        <v>0</v>
      </c>
      <c r="T60" s="613">
        <f>SUM(T51:T59)</f>
        <v>0</v>
      </c>
      <c r="U60" s="613">
        <f>SUM(U51:U59)</f>
        <v>0</v>
      </c>
      <c r="W60" s="75">
        <f t="shared" si="0"/>
        <v>53</v>
      </c>
      <c r="X60" s="1474">
        <f>SUM(X51:X59)</f>
        <v>0</v>
      </c>
      <c r="Y60" s="1474">
        <f>SUM(Y51:Y59)</f>
        <v>0</v>
      </c>
      <c r="Z60" s="937">
        <f t="shared" si="32"/>
        <v>0</v>
      </c>
    </row>
    <row r="61" spans="1:26">
      <c r="A61" s="170">
        <f t="shared" si="24"/>
        <v>52</v>
      </c>
      <c r="B61" s="737"/>
      <c r="C61" s="735"/>
      <c r="D61" s="245"/>
      <c r="E61" s="98"/>
      <c r="F61" s="624"/>
      <c r="G61" s="624"/>
      <c r="H61" s="624"/>
      <c r="I61" s="624"/>
      <c r="J61" s="624"/>
      <c r="K61" s="624"/>
      <c r="L61" s="624"/>
      <c r="M61" s="624"/>
      <c r="N61" s="624"/>
      <c r="O61" s="624"/>
      <c r="P61" s="624"/>
      <c r="Q61" s="624"/>
      <c r="R61" s="624"/>
      <c r="S61" s="624"/>
      <c r="T61" s="624"/>
      <c r="U61" s="624"/>
      <c r="W61" s="75">
        <f t="shared" si="0"/>
        <v>54</v>
      </c>
      <c r="X61" s="474"/>
      <c r="Y61" s="474"/>
      <c r="Z61" s="506"/>
    </row>
    <row r="62" spans="1:26">
      <c r="A62" s="170">
        <f t="shared" si="24"/>
        <v>53</v>
      </c>
      <c r="B62" s="763"/>
      <c r="C62" s="735"/>
      <c r="D62" s="735" t="s">
        <v>166</v>
      </c>
      <c r="E62" s="98"/>
      <c r="F62" s="624"/>
      <c r="G62" s="624"/>
      <c r="H62" s="624"/>
      <c r="I62" s="624"/>
      <c r="J62" s="624"/>
      <c r="K62" s="624"/>
      <c r="L62" s="624"/>
      <c r="M62" s="624"/>
      <c r="N62" s="624"/>
      <c r="O62" s="624"/>
      <c r="P62" s="624"/>
      <c r="Q62" s="624"/>
      <c r="R62" s="624"/>
      <c r="S62" s="624"/>
      <c r="T62" s="624"/>
      <c r="U62" s="624"/>
      <c r="W62" s="75">
        <f t="shared" si="0"/>
        <v>55</v>
      </c>
      <c r="X62" s="474"/>
      <c r="Y62" s="474"/>
      <c r="Z62" s="506"/>
    </row>
    <row r="63" spans="1:26">
      <c r="A63" s="170">
        <f t="shared" si="24"/>
        <v>54</v>
      </c>
      <c r="B63" s="736">
        <v>830</v>
      </c>
      <c r="C63" s="735"/>
      <c r="D63" s="245" t="s">
        <v>733</v>
      </c>
      <c r="E63" s="98"/>
      <c r="F63" s="613">
        <f t="shared" ref="F63:F68" si="37">HLOOKUP(Attach,$X$8:$AC$274,W63,FALSE)</f>
        <v>0</v>
      </c>
      <c r="G63" s="613"/>
      <c r="H63" s="765">
        <f>SUMIF('Sched H-1'!$B:$B,$B63,'Sched H-1'!$K:$K)</f>
        <v>0</v>
      </c>
      <c r="I63" s="765">
        <f>SUMIF('Sched H-2'!$B:$B,$B63,'Sched H-2'!$K:$K)</f>
        <v>0</v>
      </c>
      <c r="J63" s="765">
        <f>-SUMIF('Sched H-3'!$B:$B,$B63,'Sched H-3'!$H:$H)</f>
        <v>0</v>
      </c>
      <c r="K63" s="765">
        <f>SUMIF('Sched H-4'!$B:$B,$B63,'Sched H-4'!$J:$J)</f>
        <v>0</v>
      </c>
      <c r="L63" s="765">
        <f>SUMIF('Sched H-5'!$B:$B,$B63,'Sched H-5'!$F:$F)</f>
        <v>0</v>
      </c>
      <c r="M63" s="765">
        <f>SUMIF('Sched H-6'!$B:$B,$B63,'Sched H-6'!$AC:$AC)</f>
        <v>0</v>
      </c>
      <c r="N63" s="765">
        <v>0</v>
      </c>
      <c r="O63" s="765">
        <v>0</v>
      </c>
      <c r="P63" s="765">
        <f>SUMIF('Sched H-9'!$B:$B,$B63,'Sched H-9'!$H:$H)</f>
        <v>0</v>
      </c>
      <c r="Q63" s="765">
        <f>SUMIF('Sched H-10'!$B:$B,$B63,'Sched H-10'!$J:$J)</f>
        <v>0</v>
      </c>
      <c r="R63" s="765">
        <f>SUMIF('Sched H-11'!$B:$B,$B63,'Sched H-11'!$I:$I)</f>
        <v>0</v>
      </c>
      <c r="S63" s="765">
        <f>SUMIF('Sched H-12'!$B:$B,$B63,'Sched H-12'!$G:$G)</f>
        <v>0</v>
      </c>
      <c r="T63" s="765">
        <f t="shared" ref="T63:T68" si="38">SUM(H63:S63)</f>
        <v>0</v>
      </c>
      <c r="U63" s="765">
        <f t="shared" ref="U63:U68" si="39">SUM(F63:S63)</f>
        <v>0</v>
      </c>
      <c r="W63" s="75">
        <f t="shared" si="0"/>
        <v>56</v>
      </c>
      <c r="X63" s="990">
        <v>0</v>
      </c>
      <c r="Y63" s="990">
        <v>0</v>
      </c>
      <c r="Z63" s="947">
        <f t="shared" ref="Z63:Z69" si="40">+X63+Y63</f>
        <v>0</v>
      </c>
    </row>
    <row r="64" spans="1:26">
      <c r="A64" s="170">
        <f t="shared" si="24"/>
        <v>55</v>
      </c>
      <c r="B64" s="736">
        <v>832</v>
      </c>
      <c r="C64" s="735"/>
      <c r="D64" s="245" t="s">
        <v>734</v>
      </c>
      <c r="E64" s="98"/>
      <c r="F64" s="669">
        <f t="shared" si="37"/>
        <v>0</v>
      </c>
      <c r="G64" s="669"/>
      <c r="H64" s="769">
        <f>SUMIF('Sched H-1'!$B:$B,$B64,'Sched H-1'!$K:$K)</f>
        <v>0</v>
      </c>
      <c r="I64" s="769">
        <f>SUMIF('Sched H-2'!$B:$B,$B64,'Sched H-2'!$K:$K)</f>
        <v>0</v>
      </c>
      <c r="J64" s="769">
        <f>-SUMIF('Sched H-3'!$B:$B,$B64,'Sched H-3'!$H:$H)</f>
        <v>0</v>
      </c>
      <c r="K64" s="769">
        <f>SUMIF('Sched H-4'!$B:$B,$B64,'Sched H-4'!$J:$J)</f>
        <v>0</v>
      </c>
      <c r="L64" s="769">
        <f>SUMIF('Sched H-5'!$B:$B,$B64,'Sched H-5'!$F:$F)</f>
        <v>0</v>
      </c>
      <c r="M64" s="769">
        <f>SUMIF('Sched H-6'!$B:$B,$B64,'Sched H-6'!$AC:$AC)</f>
        <v>0</v>
      </c>
      <c r="N64" s="769">
        <v>0</v>
      </c>
      <c r="O64" s="769">
        <v>0</v>
      </c>
      <c r="P64" s="769">
        <f>SUMIF('Sched H-9'!$B:$B,$B64,'Sched H-9'!$H:$H)</f>
        <v>0</v>
      </c>
      <c r="Q64" s="774">
        <f>SUMIF('Sched H-10'!$B:$B,$B64,'Sched H-10'!$J:$J)</f>
        <v>0</v>
      </c>
      <c r="R64" s="774">
        <f>SUMIF('Sched H-11'!$B:$B,$B64,'Sched H-11'!$I:$I)</f>
        <v>0</v>
      </c>
      <c r="S64" s="774">
        <f>SUMIF('Sched H-12'!$B:$B,$B64,'Sched H-12'!$G:$G)</f>
        <v>0</v>
      </c>
      <c r="T64" s="774">
        <f t="shared" si="38"/>
        <v>0</v>
      </c>
      <c r="U64" s="770">
        <f t="shared" si="39"/>
        <v>0</v>
      </c>
      <c r="W64" s="75">
        <f t="shared" si="0"/>
        <v>57</v>
      </c>
      <c r="X64" s="990">
        <v>0</v>
      </c>
      <c r="Y64" s="990">
        <v>0</v>
      </c>
      <c r="Z64" s="947">
        <f t="shared" si="40"/>
        <v>0</v>
      </c>
    </row>
    <row r="65" spans="1:26">
      <c r="A65" s="170">
        <f t="shared" si="24"/>
        <v>56</v>
      </c>
      <c r="B65" s="736">
        <v>833</v>
      </c>
      <c r="C65" s="735"/>
      <c r="D65" s="245" t="s">
        <v>735</v>
      </c>
      <c r="E65" s="98"/>
      <c r="F65" s="669">
        <f t="shared" si="37"/>
        <v>0</v>
      </c>
      <c r="G65" s="669"/>
      <c r="H65" s="769">
        <f>SUMIF('Sched H-1'!$B:$B,$B65,'Sched H-1'!$K:$K)</f>
        <v>0</v>
      </c>
      <c r="I65" s="769">
        <f>SUMIF('Sched H-2'!$B:$B,$B65,'Sched H-2'!$K:$K)</f>
        <v>0</v>
      </c>
      <c r="J65" s="769">
        <f>-SUMIF('Sched H-3'!$B:$B,$B65,'Sched H-3'!$H:$H)</f>
        <v>0</v>
      </c>
      <c r="K65" s="769">
        <f>SUMIF('Sched H-4'!$B:$B,$B65,'Sched H-4'!$J:$J)</f>
        <v>0</v>
      </c>
      <c r="L65" s="769">
        <f>SUMIF('Sched H-5'!$B:$B,$B65,'Sched H-5'!$F:$F)</f>
        <v>0</v>
      </c>
      <c r="M65" s="769">
        <f>SUMIF('Sched H-6'!$B:$B,$B65,'Sched H-6'!$AC:$AC)</f>
        <v>0</v>
      </c>
      <c r="N65" s="769">
        <v>0</v>
      </c>
      <c r="O65" s="769">
        <v>0</v>
      </c>
      <c r="P65" s="769">
        <f>SUMIF('Sched H-9'!$B:$B,$B65,'Sched H-9'!$H:$H)</f>
        <v>0</v>
      </c>
      <c r="Q65" s="774">
        <f>SUMIF('Sched H-10'!$B:$B,$B65,'Sched H-10'!$J:$J)</f>
        <v>0</v>
      </c>
      <c r="R65" s="774">
        <f>SUMIF('Sched H-11'!$B:$B,$B65,'Sched H-11'!$I:$I)</f>
        <v>0</v>
      </c>
      <c r="S65" s="774">
        <f>SUMIF('Sched H-12'!$B:$B,$B65,'Sched H-12'!$G:$G)</f>
        <v>0</v>
      </c>
      <c r="T65" s="774">
        <f t="shared" si="38"/>
        <v>0</v>
      </c>
      <c r="U65" s="770">
        <f t="shared" si="39"/>
        <v>0</v>
      </c>
      <c r="W65" s="75">
        <f t="shared" si="0"/>
        <v>58</v>
      </c>
      <c r="X65" s="990">
        <v>0</v>
      </c>
      <c r="Y65" s="990">
        <v>0</v>
      </c>
      <c r="Z65" s="947">
        <f t="shared" si="40"/>
        <v>0</v>
      </c>
    </row>
    <row r="66" spans="1:26">
      <c r="A66" s="170">
        <f t="shared" si="24"/>
        <v>57</v>
      </c>
      <c r="B66" s="736">
        <v>834</v>
      </c>
      <c r="C66" s="735"/>
      <c r="D66" s="245" t="s">
        <v>482</v>
      </c>
      <c r="E66" s="98"/>
      <c r="F66" s="669">
        <f t="shared" si="37"/>
        <v>0</v>
      </c>
      <c r="G66" s="669"/>
      <c r="H66" s="769">
        <f>SUMIF('Sched H-1'!$B:$B,$B66,'Sched H-1'!$K:$K)</f>
        <v>0</v>
      </c>
      <c r="I66" s="769">
        <f>SUMIF('Sched H-2'!$B:$B,$B66,'Sched H-2'!$K:$K)</f>
        <v>0</v>
      </c>
      <c r="J66" s="769">
        <f>-SUMIF('Sched H-3'!$B:$B,$B66,'Sched H-3'!$H:$H)</f>
        <v>0</v>
      </c>
      <c r="K66" s="769">
        <f>SUMIF('Sched H-4'!$B:$B,$B66,'Sched H-4'!$J:$J)</f>
        <v>0</v>
      </c>
      <c r="L66" s="769">
        <f>SUMIF('Sched H-5'!$B:$B,$B66,'Sched H-5'!$F:$F)</f>
        <v>0</v>
      </c>
      <c r="M66" s="769">
        <f>SUMIF('Sched H-6'!$B:$B,$B66,'Sched H-6'!$AC:$AC)</f>
        <v>0</v>
      </c>
      <c r="N66" s="769">
        <v>0</v>
      </c>
      <c r="O66" s="769">
        <v>0</v>
      </c>
      <c r="P66" s="769">
        <f>SUMIF('Sched H-9'!$B:$B,$B66,'Sched H-9'!$H:$H)</f>
        <v>0</v>
      </c>
      <c r="Q66" s="774">
        <f>SUMIF('Sched H-10'!$B:$B,$B66,'Sched H-10'!$J:$J)</f>
        <v>0</v>
      </c>
      <c r="R66" s="774">
        <f>SUMIF('Sched H-11'!$B:$B,$B66,'Sched H-11'!$I:$I)</f>
        <v>0</v>
      </c>
      <c r="S66" s="774">
        <f>SUMIF('Sched H-12'!$B:$B,$B66,'Sched H-12'!$G:$G)</f>
        <v>0</v>
      </c>
      <c r="T66" s="774">
        <f t="shared" si="38"/>
        <v>0</v>
      </c>
      <c r="U66" s="770">
        <f t="shared" si="39"/>
        <v>0</v>
      </c>
      <c r="W66" s="75">
        <f t="shared" si="0"/>
        <v>59</v>
      </c>
      <c r="X66" s="990">
        <v>0</v>
      </c>
      <c r="Y66" s="990">
        <v>0</v>
      </c>
      <c r="Z66" s="947">
        <f t="shared" si="40"/>
        <v>0</v>
      </c>
    </row>
    <row r="67" spans="1:26">
      <c r="A67" s="170">
        <f t="shared" si="24"/>
        <v>58</v>
      </c>
      <c r="B67" s="736">
        <v>835</v>
      </c>
      <c r="C67" s="735"/>
      <c r="D67" s="245" t="s">
        <v>736</v>
      </c>
      <c r="E67" s="98"/>
      <c r="F67" s="669">
        <f t="shared" si="37"/>
        <v>0</v>
      </c>
      <c r="G67" s="669"/>
      <c r="H67" s="769">
        <f>SUMIF('Sched H-1'!$B:$B,$B67,'Sched H-1'!$K:$K)</f>
        <v>0</v>
      </c>
      <c r="I67" s="769">
        <f>SUMIF('Sched H-2'!$B:$B,$B67,'Sched H-2'!$K:$K)</f>
        <v>0</v>
      </c>
      <c r="J67" s="769">
        <f>-SUMIF('Sched H-3'!$B:$B,$B67,'Sched H-3'!$H:$H)</f>
        <v>0</v>
      </c>
      <c r="K67" s="769">
        <f>SUMIF('Sched H-4'!$B:$B,$B67,'Sched H-4'!$J:$J)</f>
        <v>0</v>
      </c>
      <c r="L67" s="769">
        <f>SUMIF('Sched H-5'!$B:$B,$B67,'Sched H-5'!$F:$F)</f>
        <v>0</v>
      </c>
      <c r="M67" s="769">
        <f>SUMIF('Sched H-6'!$B:$B,$B67,'Sched H-6'!$AC:$AC)</f>
        <v>0</v>
      </c>
      <c r="N67" s="769">
        <v>0</v>
      </c>
      <c r="O67" s="769">
        <v>0</v>
      </c>
      <c r="P67" s="769">
        <f>SUMIF('Sched H-9'!$B:$B,$B67,'Sched H-9'!$H:$H)</f>
        <v>0</v>
      </c>
      <c r="Q67" s="774">
        <f>SUMIF('Sched H-10'!$B:$B,$B67,'Sched H-10'!$J:$J)</f>
        <v>0</v>
      </c>
      <c r="R67" s="774">
        <f>SUMIF('Sched H-11'!$B:$B,$B67,'Sched H-11'!$I:$I)</f>
        <v>0</v>
      </c>
      <c r="S67" s="774">
        <f>SUMIF('Sched H-12'!$B:$B,$B67,'Sched H-12'!$G:$G)</f>
        <v>0</v>
      </c>
      <c r="T67" s="774">
        <f t="shared" si="38"/>
        <v>0</v>
      </c>
      <c r="U67" s="770">
        <f t="shared" si="39"/>
        <v>0</v>
      </c>
      <c r="W67" s="75">
        <f t="shared" si="0"/>
        <v>60</v>
      </c>
      <c r="X67" s="990">
        <v>0</v>
      </c>
      <c r="Y67" s="990">
        <v>0</v>
      </c>
      <c r="Z67" s="947">
        <f t="shared" si="40"/>
        <v>0</v>
      </c>
    </row>
    <row r="68" spans="1:26">
      <c r="A68" s="170">
        <f t="shared" si="24"/>
        <v>59</v>
      </c>
      <c r="B68" s="736">
        <v>836</v>
      </c>
      <c r="C68" s="735"/>
      <c r="D68" s="245" t="s">
        <v>727</v>
      </c>
      <c r="E68" s="98"/>
      <c r="F68" s="776">
        <f t="shared" si="37"/>
        <v>0</v>
      </c>
      <c r="G68" s="669"/>
      <c r="H68" s="772">
        <f>SUMIF('Sched H-1'!$B:$B,$B68,'Sched H-1'!$K:$K)</f>
        <v>0</v>
      </c>
      <c r="I68" s="772">
        <f>SUMIF('Sched H-2'!$B:$B,$B68,'Sched H-2'!$K:$K)</f>
        <v>0</v>
      </c>
      <c r="J68" s="772">
        <f>-SUMIF('Sched H-3'!$B:$B,$B68,'Sched H-3'!$H:$H)</f>
        <v>0</v>
      </c>
      <c r="K68" s="772">
        <f>SUMIF('Sched H-4'!$B:$B,$B68,'Sched H-4'!$J:$J)</f>
        <v>0</v>
      </c>
      <c r="L68" s="772">
        <f>SUMIF('Sched H-5'!$B:$B,$B68,'Sched H-5'!$F:$F)</f>
        <v>0</v>
      </c>
      <c r="M68" s="772">
        <f>SUMIF('Sched H-6'!$B:$B,$B68,'Sched H-6'!$AC:$AC)</f>
        <v>0</v>
      </c>
      <c r="N68" s="772">
        <v>0</v>
      </c>
      <c r="O68" s="772">
        <v>0</v>
      </c>
      <c r="P68" s="772">
        <f>SUMIF('Sched H-9'!$B:$B,$B68,'Sched H-9'!$H:$H)</f>
        <v>0</v>
      </c>
      <c r="Q68" s="777">
        <f>SUMIF('Sched H-10'!$B:$B,$B68,'Sched H-10'!$J:$J)</f>
        <v>0</v>
      </c>
      <c r="R68" s="777">
        <f>SUMIF('Sched H-11'!$B:$B,$B68,'Sched H-11'!$I:$I)</f>
        <v>0</v>
      </c>
      <c r="S68" s="777">
        <f>SUMIF('Sched H-12'!$B:$B,$B68,'Sched H-12'!$G:$G)</f>
        <v>0</v>
      </c>
      <c r="T68" s="777">
        <f t="shared" si="38"/>
        <v>0</v>
      </c>
      <c r="U68" s="773">
        <f t="shared" si="39"/>
        <v>0</v>
      </c>
      <c r="W68" s="75">
        <f t="shared" si="0"/>
        <v>61</v>
      </c>
      <c r="X68" s="991">
        <v>0</v>
      </c>
      <c r="Y68" s="991">
        <v>0</v>
      </c>
      <c r="Z68" s="946">
        <f t="shared" si="40"/>
        <v>0</v>
      </c>
    </row>
    <row r="69" spans="1:26">
      <c r="A69" s="170">
        <f t="shared" si="24"/>
        <v>60</v>
      </c>
      <c r="B69" s="737"/>
      <c r="C69" s="735" t="s">
        <v>701</v>
      </c>
      <c r="D69" s="245"/>
      <c r="E69" s="98"/>
      <c r="F69" s="613">
        <f>SUM(F63:F68)</f>
        <v>0</v>
      </c>
      <c r="G69" s="613"/>
      <c r="H69" s="613">
        <f t="shared" ref="H69:P69" si="41">SUM(H63:H68)</f>
        <v>0</v>
      </c>
      <c r="I69" s="613">
        <f t="shared" si="41"/>
        <v>0</v>
      </c>
      <c r="J69" s="613">
        <f t="shared" ref="J69" si="42">SUM(J63:J68)</f>
        <v>0</v>
      </c>
      <c r="K69" s="613">
        <f t="shared" si="41"/>
        <v>0</v>
      </c>
      <c r="L69" s="613">
        <f t="shared" si="41"/>
        <v>0</v>
      </c>
      <c r="M69" s="613">
        <f t="shared" si="41"/>
        <v>0</v>
      </c>
      <c r="N69" s="613">
        <f t="shared" si="41"/>
        <v>0</v>
      </c>
      <c r="O69" s="613">
        <f t="shared" si="41"/>
        <v>0</v>
      </c>
      <c r="P69" s="613">
        <f t="shared" si="41"/>
        <v>0</v>
      </c>
      <c r="Q69" s="613">
        <f t="shared" ref="Q69:R69" si="43">SUM(Q63:Q68)</f>
        <v>0</v>
      </c>
      <c r="R69" s="613">
        <f t="shared" si="43"/>
        <v>0</v>
      </c>
      <c r="S69" s="613">
        <f t="shared" ref="S69" si="44">SUM(S63:S68)</f>
        <v>0</v>
      </c>
      <c r="T69" s="613">
        <f>SUM(T63:T68)</f>
        <v>0</v>
      </c>
      <c r="U69" s="613">
        <f>SUM(U63:U68)</f>
        <v>0</v>
      </c>
      <c r="W69" s="75">
        <f t="shared" si="0"/>
        <v>62</v>
      </c>
      <c r="X69" s="1474">
        <f>SUM(X63:X68)</f>
        <v>0</v>
      </c>
      <c r="Y69" s="1474">
        <f>SUM(Y63:Y68)</f>
        <v>0</v>
      </c>
      <c r="Z69" s="937">
        <f t="shared" si="40"/>
        <v>0</v>
      </c>
    </row>
    <row r="70" spans="1:26">
      <c r="A70" s="170">
        <f t="shared" si="24"/>
        <v>61</v>
      </c>
      <c r="B70" s="737"/>
      <c r="C70" s="735"/>
      <c r="D70" s="245"/>
      <c r="E70" s="98"/>
      <c r="F70" s="624"/>
      <c r="G70" s="624"/>
      <c r="H70" s="624"/>
      <c r="I70" s="624"/>
      <c r="J70" s="624"/>
      <c r="K70" s="624"/>
      <c r="L70" s="624"/>
      <c r="M70" s="624"/>
      <c r="N70" s="624"/>
      <c r="O70" s="624"/>
      <c r="P70" s="624"/>
      <c r="Q70" s="624"/>
      <c r="R70" s="624"/>
      <c r="S70" s="624"/>
      <c r="T70" s="624"/>
      <c r="U70" s="624"/>
      <c r="W70" s="75">
        <f t="shared" si="0"/>
        <v>63</v>
      </c>
      <c r="X70" s="474"/>
      <c r="Y70" s="474"/>
      <c r="Z70" s="506"/>
    </row>
    <row r="71" spans="1:26">
      <c r="A71" s="170">
        <f t="shared" si="24"/>
        <v>62</v>
      </c>
      <c r="B71" s="737"/>
      <c r="C71" s="735" t="s">
        <v>702</v>
      </c>
      <c r="D71" s="245"/>
      <c r="E71" s="98"/>
      <c r="F71" s="613">
        <f>F69+F60</f>
        <v>0</v>
      </c>
      <c r="G71" s="624"/>
      <c r="H71" s="613">
        <f t="shared" ref="H71:S71" si="45">H69+H60</f>
        <v>0</v>
      </c>
      <c r="I71" s="613">
        <f t="shared" si="45"/>
        <v>0</v>
      </c>
      <c r="J71" s="613">
        <f t="shared" si="45"/>
        <v>0</v>
      </c>
      <c r="K71" s="613">
        <f t="shared" si="45"/>
        <v>0</v>
      </c>
      <c r="L71" s="613">
        <f t="shared" si="45"/>
        <v>0</v>
      </c>
      <c r="M71" s="613">
        <f t="shared" si="45"/>
        <v>0</v>
      </c>
      <c r="N71" s="613">
        <f t="shared" si="45"/>
        <v>0</v>
      </c>
      <c r="O71" s="613">
        <f t="shared" si="45"/>
        <v>0</v>
      </c>
      <c r="P71" s="613">
        <f t="shared" si="45"/>
        <v>0</v>
      </c>
      <c r="Q71" s="613">
        <f t="shared" si="45"/>
        <v>0</v>
      </c>
      <c r="R71" s="613">
        <f t="shared" si="45"/>
        <v>0</v>
      </c>
      <c r="S71" s="613">
        <f t="shared" si="45"/>
        <v>0</v>
      </c>
      <c r="T71" s="765">
        <f>SUM(H71:S71)</f>
        <v>0</v>
      </c>
      <c r="U71" s="613">
        <f>U69+U60</f>
        <v>0</v>
      </c>
      <c r="W71" s="75">
        <f t="shared" si="0"/>
        <v>64</v>
      </c>
      <c r="X71" s="474"/>
      <c r="Y71" s="474"/>
    </row>
    <row r="72" spans="1:26">
      <c r="A72" s="170">
        <f t="shared" si="24"/>
        <v>63</v>
      </c>
      <c r="B72" s="737"/>
      <c r="C72" s="735"/>
      <c r="D72" s="245"/>
      <c r="E72" s="98"/>
      <c r="F72" s="624"/>
      <c r="G72" s="624"/>
      <c r="H72" s="624"/>
      <c r="I72" s="624"/>
      <c r="J72" s="624"/>
      <c r="K72" s="624"/>
      <c r="L72" s="624"/>
      <c r="M72" s="624"/>
      <c r="N72" s="624"/>
      <c r="O72" s="624"/>
      <c r="P72" s="624"/>
      <c r="Q72" s="624"/>
      <c r="R72" s="624"/>
      <c r="S72" s="624"/>
      <c r="T72" s="624"/>
      <c r="U72" s="624"/>
      <c r="W72" s="75">
        <f>1+W71</f>
        <v>65</v>
      </c>
      <c r="X72" s="474"/>
      <c r="Y72" s="474"/>
    </row>
    <row r="73" spans="1:26">
      <c r="A73" s="170">
        <f t="shared" si="24"/>
        <v>64</v>
      </c>
      <c r="B73" s="96"/>
      <c r="C73" s="34" t="s">
        <v>243</v>
      </c>
      <c r="D73" s="98"/>
      <c r="E73" s="98"/>
      <c r="F73" s="624"/>
      <c r="G73" s="624"/>
      <c r="H73" s="624"/>
      <c r="I73" s="624"/>
      <c r="J73" s="624"/>
      <c r="K73" s="624"/>
      <c r="L73" s="624"/>
      <c r="M73" s="624"/>
      <c r="N73" s="624"/>
      <c r="O73" s="624"/>
      <c r="P73" s="624"/>
      <c r="Q73" s="624"/>
      <c r="R73" s="624"/>
      <c r="S73" s="624"/>
      <c r="T73" s="624"/>
      <c r="U73" s="624"/>
      <c r="W73" s="75">
        <f t="shared" si="0"/>
        <v>66</v>
      </c>
      <c r="X73" s="474"/>
      <c r="Y73" s="474"/>
    </row>
    <row r="74" spans="1:26">
      <c r="A74" s="170">
        <f t="shared" si="24"/>
        <v>65</v>
      </c>
      <c r="B74" s="98"/>
      <c r="C74" s="34"/>
      <c r="D74" s="67" t="s">
        <v>163</v>
      </c>
      <c r="E74" s="98"/>
      <c r="F74" s="624"/>
      <c r="G74" s="624"/>
      <c r="H74" s="624"/>
      <c r="I74" s="624"/>
      <c r="J74" s="624"/>
      <c r="K74" s="624"/>
      <c r="L74" s="624"/>
      <c r="M74" s="624"/>
      <c r="N74" s="624"/>
      <c r="O74" s="624"/>
      <c r="P74" s="624"/>
      <c r="Q74" s="624"/>
      <c r="R74" s="624"/>
      <c r="S74" s="624"/>
      <c r="T74" s="624"/>
      <c r="U74" s="624"/>
      <c r="W74" s="75">
        <f t="shared" si="0"/>
        <v>67</v>
      </c>
      <c r="X74" s="474"/>
      <c r="Y74" s="474"/>
    </row>
    <row r="75" spans="1:26" ht="13.5" customHeight="1">
      <c r="A75" s="170">
        <f t="shared" si="24"/>
        <v>66</v>
      </c>
      <c r="B75" s="107">
        <v>850</v>
      </c>
      <c r="C75" s="97"/>
      <c r="D75" s="98" t="s">
        <v>131</v>
      </c>
      <c r="E75" s="98"/>
      <c r="F75" s="613">
        <f t="shared" ref="F75:F82" si="46">HLOOKUP(Attach,$X$8:$AC$274,W75,FALSE)</f>
        <v>203253.98</v>
      </c>
      <c r="G75" s="779"/>
      <c r="H75" s="765">
        <f>SUMIF('Sched H-1'!$B:$B,$B75,'Sched H-1'!$K:$K)</f>
        <v>0</v>
      </c>
      <c r="I75" s="765">
        <f>SUMIF('Sched H-2'!$B:$B,$B75,'Sched H-2'!$K:$K)</f>
        <v>-1843.3000000000002</v>
      </c>
      <c r="J75" s="765">
        <f>-SUMIF('Sched H-3'!$B:$B,$B75,'Sched H-3'!$H:$H)</f>
        <v>0</v>
      </c>
      <c r="K75" s="765">
        <f>SUMIF('Sched H-4'!$B:$B,$B75,'Sched H-4'!$J:$J)</f>
        <v>0</v>
      </c>
      <c r="L75" s="765">
        <f>SUMIF('Sched H-5'!$B:$B,$B75,'Sched H-5'!$F:$F)</f>
        <v>0</v>
      </c>
      <c r="M75" s="765">
        <f>SUMIF('Sched H-6'!$B:$B,$B75,'Sched H-6'!$AC:$AC)</f>
        <v>-2894.4485019999847</v>
      </c>
      <c r="N75" s="765">
        <v>0</v>
      </c>
      <c r="O75" s="765">
        <v>0</v>
      </c>
      <c r="P75" s="765">
        <f>SUMIF('Sched H-9'!$B:$B,$B75,'Sched H-9'!$H:$H)</f>
        <v>0</v>
      </c>
      <c r="Q75" s="765">
        <f>SUMIF('Sched H-10'!$B:$B,$B75,'Sched H-10'!$J:$J)</f>
        <v>0</v>
      </c>
      <c r="R75" s="765">
        <f>SUMIF('Sched H-11'!$B:$B,$B75,'Sched H-11'!$I:$I)</f>
        <v>0</v>
      </c>
      <c r="S75" s="765">
        <f>SUMIF('Sched H-12'!$B:$B,$B75,'Sched H-12'!$G:$G)</f>
        <v>-63.37</v>
      </c>
      <c r="T75" s="765">
        <f t="shared" ref="T75:T82" si="47">SUM(H75:S75)</f>
        <v>-4801.1185019999848</v>
      </c>
      <c r="U75" s="765">
        <f t="shared" ref="U75:U82" si="48">SUM(F75:S75)</f>
        <v>198452.86149800004</v>
      </c>
      <c r="W75" s="75">
        <f t="shared" si="0"/>
        <v>68</v>
      </c>
      <c r="X75" s="990">
        <v>203253.98</v>
      </c>
      <c r="Y75" s="990">
        <v>0</v>
      </c>
      <c r="Z75" s="947">
        <f t="shared" ref="Z75:Z83" si="49">+X75+Y75</f>
        <v>203253.98</v>
      </c>
    </row>
    <row r="76" spans="1:26" ht="13.5" customHeight="1">
      <c r="A76" s="170">
        <f t="shared" si="24"/>
        <v>67</v>
      </c>
      <c r="B76" s="170">
        <v>851</v>
      </c>
      <c r="C76" s="98"/>
      <c r="D76" s="98" t="s">
        <v>375</v>
      </c>
      <c r="E76" s="98"/>
      <c r="F76" s="669">
        <f t="shared" si="46"/>
        <v>1179.78</v>
      </c>
      <c r="G76" s="774"/>
      <c r="H76" s="774">
        <f>SUMIF('Sched H-1'!$B:$B,$B76,'Sched H-1'!$K:$K)</f>
        <v>0</v>
      </c>
      <c r="I76" s="774">
        <f>SUMIF('Sched H-2'!$B:$B,$B76,'Sched H-2'!$K:$K)</f>
        <v>0</v>
      </c>
      <c r="J76" s="774">
        <f>-SUMIF('Sched H-3'!$B:$B,$B76,'Sched H-3'!$H:$H)</f>
        <v>0</v>
      </c>
      <c r="K76" s="774">
        <f>SUMIF('Sched H-4'!$B:$B,$B76,'Sched H-4'!$J:$J)</f>
        <v>14.43119297061611</v>
      </c>
      <c r="L76" s="774">
        <f>SUMIF('Sched H-5'!$B:$B,$B76,'Sched H-5'!$F:$F)</f>
        <v>0</v>
      </c>
      <c r="M76" s="774">
        <f>SUMIF('Sched H-6'!$B:$B,$B76,'Sched H-6'!$AC:$AC)</f>
        <v>-16.562039999999911</v>
      </c>
      <c r="N76" s="774">
        <v>0</v>
      </c>
      <c r="O76" s="774">
        <v>0</v>
      </c>
      <c r="P76" s="774">
        <f>SUMIF('Sched H-9'!$B:$B,$B76,'Sched H-9'!$H:$H)</f>
        <v>0</v>
      </c>
      <c r="Q76" s="774">
        <f>SUMIF('Sched H-10'!$B:$B,$B76,'Sched H-10'!$J:$J)</f>
        <v>0</v>
      </c>
      <c r="R76" s="774">
        <f>SUMIF('Sched H-11'!$B:$B,$B76,'Sched H-11'!$I:$I)</f>
        <v>0</v>
      </c>
      <c r="S76" s="774">
        <f>SUMIF('Sched H-12'!$B:$B,$B76,'Sched H-12'!$G:$G)</f>
        <v>-7.29</v>
      </c>
      <c r="T76" s="774">
        <f t="shared" si="47"/>
        <v>-9.4208470293838005</v>
      </c>
      <c r="U76" s="769">
        <f t="shared" si="48"/>
        <v>1170.3591529706164</v>
      </c>
      <c r="W76" s="8">
        <f t="shared" si="0"/>
        <v>69</v>
      </c>
      <c r="X76" s="990">
        <f>337.99+841.79</f>
        <v>1179.78</v>
      </c>
      <c r="Y76" s="990">
        <v>0</v>
      </c>
      <c r="Z76" s="1359">
        <f t="shared" si="49"/>
        <v>1179.78</v>
      </c>
    </row>
    <row r="77" spans="1:26" ht="13.5" customHeight="1">
      <c r="A77" s="170">
        <f t="shared" si="24"/>
        <v>68</v>
      </c>
      <c r="B77" s="170">
        <v>852</v>
      </c>
      <c r="C77" s="98"/>
      <c r="D77" s="98" t="s">
        <v>376</v>
      </c>
      <c r="E77" s="98"/>
      <c r="F77" s="669">
        <f t="shared" si="46"/>
        <v>0</v>
      </c>
      <c r="G77" s="774"/>
      <c r="H77" s="774">
        <f>SUMIF('Sched H-1'!$B:$B,$B77,'Sched H-1'!$K:$K)</f>
        <v>0</v>
      </c>
      <c r="I77" s="774">
        <f>SUMIF('Sched H-2'!$B:$B,$B77,'Sched H-2'!$K:$K)</f>
        <v>0</v>
      </c>
      <c r="J77" s="774">
        <f>-SUMIF('Sched H-3'!$B:$B,$B77,'Sched H-3'!$H:$H)</f>
        <v>0</v>
      </c>
      <c r="K77" s="774">
        <f>SUMIF('Sched H-4'!$B:$B,$B77,'Sched H-4'!$J:$J)</f>
        <v>0</v>
      </c>
      <c r="L77" s="774">
        <f>SUMIF('Sched H-5'!$B:$B,$B77,'Sched H-5'!$F:$F)</f>
        <v>0</v>
      </c>
      <c r="M77" s="774">
        <f>SUMIF('Sched H-6'!$B:$B,$B77,'Sched H-6'!$AC:$AC)</f>
        <v>0</v>
      </c>
      <c r="N77" s="774">
        <v>0</v>
      </c>
      <c r="O77" s="774">
        <v>0</v>
      </c>
      <c r="P77" s="774">
        <f>SUMIF('Sched H-9'!$B:$B,$B77,'Sched H-9'!$H:$H)</f>
        <v>0</v>
      </c>
      <c r="Q77" s="774">
        <f>SUMIF('Sched H-10'!$B:$B,$B77,'Sched H-10'!$J:$J)</f>
        <v>0</v>
      </c>
      <c r="R77" s="774">
        <f>SUMIF('Sched H-11'!$B:$B,$B77,'Sched H-11'!$I:$I)</f>
        <v>0</v>
      </c>
      <c r="S77" s="774">
        <f>SUMIF('Sched H-12'!$B:$B,$B77,'Sched H-12'!$G:$G)</f>
        <v>0</v>
      </c>
      <c r="T77" s="774">
        <f t="shared" si="47"/>
        <v>0</v>
      </c>
      <c r="U77" s="769">
        <f t="shared" si="48"/>
        <v>0</v>
      </c>
      <c r="W77" s="8">
        <f t="shared" si="0"/>
        <v>70</v>
      </c>
      <c r="X77" s="990"/>
      <c r="Y77" s="990">
        <v>0</v>
      </c>
      <c r="Z77" s="1359">
        <f t="shared" si="49"/>
        <v>0</v>
      </c>
    </row>
    <row r="78" spans="1:26" ht="13.5" customHeight="1">
      <c r="A78" s="170">
        <f t="shared" si="24"/>
        <v>69</v>
      </c>
      <c r="B78" s="170">
        <v>853</v>
      </c>
      <c r="C78" s="98"/>
      <c r="D78" s="98" t="s">
        <v>571</v>
      </c>
      <c r="E78" s="98"/>
      <c r="F78" s="669">
        <f t="shared" si="46"/>
        <v>0</v>
      </c>
      <c r="G78" s="782"/>
      <c r="H78" s="774">
        <f>SUMIF('Sched H-1'!$B:$B,$B78,'Sched H-1'!$K:$K)</f>
        <v>0</v>
      </c>
      <c r="I78" s="774">
        <f>SUMIF('Sched H-2'!$B:$B,$B78,'Sched H-2'!$K:$K)</f>
        <v>0</v>
      </c>
      <c r="J78" s="774">
        <f>-SUMIF('Sched H-3'!$B:$B,$B78,'Sched H-3'!$H:$H)</f>
        <v>0</v>
      </c>
      <c r="K78" s="774">
        <f>SUMIF('Sched H-4'!$B:$B,$B78,'Sched H-4'!$J:$J)</f>
        <v>0</v>
      </c>
      <c r="L78" s="774">
        <f>SUMIF('Sched H-5'!$B:$B,$B78,'Sched H-5'!$F:$F)</f>
        <v>0</v>
      </c>
      <c r="M78" s="774">
        <f>SUMIF('Sched H-6'!$B:$B,$B78,'Sched H-6'!$AC:$AC)</f>
        <v>0</v>
      </c>
      <c r="N78" s="774">
        <v>0</v>
      </c>
      <c r="O78" s="774">
        <v>0</v>
      </c>
      <c r="P78" s="774">
        <f>SUMIF('Sched H-9'!$B:$B,$B78,'Sched H-9'!$H:$H)</f>
        <v>0</v>
      </c>
      <c r="Q78" s="774">
        <f>SUMIF('Sched H-10'!$B:$B,$B78,'Sched H-10'!$J:$J)</f>
        <v>0</v>
      </c>
      <c r="R78" s="774">
        <f>SUMIF('Sched H-11'!$B:$B,$B78,'Sched H-11'!$I:$I)</f>
        <v>0</v>
      </c>
      <c r="S78" s="774">
        <f>SUMIF('Sched H-12'!$B:$B,$B78,'Sched H-12'!$G:$G)</f>
        <v>0</v>
      </c>
      <c r="T78" s="774">
        <f t="shared" si="47"/>
        <v>0</v>
      </c>
      <c r="U78" s="770">
        <f t="shared" si="48"/>
        <v>0</v>
      </c>
      <c r="W78" s="75">
        <f t="shared" si="0"/>
        <v>71</v>
      </c>
      <c r="X78" s="990">
        <v>0</v>
      </c>
      <c r="Y78" s="990">
        <v>0</v>
      </c>
      <c r="Z78" s="947">
        <f t="shared" si="49"/>
        <v>0</v>
      </c>
    </row>
    <row r="79" spans="1:26" ht="13.5" customHeight="1">
      <c r="A79" s="170">
        <f t="shared" si="24"/>
        <v>70</v>
      </c>
      <c r="B79" s="170">
        <v>856</v>
      </c>
      <c r="C79" s="98"/>
      <c r="D79" s="98" t="s">
        <v>377</v>
      </c>
      <c r="E79" s="98"/>
      <c r="F79" s="669">
        <f t="shared" si="46"/>
        <v>63014.31</v>
      </c>
      <c r="G79" s="782"/>
      <c r="H79" s="774">
        <f>SUMIF('Sched H-1'!$B:$B,$B79,'Sched H-1'!$K:$K)</f>
        <v>0</v>
      </c>
      <c r="I79" s="774">
        <f>SUMIF('Sched H-2'!$B:$B,$B79,'Sched H-2'!$K:$K)</f>
        <v>0</v>
      </c>
      <c r="J79" s="774">
        <f>-SUMIF('Sched H-3'!$B:$B,$B79,'Sched H-3'!$H:$H)</f>
        <v>0</v>
      </c>
      <c r="K79" s="774">
        <f>SUMIF('Sched H-4'!$B:$B,$B79,'Sched H-4'!$J:$J)</f>
        <v>15.022280066926839</v>
      </c>
      <c r="L79" s="774">
        <f>SUMIF('Sched H-5'!$B:$B,$B79,'Sched H-5'!$F:$F)</f>
        <v>0</v>
      </c>
      <c r="M79" s="774">
        <f>SUMIF('Sched H-6'!$B:$B,$B79,'Sched H-6'!$AC:$AC)</f>
        <v>0</v>
      </c>
      <c r="N79" s="774">
        <v>0</v>
      </c>
      <c r="O79" s="774">
        <v>0</v>
      </c>
      <c r="P79" s="774">
        <f>SUMIF('Sched H-9'!$B:$B,$B79,'Sched H-9'!$H:$H)</f>
        <v>0</v>
      </c>
      <c r="Q79" s="774">
        <f>SUMIF('Sched H-10'!$B:$B,$B79,'Sched H-10'!$J:$J)</f>
        <v>0</v>
      </c>
      <c r="R79" s="774">
        <f>SUMIF('Sched H-11'!$B:$B,$B79,'Sched H-11'!$I:$I)</f>
        <v>0</v>
      </c>
      <c r="S79" s="774">
        <f>SUMIF('Sched H-12'!$B:$B,$B79,'Sched H-12'!$G:$G)</f>
        <v>-3.05</v>
      </c>
      <c r="T79" s="774">
        <f t="shared" si="47"/>
        <v>11.972280066926839</v>
      </c>
      <c r="U79" s="770">
        <f t="shared" si="48"/>
        <v>63026.282280066924</v>
      </c>
      <c r="W79" s="75">
        <f t="shared" si="0"/>
        <v>72</v>
      </c>
      <c r="X79" s="990">
        <v>63014.31</v>
      </c>
      <c r="Y79" s="990">
        <v>0</v>
      </c>
      <c r="Z79" s="947">
        <f t="shared" si="49"/>
        <v>63014.31</v>
      </c>
    </row>
    <row r="80" spans="1:26" ht="13.5" customHeight="1">
      <c r="A80" s="170">
        <f t="shared" si="24"/>
        <v>71</v>
      </c>
      <c r="B80" s="170">
        <v>857</v>
      </c>
      <c r="C80" s="98"/>
      <c r="D80" s="98" t="s">
        <v>923</v>
      </c>
      <c r="E80" s="98"/>
      <c r="F80" s="669">
        <f t="shared" si="46"/>
        <v>12310.56</v>
      </c>
      <c r="G80" s="782"/>
      <c r="H80" s="774">
        <f>SUMIF('Sched H-1'!$B:$B,$B80,'Sched H-1'!$K:$K)</f>
        <v>0</v>
      </c>
      <c r="I80" s="774">
        <f>SUMIF('Sched H-2'!$B:$B,$B80,'Sched H-2'!$K:$K)</f>
        <v>0</v>
      </c>
      <c r="J80" s="774">
        <f>-SUMIF('Sched H-3'!$B:$B,$B80,'Sched H-3'!$H:$H)</f>
        <v>0</v>
      </c>
      <c r="K80" s="774">
        <f>SUMIF('Sched H-4'!$B:$B,$B80,'Sched H-4'!$J:$J)</f>
        <v>3.8779392492396454</v>
      </c>
      <c r="L80" s="774">
        <f>SUMIF('Sched H-5'!$B:$B,$B80,'Sched H-5'!$F:$F)</f>
        <v>0</v>
      </c>
      <c r="M80" s="774">
        <f>SUMIF('Sched H-6'!$B:$B,$B80,'Sched H-6'!$AC:$AC)</f>
        <v>0</v>
      </c>
      <c r="N80" s="774">
        <v>0</v>
      </c>
      <c r="O80" s="774">
        <v>0</v>
      </c>
      <c r="P80" s="774">
        <f>SUMIF('Sched H-9'!$B:$B,$B80,'Sched H-9'!$H:$H)</f>
        <v>0</v>
      </c>
      <c r="Q80" s="774">
        <f>SUMIF('Sched H-10'!$B:$B,$B80,'Sched H-10'!$J:$J)</f>
        <v>0</v>
      </c>
      <c r="R80" s="774">
        <f>SUMIF('Sched H-11'!$B:$B,$B80,'Sched H-11'!$I:$I)</f>
        <v>0</v>
      </c>
      <c r="S80" s="774">
        <f>SUMIF('Sched H-12'!$B:$B,$B80,'Sched H-12'!$G:$G)</f>
        <v>-1.1299999999999999</v>
      </c>
      <c r="T80" s="774">
        <f t="shared" si="47"/>
        <v>2.7479392492396455</v>
      </c>
      <c r="U80" s="770">
        <f t="shared" si="48"/>
        <v>12313.30793924924</v>
      </c>
      <c r="W80" s="75">
        <f t="shared" si="0"/>
        <v>73</v>
      </c>
      <c r="X80" s="990">
        <v>12310.56</v>
      </c>
      <c r="Y80" s="990">
        <v>0</v>
      </c>
      <c r="Z80" s="947">
        <f t="shared" si="49"/>
        <v>12310.56</v>
      </c>
    </row>
    <row r="81" spans="1:26" ht="13.5" customHeight="1">
      <c r="A81" s="170">
        <f t="shared" si="24"/>
        <v>72</v>
      </c>
      <c r="B81" s="107">
        <v>859</v>
      </c>
      <c r="C81" s="97"/>
      <c r="D81" s="98" t="s">
        <v>192</v>
      </c>
      <c r="E81" s="98"/>
      <c r="F81" s="669">
        <f t="shared" si="46"/>
        <v>64899.89</v>
      </c>
      <c r="G81" s="782"/>
      <c r="H81" s="774">
        <f>SUMIF('Sched H-1'!$B:$B,$B81,'Sched H-1'!$K:$K)</f>
        <v>0</v>
      </c>
      <c r="I81" s="774">
        <f>SUMIF('Sched H-2'!$B:$B,$B81,'Sched H-2'!$K:$K)</f>
        <v>0</v>
      </c>
      <c r="J81" s="774">
        <f>-SUMIF('Sched H-3'!$B:$B,$B81,'Sched H-3'!$H:$H)</f>
        <v>0</v>
      </c>
      <c r="K81" s="774">
        <f>SUMIF('Sched H-4'!$B:$B,$B81,'Sched H-4'!$J:$J)</f>
        <v>98.506503780600724</v>
      </c>
      <c r="L81" s="774">
        <f>SUMIF('Sched H-5'!$B:$B,$B81,'Sched H-5'!$F:$F)</f>
        <v>0</v>
      </c>
      <c r="M81" s="774">
        <f>SUMIF('Sched H-6'!$B:$B,$B81,'Sched H-6'!$AC:$AC)</f>
        <v>-1165.6762409999938</v>
      </c>
      <c r="N81" s="774">
        <v>0</v>
      </c>
      <c r="O81" s="774">
        <v>0</v>
      </c>
      <c r="P81" s="774">
        <f>SUMIF('Sched H-9'!$B:$B,$B81,'Sched H-9'!$H:$H)</f>
        <v>0</v>
      </c>
      <c r="Q81" s="774">
        <f>SUMIF('Sched H-10'!$B:$B,$B81,'Sched H-10'!$J:$J)</f>
        <v>0</v>
      </c>
      <c r="R81" s="774">
        <f>SUMIF('Sched H-11'!$B:$B,$B81,'Sched H-11'!$I:$I)</f>
        <v>0</v>
      </c>
      <c r="S81" s="774">
        <f>SUMIF('Sched H-12'!$B:$B,$B81,'Sched H-12'!$G:$G)</f>
        <v>-71.900000000000006</v>
      </c>
      <c r="T81" s="774">
        <f t="shared" si="47"/>
        <v>-1139.0697372193931</v>
      </c>
      <c r="U81" s="770">
        <f t="shared" si="48"/>
        <v>63760.820262780602</v>
      </c>
      <c r="W81" s="75">
        <f t="shared" si="0"/>
        <v>74</v>
      </c>
      <c r="X81" s="990">
        <v>64899.89</v>
      </c>
      <c r="Y81" s="990">
        <v>0</v>
      </c>
      <c r="Z81" s="947">
        <f t="shared" si="49"/>
        <v>64899.89</v>
      </c>
    </row>
    <row r="82" spans="1:26" ht="13.5" customHeight="1">
      <c r="A82" s="170">
        <f t="shared" si="24"/>
        <v>73</v>
      </c>
      <c r="B82" s="107">
        <v>860</v>
      </c>
      <c r="C82" s="97"/>
      <c r="D82" s="98" t="s">
        <v>185</v>
      </c>
      <c r="E82" s="98"/>
      <c r="F82" s="669">
        <f t="shared" si="46"/>
        <v>0</v>
      </c>
      <c r="G82" s="782"/>
      <c r="H82" s="774">
        <f>SUMIF('Sched H-1'!$B:$B,$B82,'Sched H-1'!$K:$K)</f>
        <v>0</v>
      </c>
      <c r="I82" s="774">
        <f>SUMIF('Sched H-2'!$B:$B,$B82,'Sched H-2'!$K:$K)</f>
        <v>0</v>
      </c>
      <c r="J82" s="774">
        <f>-SUMIF('Sched H-3'!$B:$B,$B82,'Sched H-3'!$H:$H)</f>
        <v>0</v>
      </c>
      <c r="K82" s="774">
        <f>SUMIF('Sched H-4'!$B:$B,$B82,'Sched H-4'!$J:$J)</f>
        <v>0</v>
      </c>
      <c r="L82" s="774">
        <f>SUMIF('Sched H-5'!$B:$B,$B82,'Sched H-5'!$F:$F)</f>
        <v>0</v>
      </c>
      <c r="M82" s="774">
        <f>SUMIF('Sched H-6'!$B:$B,$B82,'Sched H-6'!$AC:$AC)</f>
        <v>0</v>
      </c>
      <c r="N82" s="774">
        <v>0</v>
      </c>
      <c r="O82" s="774">
        <v>0</v>
      </c>
      <c r="P82" s="774">
        <f>SUMIF('Sched H-9'!$B:$B,$B82,'Sched H-9'!$H:$H)</f>
        <v>0</v>
      </c>
      <c r="Q82" s="774">
        <f>SUMIF('Sched H-10'!$B:$B,$B82,'Sched H-10'!$J:$J)</f>
        <v>0</v>
      </c>
      <c r="R82" s="774">
        <f>SUMIF('Sched H-11'!$B:$B,$B82,'Sched H-11'!$I:$I)</f>
        <v>0</v>
      </c>
      <c r="S82" s="774">
        <f>SUMIF('Sched H-12'!$B:$B,$B82,'Sched H-12'!$G:$G)</f>
        <v>0</v>
      </c>
      <c r="T82" s="777">
        <f t="shared" si="47"/>
        <v>0</v>
      </c>
      <c r="U82" s="770">
        <f t="shared" si="48"/>
        <v>0</v>
      </c>
      <c r="W82" s="75">
        <f t="shared" si="0"/>
        <v>75</v>
      </c>
      <c r="X82" s="991">
        <v>0</v>
      </c>
      <c r="Y82" s="991">
        <v>0</v>
      </c>
      <c r="Z82" s="946">
        <f t="shared" si="49"/>
        <v>0</v>
      </c>
    </row>
    <row r="83" spans="1:26">
      <c r="A83" s="170">
        <f t="shared" si="24"/>
        <v>74</v>
      </c>
      <c r="B83" s="96"/>
      <c r="C83" s="34" t="s">
        <v>164</v>
      </c>
      <c r="D83" s="98"/>
      <c r="E83" s="98"/>
      <c r="F83" s="780">
        <f>SUM(F75:F82)</f>
        <v>344658.52</v>
      </c>
      <c r="G83" s="781"/>
      <c r="H83" s="780">
        <f t="shared" ref="H83" si="50">SUM(H75:H82)</f>
        <v>0</v>
      </c>
      <c r="I83" s="780">
        <f>SUM(I75:I82)</f>
        <v>-1843.3000000000002</v>
      </c>
      <c r="J83" s="780">
        <f>SUM(J75:J82)</f>
        <v>0</v>
      </c>
      <c r="K83" s="780">
        <f>SUM(K75:K82)</f>
        <v>131.83791606738333</v>
      </c>
      <c r="L83" s="780">
        <f t="shared" ref="L83" si="51">SUM(L75:L82)</f>
        <v>0</v>
      </c>
      <c r="M83" s="780">
        <f t="shared" ref="M83:P83" si="52">SUM(M75:M82)</f>
        <v>-4076.6867829999783</v>
      </c>
      <c r="N83" s="780">
        <f t="shared" si="52"/>
        <v>0</v>
      </c>
      <c r="O83" s="780">
        <f t="shared" si="52"/>
        <v>0</v>
      </c>
      <c r="P83" s="780">
        <f t="shared" si="52"/>
        <v>0</v>
      </c>
      <c r="Q83" s="780">
        <f t="shared" ref="Q83:R83" si="53">SUM(Q75:Q82)</f>
        <v>0</v>
      </c>
      <c r="R83" s="780">
        <f t="shared" si="53"/>
        <v>0</v>
      </c>
      <c r="S83" s="780">
        <f t="shared" ref="S83" si="54">SUM(S75:S82)</f>
        <v>-146.74</v>
      </c>
      <c r="T83" s="780">
        <f>SUM(T75:T82)</f>
        <v>-5934.8888669325952</v>
      </c>
      <c r="U83" s="780">
        <f>SUM(U75:U82)</f>
        <v>338723.63113306742</v>
      </c>
      <c r="W83" s="75">
        <f t="shared" si="0"/>
        <v>76</v>
      </c>
      <c r="X83" s="1474">
        <f t="shared" ref="X83" si="55">SUM(X75:X82)</f>
        <v>344658.52</v>
      </c>
      <c r="Y83" s="1474">
        <f>SUM(Y75:Y82)</f>
        <v>0</v>
      </c>
      <c r="Z83" s="937">
        <f t="shared" si="49"/>
        <v>344658.52</v>
      </c>
    </row>
    <row r="84" spans="1:26">
      <c r="A84" s="170">
        <f t="shared" si="24"/>
        <v>75</v>
      </c>
      <c r="B84" s="96"/>
      <c r="C84" s="97"/>
      <c r="D84" s="98"/>
      <c r="E84" s="98"/>
      <c r="F84" s="628"/>
      <c r="G84" s="627"/>
      <c r="H84" s="625"/>
      <c r="I84" s="625"/>
      <c r="J84" s="625"/>
      <c r="K84" s="625"/>
      <c r="L84" s="625"/>
      <c r="M84" s="625"/>
      <c r="N84" s="625"/>
      <c r="O84" s="625"/>
      <c r="P84" s="625"/>
      <c r="Q84" s="625"/>
      <c r="R84" s="625"/>
      <c r="S84" s="625"/>
      <c r="T84" s="625"/>
      <c r="U84" s="626"/>
      <c r="W84" s="75">
        <f t="shared" si="0"/>
        <v>77</v>
      </c>
      <c r="X84" s="474"/>
      <c r="Y84" s="474"/>
    </row>
    <row r="85" spans="1:26">
      <c r="A85" s="170">
        <f t="shared" si="24"/>
        <v>76</v>
      </c>
      <c r="B85" s="96"/>
      <c r="C85" s="97"/>
      <c r="D85" s="67" t="s">
        <v>165</v>
      </c>
      <c r="E85" s="98"/>
      <c r="F85" s="628"/>
      <c r="G85" s="627"/>
      <c r="H85" s="625"/>
      <c r="I85" s="625"/>
      <c r="J85" s="625"/>
      <c r="K85" s="625"/>
      <c r="L85" s="625"/>
      <c r="M85" s="625"/>
      <c r="N85" s="625"/>
      <c r="O85" s="625"/>
      <c r="P85" s="625"/>
      <c r="Q85" s="625"/>
      <c r="R85" s="625"/>
      <c r="S85" s="625"/>
      <c r="T85" s="625"/>
      <c r="U85" s="626"/>
      <c r="W85" s="75">
        <f t="shared" si="0"/>
        <v>78</v>
      </c>
      <c r="X85" s="474"/>
      <c r="Y85" s="474"/>
    </row>
    <row r="86" spans="1:26">
      <c r="A86" s="170">
        <f t="shared" si="24"/>
        <v>77</v>
      </c>
      <c r="B86" s="170">
        <v>861</v>
      </c>
      <c r="C86" s="98"/>
      <c r="D86" s="98" t="s">
        <v>733</v>
      </c>
      <c r="E86" s="98"/>
      <c r="F86" s="613">
        <f t="shared" ref="F86:F92" si="56">HLOOKUP(Attach,$X$8:$AC$274,W86,FALSE)</f>
        <v>17231.27</v>
      </c>
      <c r="G86" s="779"/>
      <c r="H86" s="765">
        <f>SUMIF('Sched H-1'!$B:$B,$B86,'Sched H-1'!$K:$K)</f>
        <v>0</v>
      </c>
      <c r="I86" s="765">
        <f>SUMIF('Sched H-2'!$B:$B,$B86,'Sched H-2'!$K:$K)</f>
        <v>-63.95</v>
      </c>
      <c r="J86" s="765">
        <f>-SUMIF('Sched H-3'!$B:$B,$B86,'Sched H-3'!$H:$H)</f>
        <v>0</v>
      </c>
      <c r="K86" s="765">
        <f>SUMIF('Sched H-4'!$B:$B,$B86,'Sched H-4'!$J:$J)</f>
        <v>0</v>
      </c>
      <c r="L86" s="765">
        <f>SUMIF('Sched H-5'!$B:$B,$B86,'Sched H-5'!$F:$F)</f>
        <v>0</v>
      </c>
      <c r="M86" s="765">
        <f>SUMIF('Sched H-6'!$B:$B,$B86,'Sched H-6'!$AC:$AC)</f>
        <v>-526.62341999999626</v>
      </c>
      <c r="N86" s="765">
        <v>0</v>
      </c>
      <c r="O86" s="765">
        <v>0</v>
      </c>
      <c r="P86" s="765">
        <f>SUMIF('Sched H-9'!$B:$B,$B86,'Sched H-9'!$H:$H)</f>
        <v>0</v>
      </c>
      <c r="Q86" s="765">
        <f>SUMIF('Sched H-10'!$B:$B,$B86,'Sched H-10'!$J:$J)</f>
        <v>0</v>
      </c>
      <c r="R86" s="765">
        <f>SUMIF('Sched H-11'!$B:$B,$B86,'Sched H-11'!$I:$I)</f>
        <v>0</v>
      </c>
      <c r="S86" s="765">
        <f>SUMIF('Sched H-12'!$B:$B,$B86,'Sched H-12'!$G:$G)</f>
        <v>-73.37</v>
      </c>
      <c r="T86" s="765">
        <f t="shared" ref="T86:T92" si="57">SUM(H86:S86)</f>
        <v>-663.94341999999631</v>
      </c>
      <c r="U86" s="765">
        <f t="shared" ref="U86:U92" si="58">SUM(F86:S86)</f>
        <v>16567.326580000004</v>
      </c>
      <c r="W86" s="75">
        <f t="shared" si="0"/>
        <v>79</v>
      </c>
      <c r="X86" s="990">
        <v>17231.27</v>
      </c>
      <c r="Y86" s="990">
        <v>0</v>
      </c>
      <c r="Z86" s="947">
        <f t="shared" ref="Z86:Z93" si="59">+X86+Y86</f>
        <v>17231.27</v>
      </c>
    </row>
    <row r="87" spans="1:26">
      <c r="A87" s="170">
        <f t="shared" si="24"/>
        <v>78</v>
      </c>
      <c r="B87" s="170">
        <v>862</v>
      </c>
      <c r="C87" s="98"/>
      <c r="D87" s="98" t="s">
        <v>572</v>
      </c>
      <c r="E87" s="98"/>
      <c r="F87" s="669">
        <f t="shared" si="56"/>
        <v>0</v>
      </c>
      <c r="G87" s="782"/>
      <c r="H87" s="774">
        <f>SUMIF('Sched H-1'!$B:$B,$B87,'Sched H-1'!$K:$K)</f>
        <v>0</v>
      </c>
      <c r="I87" s="774">
        <f>SUMIF('Sched H-2'!$B:$B,$B87,'Sched H-2'!$K:$K)</f>
        <v>0</v>
      </c>
      <c r="J87" s="774">
        <f>-SUMIF('Sched H-3'!$B:$B,$B87,'Sched H-3'!$H:$H)</f>
        <v>0</v>
      </c>
      <c r="K87" s="774">
        <f>SUMIF('Sched H-4'!$B:$B,$B87,'Sched H-4'!$J:$J)</f>
        <v>0</v>
      </c>
      <c r="L87" s="774">
        <f>SUMIF('Sched H-5'!$B:$B,$B87,'Sched H-5'!$F:$F)</f>
        <v>0</v>
      </c>
      <c r="M87" s="774">
        <f>SUMIF('Sched H-6'!$B:$B,$B87,'Sched H-6'!$AC:$AC)</f>
        <v>0</v>
      </c>
      <c r="N87" s="774">
        <v>0</v>
      </c>
      <c r="O87" s="774">
        <v>0</v>
      </c>
      <c r="P87" s="774">
        <f>SUMIF('Sched H-9'!$B:$B,$B87,'Sched H-9'!$H:$H)</f>
        <v>0</v>
      </c>
      <c r="Q87" s="774">
        <f>SUMIF('Sched H-10'!$B:$B,$B87,'Sched H-10'!$J:$J)</f>
        <v>0</v>
      </c>
      <c r="R87" s="774">
        <f>SUMIF('Sched H-11'!$B:$B,$B87,'Sched H-11'!$I:$I)</f>
        <v>0</v>
      </c>
      <c r="S87" s="774">
        <f>SUMIF('Sched H-12'!$B:$B,$B87,'Sched H-12'!$G:$G)</f>
        <v>0</v>
      </c>
      <c r="T87" s="774">
        <f t="shared" si="57"/>
        <v>0</v>
      </c>
      <c r="U87" s="770">
        <f t="shared" si="58"/>
        <v>0</v>
      </c>
      <c r="W87" s="75">
        <f t="shared" si="0"/>
        <v>80</v>
      </c>
      <c r="X87" s="990">
        <v>0</v>
      </c>
      <c r="Y87" s="990">
        <v>0</v>
      </c>
      <c r="Z87" s="947">
        <f t="shared" si="59"/>
        <v>0</v>
      </c>
    </row>
    <row r="88" spans="1:26">
      <c r="A88" s="170">
        <f t="shared" si="24"/>
        <v>79</v>
      </c>
      <c r="B88" s="170">
        <v>863</v>
      </c>
      <c r="C88" s="98"/>
      <c r="D88" s="98" t="s">
        <v>914</v>
      </c>
      <c r="E88" s="98"/>
      <c r="F88" s="669">
        <f t="shared" si="56"/>
        <v>3181.62</v>
      </c>
      <c r="G88" s="774"/>
      <c r="H88" s="774">
        <f>SUMIF('Sched H-1'!$B:$B,$B88,'Sched H-1'!$K:$K)</f>
        <v>0</v>
      </c>
      <c r="I88" s="774">
        <f>SUMIF('Sched H-2'!$B:$B,$B88,'Sched H-2'!$K:$K)</f>
        <v>0</v>
      </c>
      <c r="J88" s="774">
        <f>-SUMIF('Sched H-3'!$B:$B,$B88,'Sched H-3'!$H:$H)</f>
        <v>0</v>
      </c>
      <c r="K88" s="774">
        <f>SUMIF('Sched H-4'!$B:$B,$B88,'Sched H-4'!$J:$J)</f>
        <v>110.61340972185462</v>
      </c>
      <c r="L88" s="774">
        <f>SUMIF('Sched H-5'!$B:$B,$B88,'Sched H-5'!$F:$F)</f>
        <v>0</v>
      </c>
      <c r="M88" s="774">
        <f>SUMIF('Sched H-6'!$B:$B,$B88,'Sched H-6'!$AC:$AC)</f>
        <v>-0.58688300000000027</v>
      </c>
      <c r="N88" s="774">
        <v>0</v>
      </c>
      <c r="O88" s="774">
        <v>0</v>
      </c>
      <c r="P88" s="774">
        <f>SUMIF('Sched H-9'!$B:$B,$B88,'Sched H-9'!$H:$H)</f>
        <v>0</v>
      </c>
      <c r="Q88" s="774">
        <f>SUMIF('Sched H-10'!$B:$B,$B88,'Sched H-10'!$J:$J)</f>
        <v>0</v>
      </c>
      <c r="R88" s="774">
        <f>SUMIF('Sched H-11'!$B:$B,$B88,'Sched H-11'!$I:$I)</f>
        <v>0</v>
      </c>
      <c r="S88" s="774">
        <f>SUMIF('Sched H-12'!$B:$B,$B88,'Sched H-12'!$G:$G)</f>
        <v>-26.8</v>
      </c>
      <c r="T88" s="774">
        <f t="shared" si="57"/>
        <v>83.226526721854626</v>
      </c>
      <c r="U88" s="769">
        <f t="shared" si="58"/>
        <v>3264.8465267218544</v>
      </c>
      <c r="W88" s="8">
        <f t="shared" si="0"/>
        <v>81</v>
      </c>
      <c r="X88" s="990">
        <f>2032.15+550.46+599.01</f>
        <v>3181.62</v>
      </c>
      <c r="Y88" s="990">
        <v>0</v>
      </c>
      <c r="Z88" s="1359">
        <f t="shared" si="59"/>
        <v>3181.62</v>
      </c>
    </row>
    <row r="89" spans="1:26">
      <c r="A89" s="170">
        <f t="shared" si="24"/>
        <v>80</v>
      </c>
      <c r="B89" s="170">
        <v>864</v>
      </c>
      <c r="C89" s="98"/>
      <c r="D89" s="98" t="s">
        <v>482</v>
      </c>
      <c r="E89" s="98"/>
      <c r="F89" s="669">
        <f t="shared" si="56"/>
        <v>0</v>
      </c>
      <c r="G89" s="774"/>
      <c r="H89" s="774">
        <f>SUMIF('Sched H-1'!$B:$B,$B89,'Sched H-1'!$K:$K)</f>
        <v>0</v>
      </c>
      <c r="I89" s="774">
        <f>SUMIF('Sched H-2'!$B:$B,$B89,'Sched H-2'!$K:$K)</f>
        <v>0</v>
      </c>
      <c r="J89" s="774">
        <f>-SUMIF('Sched H-3'!$B:$B,$B89,'Sched H-3'!$H:$H)</f>
        <v>0</v>
      </c>
      <c r="K89" s="774">
        <f>SUMIF('Sched H-4'!$B:$B,$B89,'Sched H-4'!$J:$J)</f>
        <v>0</v>
      </c>
      <c r="L89" s="774">
        <f>SUMIF('Sched H-5'!$B:$B,$B89,'Sched H-5'!$F:$F)</f>
        <v>0</v>
      </c>
      <c r="M89" s="774">
        <f>SUMIF('Sched H-6'!$B:$B,$B89,'Sched H-6'!$AC:$AC)</f>
        <v>0</v>
      </c>
      <c r="N89" s="774">
        <v>0</v>
      </c>
      <c r="O89" s="774">
        <v>0</v>
      </c>
      <c r="P89" s="774">
        <f>SUMIF('Sched H-9'!$B:$B,$B89,'Sched H-9'!$H:$H)</f>
        <v>0</v>
      </c>
      <c r="Q89" s="774">
        <f>SUMIF('Sched H-10'!$B:$B,$B89,'Sched H-10'!$J:$J)</f>
        <v>0</v>
      </c>
      <c r="R89" s="774">
        <f>SUMIF('Sched H-11'!$B:$B,$B89,'Sched H-11'!$I:$I)</f>
        <v>0</v>
      </c>
      <c r="S89" s="774">
        <f>SUMIF('Sched H-12'!$B:$B,$B89,'Sched H-12'!$G:$G)</f>
        <v>0</v>
      </c>
      <c r="T89" s="774">
        <f t="shared" si="57"/>
        <v>0</v>
      </c>
      <c r="U89" s="769">
        <f t="shared" si="58"/>
        <v>0</v>
      </c>
      <c r="W89" s="8">
        <f t="shared" si="0"/>
        <v>82</v>
      </c>
      <c r="X89" s="990"/>
      <c r="Y89" s="990">
        <v>0</v>
      </c>
      <c r="Z89" s="1359">
        <f t="shared" si="59"/>
        <v>0</v>
      </c>
    </row>
    <row r="90" spans="1:26" s="1354" customFormat="1">
      <c r="A90" s="1353">
        <f t="shared" si="24"/>
        <v>81</v>
      </c>
      <c r="B90" s="1353">
        <v>865</v>
      </c>
      <c r="D90" s="1354" t="s">
        <v>736</v>
      </c>
      <c r="F90" s="1355">
        <f t="shared" si="56"/>
        <v>0</v>
      </c>
      <c r="G90" s="1356"/>
      <c r="H90" s="1356">
        <f>SUMIF('Sched H-1'!$B:$B,$B90,'Sched H-1'!$K:$K)</f>
        <v>0</v>
      </c>
      <c r="I90" s="1356">
        <f>SUMIF('Sched H-2'!$B:$B,$B90,'Sched H-2'!$K:$K)</f>
        <v>0</v>
      </c>
      <c r="J90" s="1356">
        <f>-SUMIF('Sched H-3'!$B:$B,$B90,'Sched H-3'!$H:$H)</f>
        <v>0</v>
      </c>
      <c r="K90" s="1356">
        <f>SUMIF('Sched H-4'!$B:$B,$B90,'Sched H-4'!$J:$J)</f>
        <v>0</v>
      </c>
      <c r="L90" s="1356">
        <f>SUMIF('Sched H-5'!$B:$B,$B90,'Sched H-5'!$F:$F)</f>
        <v>0</v>
      </c>
      <c r="M90" s="1356">
        <f>SUMIF('Sched H-6'!$B:$B,$B90,'Sched H-6'!$AC:$AC)</f>
        <v>0</v>
      </c>
      <c r="N90" s="1356">
        <v>0</v>
      </c>
      <c r="O90" s="1356">
        <v>0</v>
      </c>
      <c r="P90" s="1356">
        <f>SUMIF('Sched H-9'!$B:$B,$B90,'Sched H-9'!$H:$H)</f>
        <v>0</v>
      </c>
      <c r="Q90" s="1356">
        <f>SUMIF('Sched H-10'!$B:$B,$B90,'Sched H-10'!$J:$J)</f>
        <v>0</v>
      </c>
      <c r="R90" s="1356">
        <f>SUMIF('Sched H-11'!$B:$B,$B90,'Sched H-11'!$I:$I)</f>
        <v>0</v>
      </c>
      <c r="S90" s="1356">
        <f>SUMIF('Sched H-12'!$B:$B,$B90,'Sched H-12'!$G:$G)</f>
        <v>0</v>
      </c>
      <c r="T90" s="1356">
        <f t="shared" si="57"/>
        <v>0</v>
      </c>
      <c r="U90" s="1570">
        <f t="shared" si="58"/>
        <v>0</v>
      </c>
      <c r="W90" s="75">
        <f t="shared" si="0"/>
        <v>83</v>
      </c>
      <c r="X90" s="1357"/>
      <c r="Y90" s="1357">
        <v>0</v>
      </c>
      <c r="Z90" s="1358">
        <f t="shared" si="59"/>
        <v>0</v>
      </c>
    </row>
    <row r="91" spans="1:26">
      <c r="A91" s="170">
        <f t="shared" si="24"/>
        <v>82</v>
      </c>
      <c r="B91" s="170">
        <v>866</v>
      </c>
      <c r="C91" s="98"/>
      <c r="D91" s="98" t="s">
        <v>737</v>
      </c>
      <c r="E91" s="98"/>
      <c r="F91" s="669">
        <f t="shared" si="56"/>
        <v>134.19999999999999</v>
      </c>
      <c r="G91" s="782"/>
      <c r="H91" s="774">
        <f>SUMIF('Sched H-1'!$B:$B,$B91,'Sched H-1'!$K:$K)</f>
        <v>0</v>
      </c>
      <c r="I91" s="774">
        <f>SUMIF('Sched H-2'!$B:$B,$B91,'Sched H-2'!$K:$K)</f>
        <v>0</v>
      </c>
      <c r="J91" s="774">
        <f>-SUMIF('Sched H-3'!$B:$B,$B91,'Sched H-3'!$H:$H)</f>
        <v>0</v>
      </c>
      <c r="K91" s="774">
        <f>SUMIF('Sched H-4'!$B:$B,$B91,'Sched H-4'!$J:$J)</f>
        <v>4.813189811978873</v>
      </c>
      <c r="L91" s="774">
        <f>SUMIF('Sched H-5'!$B:$B,$B91,'Sched H-5'!$F:$F)</f>
        <v>0</v>
      </c>
      <c r="M91" s="774">
        <f>SUMIF('Sched H-6'!$B:$B,$B91,'Sched H-6'!$AC:$AC)</f>
        <v>-5.5499999999999883E-2</v>
      </c>
      <c r="N91" s="774">
        <v>0</v>
      </c>
      <c r="O91" s="774">
        <v>0</v>
      </c>
      <c r="P91" s="774">
        <f>SUMIF('Sched H-9'!$B:$B,$B91,'Sched H-9'!$H:$H)</f>
        <v>0</v>
      </c>
      <c r="Q91" s="774">
        <f>SUMIF('Sched H-10'!$B:$B,$B91,'Sched H-10'!$J:$J)</f>
        <v>0</v>
      </c>
      <c r="R91" s="774">
        <f>SUMIF('Sched H-11'!$B:$B,$B91,'Sched H-11'!$I:$I)</f>
        <v>0</v>
      </c>
      <c r="S91" s="774">
        <f>SUMIF('Sched H-12'!$B:$B,$B91,'Sched H-12'!$G:$G)</f>
        <v>0</v>
      </c>
      <c r="T91" s="774">
        <f t="shared" si="57"/>
        <v>4.7576898119788726</v>
      </c>
      <c r="U91" s="770">
        <f t="shared" si="58"/>
        <v>138.95768981197887</v>
      </c>
      <c r="W91" s="75">
        <f t="shared" si="0"/>
        <v>84</v>
      </c>
      <c r="X91" s="990">
        <v>134.19999999999999</v>
      </c>
      <c r="Y91" s="990">
        <v>0</v>
      </c>
      <c r="Z91" s="947">
        <f t="shared" si="59"/>
        <v>134.19999999999999</v>
      </c>
    </row>
    <row r="92" spans="1:26">
      <c r="A92" s="170">
        <f t="shared" si="24"/>
        <v>83</v>
      </c>
      <c r="B92" s="107">
        <v>867</v>
      </c>
      <c r="C92" s="97"/>
      <c r="D92" s="98" t="s">
        <v>483</v>
      </c>
      <c r="E92" s="98"/>
      <c r="F92" s="669">
        <f t="shared" si="56"/>
        <v>0</v>
      </c>
      <c r="G92" s="782"/>
      <c r="H92" s="774">
        <f>SUMIF('Sched H-1'!$B:$B,$B92,'Sched H-1'!$K:$K)</f>
        <v>0</v>
      </c>
      <c r="I92" s="774">
        <f>SUMIF('Sched H-2'!$B:$B,$B92,'Sched H-2'!$K:$K)</f>
        <v>0</v>
      </c>
      <c r="J92" s="774">
        <f>-SUMIF('Sched H-3'!$B:$B,$B92,'Sched H-3'!$H:$H)</f>
        <v>0</v>
      </c>
      <c r="K92" s="774">
        <f>SUMIF('Sched H-4'!$B:$B,$B92,'Sched H-4'!$J:$J)</f>
        <v>0</v>
      </c>
      <c r="L92" s="774">
        <f>SUMIF('Sched H-5'!$B:$B,$B92,'Sched H-5'!$F:$F)</f>
        <v>0</v>
      </c>
      <c r="M92" s="774">
        <f>SUMIF('Sched H-6'!$B:$B,$B92,'Sched H-6'!$AC:$AC)</f>
        <v>0</v>
      </c>
      <c r="N92" s="774">
        <v>0</v>
      </c>
      <c r="O92" s="774">
        <v>0</v>
      </c>
      <c r="P92" s="774">
        <f>SUMIF('Sched H-9'!$B:$B,$B92,'Sched H-9'!$H:$H)</f>
        <v>0</v>
      </c>
      <c r="Q92" s="774">
        <f>SUMIF('Sched H-10'!$B:$B,$B92,'Sched H-10'!$J:$J)</f>
        <v>0</v>
      </c>
      <c r="R92" s="774">
        <f>SUMIF('Sched H-11'!$B:$B,$B92,'Sched H-11'!$I:$I)</f>
        <v>0</v>
      </c>
      <c r="S92" s="774">
        <f>SUMIF('Sched H-12'!$B:$B,$B92,'Sched H-12'!$G:$G)</f>
        <v>0</v>
      </c>
      <c r="T92" s="777">
        <f t="shared" si="57"/>
        <v>0</v>
      </c>
      <c r="U92" s="770">
        <f t="shared" si="58"/>
        <v>0</v>
      </c>
      <c r="W92" s="75">
        <f t="shared" si="0"/>
        <v>85</v>
      </c>
      <c r="X92" s="991">
        <v>0</v>
      </c>
      <c r="Y92" s="991">
        <v>0</v>
      </c>
      <c r="Z92" s="946">
        <f t="shared" si="59"/>
        <v>0</v>
      </c>
    </row>
    <row r="93" spans="1:26">
      <c r="A93" s="170">
        <f t="shared" si="24"/>
        <v>84</v>
      </c>
      <c r="B93" s="96"/>
      <c r="C93" s="34" t="s">
        <v>167</v>
      </c>
      <c r="D93" s="98"/>
      <c r="E93" s="98"/>
      <c r="F93" s="620">
        <f>SUM(F86:F92)</f>
        <v>20547.09</v>
      </c>
      <c r="G93" s="779"/>
      <c r="H93" s="620">
        <f t="shared" ref="H93:T93" si="60">SUM(H86:H92)</f>
        <v>0</v>
      </c>
      <c r="I93" s="620">
        <f>SUM(I86:I92)</f>
        <v>-63.95</v>
      </c>
      <c r="J93" s="620">
        <f>SUM(J86:J92)</f>
        <v>0</v>
      </c>
      <c r="K93" s="620">
        <f>SUM(K86:K92)</f>
        <v>115.4265995338335</v>
      </c>
      <c r="L93" s="620">
        <f t="shared" ref="L93" si="61">SUM(L86:L92)</f>
        <v>0</v>
      </c>
      <c r="M93" s="620">
        <f t="shared" ref="M93:P93" si="62">SUM(M86:M92)</f>
        <v>-527.26580299999625</v>
      </c>
      <c r="N93" s="620">
        <f t="shared" si="62"/>
        <v>0</v>
      </c>
      <c r="O93" s="620">
        <f t="shared" si="62"/>
        <v>0</v>
      </c>
      <c r="P93" s="620">
        <f t="shared" si="62"/>
        <v>0</v>
      </c>
      <c r="Q93" s="620">
        <f t="shared" ref="Q93" si="63">SUM(Q86:Q92)</f>
        <v>0</v>
      </c>
      <c r="R93" s="620">
        <f t="shared" ref="R93:S93" si="64">SUM(R86:R92)</f>
        <v>0</v>
      </c>
      <c r="S93" s="620">
        <f t="shared" si="64"/>
        <v>-100.17</v>
      </c>
      <c r="T93" s="620">
        <f t="shared" si="60"/>
        <v>-575.95920346616288</v>
      </c>
      <c r="U93" s="780">
        <f>ROUND(SUM(U86:U92),0)</f>
        <v>19971</v>
      </c>
      <c r="W93" s="75">
        <f t="shared" si="0"/>
        <v>86</v>
      </c>
      <c r="X93" s="1474">
        <f t="shared" ref="X93" si="65">SUM(X86:X92)</f>
        <v>20547.09</v>
      </c>
      <c r="Y93" s="1474">
        <f>SUM(Y86:Y92)</f>
        <v>0</v>
      </c>
      <c r="Z93" s="937">
        <f t="shared" si="59"/>
        <v>20547.09</v>
      </c>
    </row>
    <row r="94" spans="1:26">
      <c r="A94" s="170">
        <f t="shared" si="24"/>
        <v>85</v>
      </c>
      <c r="B94" s="96"/>
      <c r="C94" s="97"/>
      <c r="D94" s="98"/>
      <c r="E94" s="98"/>
      <c r="F94" s="629"/>
      <c r="G94" s="627"/>
      <c r="H94" s="625"/>
      <c r="I94" s="625"/>
      <c r="J94" s="625"/>
      <c r="K94" s="625"/>
      <c r="L94" s="625"/>
      <c r="M94" s="625"/>
      <c r="N94" s="625"/>
      <c r="O94" s="625"/>
      <c r="P94" s="625"/>
      <c r="Q94" s="625"/>
      <c r="R94" s="625"/>
      <c r="S94" s="625"/>
      <c r="T94" s="625"/>
      <c r="U94" s="626"/>
      <c r="W94" s="75">
        <f t="shared" si="0"/>
        <v>87</v>
      </c>
      <c r="X94" s="474"/>
      <c r="Y94" s="474"/>
    </row>
    <row r="95" spans="1:26">
      <c r="A95" s="170">
        <f t="shared" si="24"/>
        <v>86</v>
      </c>
      <c r="B95" s="168"/>
      <c r="C95" s="11" t="s">
        <v>379</v>
      </c>
      <c r="D95" s="98"/>
      <c r="E95" s="98"/>
      <c r="F95" s="361">
        <f>SUM(F83+F93)</f>
        <v>365205.61000000004</v>
      </c>
      <c r="G95" s="783"/>
      <c r="H95" s="361">
        <f t="shared" ref="H95" si="66">SUM(H83+H93)</f>
        <v>0</v>
      </c>
      <c r="I95" s="361">
        <f t="shared" ref="I95" si="67">SUM(I83+I93)</f>
        <v>-1907.2500000000002</v>
      </c>
      <c r="J95" s="361">
        <f>SUM(J83+J93)</f>
        <v>0</v>
      </c>
      <c r="K95" s="361">
        <f>SUM(K83+K93)</f>
        <v>247.26451560121683</v>
      </c>
      <c r="L95" s="361">
        <f t="shared" ref="L95" si="68">SUM(L83+L93)</f>
        <v>0</v>
      </c>
      <c r="M95" s="361">
        <f t="shared" ref="M95:P95" si="69">SUM(M83+M93)</f>
        <v>-4603.9525859999749</v>
      </c>
      <c r="N95" s="361">
        <f t="shared" si="69"/>
        <v>0</v>
      </c>
      <c r="O95" s="361">
        <f t="shared" si="69"/>
        <v>0</v>
      </c>
      <c r="P95" s="361">
        <f t="shared" si="69"/>
        <v>0</v>
      </c>
      <c r="Q95" s="361">
        <f t="shared" ref="Q95" si="70">SUM(Q83+Q93)</f>
        <v>0</v>
      </c>
      <c r="R95" s="361">
        <f t="shared" ref="R95:S95" si="71">SUM(R83+R93)</f>
        <v>0</v>
      </c>
      <c r="S95" s="361">
        <f t="shared" si="71"/>
        <v>-246.91000000000003</v>
      </c>
      <c r="T95" s="361">
        <f>SUM(T83+T93)</f>
        <v>-6510.848070398758</v>
      </c>
      <c r="U95" s="361">
        <f>SUM(U83+U93)</f>
        <v>358694.63113306742</v>
      </c>
      <c r="W95" s="75">
        <f t="shared" si="0"/>
        <v>88</v>
      </c>
      <c r="X95" s="1474">
        <f t="shared" ref="X95:Y95" si="72">SUM(X83+X93)</f>
        <v>365205.61000000004</v>
      </c>
      <c r="Y95" s="1474">
        <f t="shared" si="72"/>
        <v>0</v>
      </c>
      <c r="Z95" s="947">
        <f>+X95+Y95</f>
        <v>365205.61000000004</v>
      </c>
    </row>
    <row r="96" spans="1:26">
      <c r="A96" s="170">
        <f t="shared" si="24"/>
        <v>87</v>
      </c>
      <c r="B96" s="171"/>
      <c r="C96" s="11"/>
      <c r="D96" s="98"/>
      <c r="E96" s="98"/>
      <c r="F96" s="629"/>
      <c r="G96" s="630"/>
      <c r="H96" s="629"/>
      <c r="I96" s="629"/>
      <c r="J96" s="629"/>
      <c r="K96" s="629"/>
      <c r="L96" s="629"/>
      <c r="M96" s="629"/>
      <c r="N96" s="629"/>
      <c r="O96" s="629"/>
      <c r="P96" s="629"/>
      <c r="Q96" s="629"/>
      <c r="R96" s="629"/>
      <c r="S96" s="629"/>
      <c r="T96" s="629"/>
      <c r="U96" s="629"/>
      <c r="W96" s="75">
        <f t="shared" si="0"/>
        <v>89</v>
      </c>
      <c r="X96" s="474"/>
      <c r="Y96" s="474"/>
    </row>
    <row r="97" spans="1:26">
      <c r="A97" s="170">
        <f t="shared" si="24"/>
        <v>88</v>
      </c>
      <c r="B97" s="171"/>
      <c r="C97" s="67" t="s">
        <v>244</v>
      </c>
      <c r="D97" s="98"/>
      <c r="E97" s="98"/>
      <c r="F97" s="629"/>
      <c r="G97" s="630"/>
      <c r="H97" s="629"/>
      <c r="I97" s="629"/>
      <c r="J97" s="629"/>
      <c r="K97" s="629"/>
      <c r="L97" s="629"/>
      <c r="M97" s="629"/>
      <c r="N97" s="629"/>
      <c r="O97" s="629"/>
      <c r="P97" s="629"/>
      <c r="Q97" s="629"/>
      <c r="R97" s="629"/>
      <c r="S97" s="629"/>
      <c r="T97" s="629"/>
      <c r="U97" s="629"/>
      <c r="W97" s="75">
        <f t="shared" si="0"/>
        <v>90</v>
      </c>
      <c r="X97" s="474"/>
      <c r="Y97" s="474"/>
    </row>
    <row r="98" spans="1:26">
      <c r="A98" s="170">
        <f t="shared" si="24"/>
        <v>89</v>
      </c>
      <c r="B98" s="171"/>
      <c r="C98" s="11"/>
      <c r="D98" s="67" t="s">
        <v>163</v>
      </c>
      <c r="E98" s="98"/>
      <c r="F98" s="629"/>
      <c r="G98" s="630"/>
      <c r="H98" s="629"/>
      <c r="I98" s="629"/>
      <c r="J98" s="629"/>
      <c r="K98" s="629"/>
      <c r="L98" s="629"/>
      <c r="M98" s="629"/>
      <c r="N98" s="629"/>
      <c r="O98" s="629"/>
      <c r="P98" s="629"/>
      <c r="Q98" s="629"/>
      <c r="R98" s="629"/>
      <c r="S98" s="629"/>
      <c r="T98" s="629"/>
      <c r="U98" s="629"/>
      <c r="W98" s="75">
        <f t="shared" si="0"/>
        <v>91</v>
      </c>
      <c r="X98" s="474"/>
      <c r="Y98" s="474"/>
    </row>
    <row r="99" spans="1:26">
      <c r="A99" s="170">
        <f t="shared" si="24"/>
        <v>90</v>
      </c>
      <c r="B99" s="171">
        <v>870</v>
      </c>
      <c r="C99" s="11"/>
      <c r="D99" s="98" t="s">
        <v>416</v>
      </c>
      <c r="E99" s="98"/>
      <c r="F99" s="613">
        <f t="shared" ref="F99:F109" si="73">HLOOKUP(Attach,$X$8:$AC$274,W99,FALSE)</f>
        <v>3911607.2300000004</v>
      </c>
      <c r="G99" s="783"/>
      <c r="H99" s="765">
        <f>SUMIF('Sched H-1'!$B:$B,$B99,'Sched H-1'!$K:$K)</f>
        <v>-143.41</v>
      </c>
      <c r="I99" s="765">
        <f>SUMIF('Sched H-2'!$B:$B,$B99,'Sched H-2'!$K:$K)</f>
        <v>-3964.96</v>
      </c>
      <c r="J99" s="765">
        <f>-SUMIF('Sched H-3'!$B:$B,$B99,'Sched H-3'!$H:$H)</f>
        <v>0</v>
      </c>
      <c r="K99" s="765">
        <f>SUMIF('Sched H-4'!$B:$B,$B99,'Sched H-4'!$J:$J)</f>
        <v>204559.13327880902</v>
      </c>
      <c r="L99" s="765">
        <f>SUMIF('Sched H-5'!$B:$B,$B99,'Sched H-5'!$F:$F)</f>
        <v>0</v>
      </c>
      <c r="M99" s="765">
        <f>SUMIF('Sched H-6'!$B:$B,$B99,'Sched H-6'!$AC:$AC)</f>
        <v>-19356.410958000459</v>
      </c>
      <c r="N99" s="765">
        <v>0</v>
      </c>
      <c r="O99" s="765">
        <v>0</v>
      </c>
      <c r="P99" s="765">
        <f>SUMIF('Sched H-9'!$B:$B,$B99,'Sched H-9'!$H:$H)</f>
        <v>0</v>
      </c>
      <c r="Q99" s="765">
        <f>SUMIF('Sched H-10'!$B:$B,$B99,'Sched H-10'!$J:$J)</f>
        <v>0</v>
      </c>
      <c r="R99" s="765">
        <f>SUMIF('Sched H-11'!$B:$B,$B99,'Sched H-11'!$I:$I)</f>
        <v>0</v>
      </c>
      <c r="S99" s="765">
        <f>SUMIF('Sched H-12'!$B:$B,$B99,'Sched H-12'!$G:$G)</f>
        <v>-27658.97</v>
      </c>
      <c r="T99" s="765">
        <f t="shared" ref="T99:T109" si="74">SUM(H99:S99)</f>
        <v>153435.38232080857</v>
      </c>
      <c r="U99" s="765">
        <f t="shared" ref="U99:U109" si="75">SUM(F99:S99)</f>
        <v>4065042.6123208087</v>
      </c>
      <c r="W99" s="75">
        <f t="shared" si="0"/>
        <v>92</v>
      </c>
      <c r="X99" s="990">
        <v>2197515.5500000003</v>
      </c>
      <c r="Y99" s="990">
        <v>1714091.68</v>
      </c>
      <c r="Z99" s="947">
        <f t="shared" ref="Z99:Z110" si="76">+X99+Y99</f>
        <v>3911607.2300000004</v>
      </c>
    </row>
    <row r="100" spans="1:26">
      <c r="A100" s="170">
        <f t="shared" si="24"/>
        <v>91</v>
      </c>
      <c r="B100" s="335">
        <v>871</v>
      </c>
      <c r="C100" s="11"/>
      <c r="D100" s="98" t="s">
        <v>417</v>
      </c>
      <c r="E100" s="98"/>
      <c r="F100" s="669">
        <f t="shared" si="73"/>
        <v>831.68</v>
      </c>
      <c r="G100" s="784"/>
      <c r="H100" s="774">
        <f>SUMIF('Sched H-1'!$B:$B,$B100,'Sched H-1'!$K:$K)</f>
        <v>0</v>
      </c>
      <c r="I100" s="774">
        <f>SUMIF('Sched H-2'!$B:$B,$B100,'Sched H-2'!$K:$K)</f>
        <v>0</v>
      </c>
      <c r="J100" s="774">
        <f>-SUMIF('Sched H-3'!$B:$B,$B100,'Sched H-3'!$H:$H)</f>
        <v>0</v>
      </c>
      <c r="K100" s="774">
        <f>SUMIF('Sched H-4'!$B:$B,$B100,'Sched H-4'!$J:$J)</f>
        <v>0</v>
      </c>
      <c r="L100" s="774">
        <f>SUMIF('Sched H-5'!$B:$B,$B100,'Sched H-5'!$F:$F)</f>
        <v>0</v>
      </c>
      <c r="M100" s="774">
        <f>SUMIF('Sched H-6'!$B:$B,$B100,'Sched H-6'!$AC:$AC)</f>
        <v>0</v>
      </c>
      <c r="N100" s="774">
        <v>0</v>
      </c>
      <c r="O100" s="774">
        <v>0</v>
      </c>
      <c r="P100" s="774">
        <f>SUMIF('Sched H-9'!$B:$B,$B100,'Sched H-9'!$H:$H)</f>
        <v>0</v>
      </c>
      <c r="Q100" s="774">
        <f>SUMIF('Sched H-10'!$B:$B,$B100,'Sched H-10'!$J:$J)</f>
        <v>0</v>
      </c>
      <c r="R100" s="774">
        <f>SUMIF('Sched H-11'!$B:$B,$B100,'Sched H-11'!$I:$I)</f>
        <v>0</v>
      </c>
      <c r="S100" s="774">
        <f>SUMIF('Sched H-12'!$B:$B,$B100,'Sched H-12'!$G:$G)</f>
        <v>-1.83</v>
      </c>
      <c r="T100" s="774">
        <f t="shared" si="74"/>
        <v>-1.83</v>
      </c>
      <c r="U100" s="770">
        <f t="shared" si="75"/>
        <v>829.84999999999991</v>
      </c>
      <c r="W100" s="75">
        <f t="shared" si="0"/>
        <v>93</v>
      </c>
      <c r="X100" s="990">
        <v>301.88</v>
      </c>
      <c r="Y100" s="990">
        <v>529.79999999999995</v>
      </c>
      <c r="Z100" s="947">
        <f t="shared" si="76"/>
        <v>831.68</v>
      </c>
    </row>
    <row r="101" spans="1:26">
      <c r="A101" s="170">
        <f t="shared" si="24"/>
        <v>92</v>
      </c>
      <c r="B101" s="335">
        <v>872</v>
      </c>
      <c r="C101" s="11"/>
      <c r="D101" s="98" t="s">
        <v>573</v>
      </c>
      <c r="E101" s="98"/>
      <c r="F101" s="669">
        <f t="shared" si="73"/>
        <v>147.47999999999999</v>
      </c>
      <c r="G101" s="784"/>
      <c r="H101" s="774">
        <f>SUMIF('Sched H-1'!$B:$B,$B101,'Sched H-1'!$K:$K)</f>
        <v>0</v>
      </c>
      <c r="I101" s="774">
        <f>SUMIF('Sched H-2'!$B:$B,$B101,'Sched H-2'!$K:$K)</f>
        <v>0</v>
      </c>
      <c r="J101" s="774">
        <f>-SUMIF('Sched H-3'!$B:$B,$B101,'Sched H-3'!$H:$H)</f>
        <v>0</v>
      </c>
      <c r="K101" s="774">
        <f>SUMIF('Sched H-4'!$B:$B,$B101,'Sched H-4'!$J:$J)</f>
        <v>0</v>
      </c>
      <c r="L101" s="774">
        <f>SUMIF('Sched H-5'!$B:$B,$B101,'Sched H-5'!$F:$F)</f>
        <v>0</v>
      </c>
      <c r="M101" s="774">
        <f>SUMIF('Sched H-6'!$B:$B,$B101,'Sched H-6'!$AC:$AC)</f>
        <v>0</v>
      </c>
      <c r="N101" s="774">
        <v>0</v>
      </c>
      <c r="O101" s="774">
        <v>0</v>
      </c>
      <c r="P101" s="774">
        <f>SUMIF('Sched H-9'!$B:$B,$B101,'Sched H-9'!$H:$H)</f>
        <v>0</v>
      </c>
      <c r="Q101" s="774">
        <f>SUMIF('Sched H-10'!$B:$B,$B101,'Sched H-10'!$J:$J)</f>
        <v>0</v>
      </c>
      <c r="R101" s="774">
        <f>SUMIF('Sched H-11'!$B:$B,$B101,'Sched H-11'!$I:$I)</f>
        <v>0</v>
      </c>
      <c r="S101" s="774">
        <f>SUMIF('Sched H-12'!$B:$B,$B101,'Sched H-12'!$G:$G)</f>
        <v>0</v>
      </c>
      <c r="T101" s="774">
        <f t="shared" si="74"/>
        <v>0</v>
      </c>
      <c r="U101" s="770">
        <f t="shared" si="75"/>
        <v>147.47999999999999</v>
      </c>
      <c r="W101" s="75">
        <f t="shared" si="0"/>
        <v>94</v>
      </c>
      <c r="X101" s="990">
        <v>147.47999999999999</v>
      </c>
      <c r="Y101" s="990">
        <v>0</v>
      </c>
      <c r="Z101" s="947">
        <f t="shared" si="76"/>
        <v>147.47999999999999</v>
      </c>
    </row>
    <row r="102" spans="1:26">
      <c r="A102" s="170">
        <f t="shared" ref="A102:A150" si="77">A101+1</f>
        <v>93</v>
      </c>
      <c r="B102" s="335">
        <v>874</v>
      </c>
      <c r="C102" s="11"/>
      <c r="D102" s="98" t="s">
        <v>1086</v>
      </c>
      <c r="E102" s="98"/>
      <c r="F102" s="669">
        <f t="shared" si="73"/>
        <v>6687347.3100000005</v>
      </c>
      <c r="G102" s="784"/>
      <c r="H102" s="774">
        <f>SUMIF('Sched H-1'!$B:$B,$B102,'Sched H-1'!$K:$K)</f>
        <v>-161966.66</v>
      </c>
      <c r="I102" s="774">
        <f>SUMIF('Sched H-2'!$B:$B,$B102,'Sched H-2'!$K:$K)</f>
        <v>0</v>
      </c>
      <c r="J102" s="774">
        <f>-SUMIF('Sched H-3'!$B:$B,$B102,'Sched H-3'!$H:$H)</f>
        <v>0</v>
      </c>
      <c r="K102" s="774">
        <f>SUMIF('Sched H-4'!$B:$B,$B102,'Sched H-4'!$J:$J)</f>
        <v>578523.35253042169</v>
      </c>
      <c r="L102" s="774">
        <f>SUMIF('Sched H-5'!$B:$B,$B102,'Sched H-5'!$F:$F)</f>
        <v>0</v>
      </c>
      <c r="M102" s="774">
        <f>SUMIF('Sched H-6'!$B:$B,$B102,'Sched H-6'!$AC:$AC)</f>
        <v>-164.78337599999941</v>
      </c>
      <c r="N102" s="774">
        <v>0</v>
      </c>
      <c r="O102" s="774">
        <v>0</v>
      </c>
      <c r="P102" s="774">
        <f>SUMIF('Sched H-9'!$B:$B,$B102,'Sched H-9'!$H:$H)</f>
        <v>0</v>
      </c>
      <c r="Q102" s="774">
        <f>SUMIF('Sched H-10'!$B:$B,$B102,'Sched H-10'!$J:$J)</f>
        <v>0</v>
      </c>
      <c r="R102" s="774">
        <f>SUMIF('Sched H-11'!$B:$B,$B102,'Sched H-11'!$I:$I)</f>
        <v>161998.95000000019</v>
      </c>
      <c r="S102" s="774">
        <f>SUMIF('Sched H-12'!$B:$B,$B102,'Sched H-12'!$G:$G)</f>
        <v>-50914.1</v>
      </c>
      <c r="T102" s="774">
        <f t="shared" si="74"/>
        <v>527476.75915442186</v>
      </c>
      <c r="U102" s="770">
        <f t="shared" si="75"/>
        <v>7214824.0691544227</v>
      </c>
      <c r="W102" s="75">
        <f t="shared" si="0"/>
        <v>95</v>
      </c>
      <c r="X102" s="990">
        <v>3488301.95</v>
      </c>
      <c r="Y102" s="990">
        <v>3199045.36</v>
      </c>
      <c r="Z102" s="947">
        <f t="shared" si="76"/>
        <v>6687347.3100000005</v>
      </c>
    </row>
    <row r="103" spans="1:26">
      <c r="A103" s="170">
        <f t="shared" si="77"/>
        <v>94</v>
      </c>
      <c r="B103" s="335">
        <v>875</v>
      </c>
      <c r="C103" s="11"/>
      <c r="D103" s="98" t="s">
        <v>925</v>
      </c>
      <c r="E103" s="98"/>
      <c r="F103" s="669">
        <f t="shared" si="73"/>
        <v>1509155.35</v>
      </c>
      <c r="G103" s="784"/>
      <c r="H103" s="774">
        <f>SUMIF('Sched H-1'!$B:$B,$B103,'Sched H-1'!$K:$K)</f>
        <v>-344921.89999999997</v>
      </c>
      <c r="I103" s="774">
        <f>SUMIF('Sched H-2'!$B:$B,$B103,'Sched H-2'!$K:$K)</f>
        <v>0</v>
      </c>
      <c r="J103" s="774">
        <f>-SUMIF('Sched H-3'!$B:$B,$B103,'Sched H-3'!$H:$H)</f>
        <v>0</v>
      </c>
      <c r="K103" s="774">
        <f>SUMIF('Sched H-4'!$B:$B,$B103,'Sched H-4'!$J:$J)</f>
        <v>61517.366606631782</v>
      </c>
      <c r="L103" s="774">
        <f>SUMIF('Sched H-5'!$B:$B,$B103,'Sched H-5'!$F:$F)</f>
        <v>0</v>
      </c>
      <c r="M103" s="774">
        <f>SUMIF('Sched H-6'!$B:$B,$B103,'Sched H-6'!$AC:$AC)</f>
        <v>0</v>
      </c>
      <c r="N103" s="774">
        <v>0</v>
      </c>
      <c r="O103" s="774">
        <v>0</v>
      </c>
      <c r="P103" s="774">
        <f>SUMIF('Sched H-9'!$B:$B,$B103,'Sched H-9'!$H:$H)</f>
        <v>0</v>
      </c>
      <c r="Q103" s="774">
        <f>SUMIF('Sched H-10'!$B:$B,$B103,'Sched H-10'!$J:$J)</f>
        <v>0</v>
      </c>
      <c r="R103" s="774">
        <f>SUMIF('Sched H-11'!$B:$B,$B103,'Sched H-11'!$I:$I)</f>
        <v>0</v>
      </c>
      <c r="S103" s="774">
        <f>SUMIF('Sched H-12'!$B:$B,$B103,'Sched H-12'!$G:$G)</f>
        <v>-7334.11</v>
      </c>
      <c r="T103" s="774">
        <f t="shared" si="74"/>
        <v>-290738.64339336817</v>
      </c>
      <c r="U103" s="770">
        <f t="shared" si="75"/>
        <v>1218416.7066066319</v>
      </c>
      <c r="W103" s="75">
        <f t="shared" si="0"/>
        <v>96</v>
      </c>
      <c r="X103" s="990">
        <v>829471.92</v>
      </c>
      <c r="Y103" s="990">
        <v>679683.43</v>
      </c>
      <c r="Z103" s="947">
        <f t="shared" si="76"/>
        <v>1509155.35</v>
      </c>
    </row>
    <row r="104" spans="1:26">
      <c r="A104" s="170">
        <f t="shared" si="77"/>
        <v>95</v>
      </c>
      <c r="B104" s="335">
        <v>876</v>
      </c>
      <c r="C104" s="11"/>
      <c r="D104" s="98" t="s">
        <v>926</v>
      </c>
      <c r="E104" s="98"/>
      <c r="F104" s="669">
        <f t="shared" si="73"/>
        <v>22848.870000000003</v>
      </c>
      <c r="G104" s="784"/>
      <c r="H104" s="774">
        <f>SUMIF('Sched H-1'!$B:$B,$B104,'Sched H-1'!$K:$K)</f>
        <v>0</v>
      </c>
      <c r="I104" s="774">
        <f>SUMIF('Sched H-2'!$B:$B,$B104,'Sched H-2'!$K:$K)</f>
        <v>0</v>
      </c>
      <c r="J104" s="774">
        <f>-SUMIF('Sched H-3'!$B:$B,$B104,'Sched H-3'!$H:$H)</f>
        <v>0</v>
      </c>
      <c r="K104" s="774">
        <f>SUMIF('Sched H-4'!$B:$B,$B104,'Sched H-4'!$J:$J)</f>
        <v>1597.2584811268644</v>
      </c>
      <c r="L104" s="774">
        <f>SUMIF('Sched H-5'!$B:$B,$B104,'Sched H-5'!$F:$F)</f>
        <v>0</v>
      </c>
      <c r="M104" s="774">
        <f>SUMIF('Sched H-6'!$B:$B,$B104,'Sched H-6'!$AC:$AC)</f>
        <v>0</v>
      </c>
      <c r="N104" s="774">
        <v>0</v>
      </c>
      <c r="O104" s="774">
        <v>0</v>
      </c>
      <c r="P104" s="774">
        <f>SUMIF('Sched H-9'!$B:$B,$B104,'Sched H-9'!$H:$H)</f>
        <v>0</v>
      </c>
      <c r="Q104" s="774">
        <f>SUMIF('Sched H-10'!$B:$B,$B104,'Sched H-10'!$J:$J)</f>
        <v>0</v>
      </c>
      <c r="R104" s="774">
        <f>SUMIF('Sched H-11'!$B:$B,$B104,'Sched H-11'!$I:$I)</f>
        <v>0</v>
      </c>
      <c r="S104" s="774">
        <f>SUMIF('Sched H-12'!$B:$B,$B104,'Sched H-12'!$G:$G)</f>
        <v>-245.96</v>
      </c>
      <c r="T104" s="774">
        <f t="shared" si="74"/>
        <v>1351.2984811268643</v>
      </c>
      <c r="U104" s="770">
        <f t="shared" si="75"/>
        <v>24200.168481126868</v>
      </c>
      <c r="W104" s="75">
        <f t="shared" si="0"/>
        <v>97</v>
      </c>
      <c r="X104" s="990">
        <v>4052.2400000000002</v>
      </c>
      <c r="Y104" s="990">
        <v>18796.63</v>
      </c>
      <c r="Z104" s="947">
        <f t="shared" si="76"/>
        <v>22848.870000000003</v>
      </c>
    </row>
    <row r="105" spans="1:26">
      <c r="A105" s="170">
        <f t="shared" si="77"/>
        <v>96</v>
      </c>
      <c r="B105" s="335">
        <v>877</v>
      </c>
      <c r="C105" s="11"/>
      <c r="D105" s="98" t="s">
        <v>574</v>
      </c>
      <c r="E105" s="98"/>
      <c r="F105" s="669">
        <f t="shared" si="73"/>
        <v>179142.94</v>
      </c>
      <c r="G105" s="784"/>
      <c r="H105" s="774">
        <f>SUMIF('Sched H-1'!$B:$B,$B105,'Sched H-1'!$K:$K)</f>
        <v>0</v>
      </c>
      <c r="I105" s="774">
        <f>SUMIF('Sched H-2'!$B:$B,$B105,'Sched H-2'!$K:$K)</f>
        <v>0</v>
      </c>
      <c r="J105" s="774">
        <f>-SUMIF('Sched H-3'!$B:$B,$B105,'Sched H-3'!$H:$H)</f>
        <v>0</v>
      </c>
      <c r="K105" s="774">
        <f>SUMIF('Sched H-4'!$B:$B,$B105,'Sched H-4'!$J:$J)</f>
        <v>21843.827420418762</v>
      </c>
      <c r="L105" s="774">
        <f>SUMIF('Sched H-5'!$B:$B,$B105,'Sched H-5'!$F:$F)</f>
        <v>0</v>
      </c>
      <c r="M105" s="774">
        <f>SUMIF('Sched H-6'!$B:$B,$B105,'Sched H-6'!$AC:$AC)</f>
        <v>0</v>
      </c>
      <c r="N105" s="774">
        <v>0</v>
      </c>
      <c r="O105" s="774">
        <v>0</v>
      </c>
      <c r="P105" s="774">
        <f>SUMIF('Sched H-9'!$B:$B,$B105,'Sched H-9'!$H:$H)</f>
        <v>0</v>
      </c>
      <c r="Q105" s="774">
        <f>SUMIF('Sched H-10'!$B:$B,$B105,'Sched H-10'!$J:$J)</f>
        <v>0</v>
      </c>
      <c r="R105" s="774">
        <f>SUMIF('Sched H-11'!$B:$B,$B105,'Sched H-11'!$I:$I)</f>
        <v>0</v>
      </c>
      <c r="S105" s="774">
        <f>SUMIF('Sched H-12'!$B:$B,$B105,'Sched H-12'!$G:$G)</f>
        <v>-1709.66</v>
      </c>
      <c r="T105" s="774">
        <f t="shared" si="74"/>
        <v>20134.167420418762</v>
      </c>
      <c r="U105" s="770">
        <f t="shared" si="75"/>
        <v>199277.10742041876</v>
      </c>
      <c r="W105" s="75">
        <f t="shared" si="0"/>
        <v>98</v>
      </c>
      <c r="X105" s="990">
        <v>77706.41</v>
      </c>
      <c r="Y105" s="990">
        <v>101436.53</v>
      </c>
      <c r="Z105" s="947">
        <f t="shared" si="76"/>
        <v>179142.94</v>
      </c>
    </row>
    <row r="106" spans="1:26">
      <c r="A106" s="170">
        <f t="shared" si="77"/>
        <v>97</v>
      </c>
      <c r="B106" s="335">
        <v>878</v>
      </c>
      <c r="C106" s="11"/>
      <c r="D106" s="98" t="s">
        <v>1087</v>
      </c>
      <c r="E106" s="98"/>
      <c r="F106" s="669">
        <f t="shared" si="73"/>
        <v>1600377.22</v>
      </c>
      <c r="G106" s="784"/>
      <c r="H106" s="774">
        <f>SUMIF('Sched H-1'!$B:$B,$B106,'Sched H-1'!$K:$K)</f>
        <v>-1774.1100000000001</v>
      </c>
      <c r="I106" s="774">
        <f>SUMIF('Sched H-2'!$B:$B,$B106,'Sched H-2'!$K:$K)</f>
        <v>0</v>
      </c>
      <c r="J106" s="774">
        <f>-SUMIF('Sched H-3'!$B:$B,$B106,'Sched H-3'!$H:$H)</f>
        <v>0</v>
      </c>
      <c r="K106" s="774">
        <f>SUMIF('Sched H-4'!$B:$B,$B106,'Sched H-4'!$J:$J)</f>
        <v>153049.70151813468</v>
      </c>
      <c r="L106" s="774">
        <f>SUMIF('Sched H-5'!$B:$B,$B106,'Sched H-5'!$F:$F)</f>
        <v>0</v>
      </c>
      <c r="M106" s="774">
        <f>SUMIF('Sched H-6'!$B:$B,$B106,'Sched H-6'!$AC:$AC)</f>
        <v>-19.119176999999922</v>
      </c>
      <c r="N106" s="774">
        <v>0</v>
      </c>
      <c r="O106" s="774">
        <v>0</v>
      </c>
      <c r="P106" s="774">
        <f>SUMIF('Sched H-9'!$B:$B,$B106,'Sched H-9'!$H:$H)</f>
        <v>0</v>
      </c>
      <c r="Q106" s="774">
        <f>SUMIF('Sched H-10'!$B:$B,$B106,'Sched H-10'!$J:$J)</f>
        <v>0</v>
      </c>
      <c r="R106" s="774">
        <f>SUMIF('Sched H-11'!$B:$B,$B106,'Sched H-11'!$I:$I)</f>
        <v>0</v>
      </c>
      <c r="S106" s="774">
        <f>SUMIF('Sched H-12'!$B:$B,$B106,'Sched H-12'!$G:$G)</f>
        <v>-17620.43</v>
      </c>
      <c r="T106" s="774">
        <f t="shared" si="74"/>
        <v>133636.04234113471</v>
      </c>
      <c r="U106" s="770">
        <f t="shared" si="75"/>
        <v>1734013.2623411347</v>
      </c>
      <c r="W106" s="75">
        <f t="shared" si="0"/>
        <v>99</v>
      </c>
      <c r="X106" s="990">
        <v>900961.65999999992</v>
      </c>
      <c r="Y106" s="990">
        <v>699415.56</v>
      </c>
      <c r="Z106" s="947">
        <f t="shared" si="76"/>
        <v>1600377.22</v>
      </c>
    </row>
    <row r="107" spans="1:26">
      <c r="A107" s="170">
        <f>A106+1</f>
        <v>98</v>
      </c>
      <c r="B107" s="335">
        <v>879</v>
      </c>
      <c r="C107" s="11"/>
      <c r="D107" s="98" t="s">
        <v>928</v>
      </c>
      <c r="E107" s="98"/>
      <c r="F107" s="669">
        <f t="shared" si="73"/>
        <v>1160183.48</v>
      </c>
      <c r="G107" s="784"/>
      <c r="H107" s="774">
        <f>SUMIF('Sched H-1'!$B:$B,$B107,'Sched H-1'!$K:$K)</f>
        <v>-1970.62</v>
      </c>
      <c r="I107" s="774">
        <f>SUMIF('Sched H-2'!$B:$B,$B107,'Sched H-2'!$K:$K)</f>
        <v>0</v>
      </c>
      <c r="J107" s="774">
        <f>-SUMIF('Sched H-3'!$B:$B,$B107,'Sched H-3'!$H:$H)</f>
        <v>0</v>
      </c>
      <c r="K107" s="774">
        <f>SUMIF('Sched H-4'!$B:$B,$B107,'Sched H-4'!$J:$J)</f>
        <v>92828.553862430272</v>
      </c>
      <c r="L107" s="774">
        <f>SUMIF('Sched H-5'!$B:$B,$B107,'Sched H-5'!$F:$F)</f>
        <v>0</v>
      </c>
      <c r="M107" s="774">
        <f>SUMIF('Sched H-6'!$B:$B,$B107,'Sched H-6'!$AC:$AC)</f>
        <v>0</v>
      </c>
      <c r="N107" s="774">
        <v>0</v>
      </c>
      <c r="O107" s="774">
        <v>0</v>
      </c>
      <c r="P107" s="774">
        <f>SUMIF('Sched H-9'!$B:$B,$B107,'Sched H-9'!$H:$H)</f>
        <v>0</v>
      </c>
      <c r="Q107" s="774">
        <f>SUMIF('Sched H-10'!$B:$B,$B107,'Sched H-10'!$J:$J)</f>
        <v>0</v>
      </c>
      <c r="R107" s="774">
        <f>SUMIF('Sched H-11'!$B:$B,$B107,'Sched H-11'!$I:$I)</f>
        <v>0</v>
      </c>
      <c r="S107" s="774">
        <f>SUMIF('Sched H-12'!$B:$B,$B107,'Sched H-12'!$G:$G)</f>
        <v>-10864.78</v>
      </c>
      <c r="T107" s="774">
        <f t="shared" si="74"/>
        <v>79993.153862430278</v>
      </c>
      <c r="U107" s="770">
        <f t="shared" si="75"/>
        <v>1240176.63386243</v>
      </c>
      <c r="W107" s="75">
        <f>1+W106</f>
        <v>100</v>
      </c>
      <c r="X107" s="990">
        <v>712837.32</v>
      </c>
      <c r="Y107" s="990">
        <v>447346.16000000003</v>
      </c>
      <c r="Z107" s="947">
        <f t="shared" si="76"/>
        <v>1160183.48</v>
      </c>
    </row>
    <row r="108" spans="1:26">
      <c r="A108" s="170">
        <f t="shared" si="77"/>
        <v>99</v>
      </c>
      <c r="B108" s="335">
        <v>880</v>
      </c>
      <c r="C108" s="11"/>
      <c r="D108" s="98" t="s">
        <v>1088</v>
      </c>
      <c r="E108" s="98"/>
      <c r="F108" s="669">
        <f t="shared" si="73"/>
        <v>8973796.9000000004</v>
      </c>
      <c r="G108" s="784"/>
      <c r="H108" s="774">
        <f>SUMIF('Sched H-1'!$B:$B,$B108,'Sched H-1'!$K:$K)</f>
        <v>-3931.12</v>
      </c>
      <c r="I108" s="774">
        <f>SUMIF('Sched H-2'!$B:$B,$B108,'Sched H-2'!$K:$K)</f>
        <v>-2086.1</v>
      </c>
      <c r="J108" s="774">
        <f>-SUMIF('Sched H-3'!$B:$B,$B108,'Sched H-3'!$H:$H)</f>
        <v>0</v>
      </c>
      <c r="K108" s="774">
        <f>SUMIF('Sched H-4'!$B:$B,$B108,'Sched H-4'!$J:$J)</f>
        <v>814839.66362022236</v>
      </c>
      <c r="L108" s="774">
        <f>SUMIF('Sched H-5'!$B:$B,$B108,'Sched H-5'!$F:$F)</f>
        <v>0</v>
      </c>
      <c r="M108" s="774">
        <f>SUMIF('Sched H-6'!$B:$B,$B108,'Sched H-6'!$AC:$AC)</f>
        <v>-2362.5096739999717</v>
      </c>
      <c r="N108" s="774">
        <v>0</v>
      </c>
      <c r="O108" s="774">
        <v>0</v>
      </c>
      <c r="P108" s="774">
        <f>SUMIF('Sched H-9'!$B:$B,$B108,'Sched H-9'!$H:$H)</f>
        <v>0</v>
      </c>
      <c r="Q108" s="774">
        <f>SUMIF('Sched H-10'!$B:$B,$B108,'Sched H-10'!$J:$J)</f>
        <v>0</v>
      </c>
      <c r="R108" s="774">
        <f>SUMIF('Sched H-11'!$B:$B,$B108,'Sched H-11'!$I:$I)</f>
        <v>0</v>
      </c>
      <c r="S108" s="774">
        <f>SUMIF('Sched H-12'!$B:$B,$B108,'Sched H-12'!$G:$G)</f>
        <v>-85811.59</v>
      </c>
      <c r="T108" s="774">
        <f t="shared" si="74"/>
        <v>720648.34394622245</v>
      </c>
      <c r="U108" s="770">
        <f t="shared" si="75"/>
        <v>9694445.2439462245</v>
      </c>
      <c r="W108" s="75">
        <f t="shared" si="0"/>
        <v>101</v>
      </c>
      <c r="X108" s="990">
        <v>3959491.22</v>
      </c>
      <c r="Y108" s="990">
        <v>5014305.6800000006</v>
      </c>
      <c r="Z108" s="947">
        <f t="shared" si="76"/>
        <v>8973796.9000000004</v>
      </c>
    </row>
    <row r="109" spans="1:26">
      <c r="A109" s="170">
        <f t="shared" si="77"/>
        <v>100</v>
      </c>
      <c r="B109" s="335">
        <v>881</v>
      </c>
      <c r="C109" s="11"/>
      <c r="D109" s="98" t="s">
        <v>1089</v>
      </c>
      <c r="E109" s="98"/>
      <c r="F109" s="669">
        <f t="shared" si="73"/>
        <v>36571</v>
      </c>
      <c r="G109" s="784"/>
      <c r="H109" s="774">
        <f>SUMIF('Sched H-1'!$B:$B,$B109,'Sched H-1'!$K:$K)</f>
        <v>0</v>
      </c>
      <c r="I109" s="774">
        <f>SUMIF('Sched H-2'!$B:$B,$B109,'Sched H-2'!$K:$K)</f>
        <v>0</v>
      </c>
      <c r="J109" s="774">
        <f>-SUMIF('Sched H-3'!$B:$B,$B109,'Sched H-3'!$H:$H)</f>
        <v>0</v>
      </c>
      <c r="K109" s="774">
        <f>SUMIF('Sched H-4'!$B:$B,$B109,'Sched H-4'!$J:$J)</f>
        <v>0</v>
      </c>
      <c r="L109" s="774">
        <f>SUMIF('Sched H-5'!$B:$B,$B109,'Sched H-5'!$F:$F)</f>
        <v>0</v>
      </c>
      <c r="M109" s="774">
        <f>SUMIF('Sched H-6'!$B:$B,$B109,'Sched H-6'!$AC:$AC)</f>
        <v>-17.580200000000332</v>
      </c>
      <c r="N109" s="774">
        <v>0</v>
      </c>
      <c r="O109" s="774">
        <v>0</v>
      </c>
      <c r="P109" s="774">
        <f>SUMIF('Sched H-9'!$B:$B,$B109,'Sched H-9'!$H:$H)</f>
        <v>0</v>
      </c>
      <c r="Q109" s="774">
        <f>SUMIF('Sched H-10'!$B:$B,$B109,'Sched H-10'!$J:$J)</f>
        <v>0</v>
      </c>
      <c r="R109" s="774">
        <f>SUMIF('Sched H-11'!$B:$B,$B109,'Sched H-11'!$I:$I)</f>
        <v>0</v>
      </c>
      <c r="S109" s="774">
        <f>SUMIF('Sched H-12'!$B:$B,$B109,'Sched H-12'!$G:$G)</f>
        <v>0</v>
      </c>
      <c r="T109" s="777">
        <f t="shared" si="74"/>
        <v>-17.580200000000332</v>
      </c>
      <c r="U109" s="770">
        <f t="shared" si="75"/>
        <v>36553.419800000003</v>
      </c>
      <c r="W109" s="75">
        <f t="shared" si="0"/>
        <v>102</v>
      </c>
      <c r="X109" s="991">
        <v>13111.05</v>
      </c>
      <c r="Y109" s="991">
        <v>23459.95</v>
      </c>
      <c r="Z109" s="946">
        <f t="shared" si="76"/>
        <v>36571</v>
      </c>
    </row>
    <row r="110" spans="1:26">
      <c r="A110" s="170">
        <f t="shared" si="77"/>
        <v>101</v>
      </c>
      <c r="B110" s="171"/>
      <c r="C110" s="67" t="s">
        <v>164</v>
      </c>
      <c r="D110" s="98"/>
      <c r="E110" s="98"/>
      <c r="F110" s="620">
        <f>SUM(F99:F109)</f>
        <v>24082009.460000001</v>
      </c>
      <c r="G110" s="783"/>
      <c r="H110" s="620">
        <f t="shared" ref="H110:U110" si="78">SUM(H99:H109)</f>
        <v>-514707.81999999995</v>
      </c>
      <c r="I110" s="620">
        <f t="shared" si="78"/>
        <v>-6051.0599999999995</v>
      </c>
      <c r="J110" s="620">
        <f t="shared" ref="J110" si="79">SUM(J99:J109)</f>
        <v>0</v>
      </c>
      <c r="K110" s="620">
        <f t="shared" si="78"/>
        <v>1928758.8573181955</v>
      </c>
      <c r="L110" s="620">
        <f t="shared" si="78"/>
        <v>0</v>
      </c>
      <c r="M110" s="620">
        <f t="shared" si="78"/>
        <v>-21920.403385000431</v>
      </c>
      <c r="N110" s="620">
        <f t="shared" si="78"/>
        <v>0</v>
      </c>
      <c r="O110" s="620">
        <f t="shared" si="78"/>
        <v>0</v>
      </c>
      <c r="P110" s="620">
        <f t="shared" si="78"/>
        <v>0</v>
      </c>
      <c r="Q110" s="620">
        <f t="shared" ref="Q110" si="80">SUM(Q99:Q109)</f>
        <v>0</v>
      </c>
      <c r="R110" s="620">
        <f t="shared" ref="R110:S110" si="81">SUM(R99:R109)</f>
        <v>161998.95000000019</v>
      </c>
      <c r="S110" s="620">
        <f t="shared" si="81"/>
        <v>-202161.43</v>
      </c>
      <c r="T110" s="620">
        <f t="shared" si="78"/>
        <v>1345917.0939331951</v>
      </c>
      <c r="U110" s="620">
        <f t="shared" si="78"/>
        <v>25427926.553933196</v>
      </c>
      <c r="W110" s="75">
        <f t="shared" si="0"/>
        <v>103</v>
      </c>
      <c r="X110" s="1474">
        <f>SUM(X99:X109)</f>
        <v>12183898.680000002</v>
      </c>
      <c r="Y110" s="1474">
        <f>SUM(Y99:Y109)</f>
        <v>11898110.780000001</v>
      </c>
      <c r="Z110" s="937">
        <f t="shared" si="76"/>
        <v>24082009.460000001</v>
      </c>
    </row>
    <row r="111" spans="1:26">
      <c r="A111" s="170">
        <f t="shared" si="77"/>
        <v>102</v>
      </c>
      <c r="B111" s="171"/>
      <c r="C111" s="11"/>
      <c r="D111" s="98"/>
      <c r="E111" s="98"/>
      <c r="F111" s="629"/>
      <c r="G111" s="630"/>
      <c r="H111" s="629"/>
      <c r="I111" s="629"/>
      <c r="J111" s="629"/>
      <c r="K111" s="629"/>
      <c r="L111" s="629"/>
      <c r="M111" s="629"/>
      <c r="N111" s="629"/>
      <c r="O111" s="629"/>
      <c r="P111" s="629"/>
      <c r="Q111" s="629"/>
      <c r="R111" s="629"/>
      <c r="S111" s="629"/>
      <c r="T111" s="629"/>
      <c r="U111" s="629"/>
      <c r="W111" s="75">
        <f t="shared" si="0"/>
        <v>104</v>
      </c>
      <c r="X111" s="474"/>
      <c r="Y111" s="474"/>
    </row>
    <row r="112" spans="1:26">
      <c r="A112" s="170">
        <f t="shared" si="77"/>
        <v>103</v>
      </c>
      <c r="B112" s="171"/>
      <c r="C112" s="11"/>
      <c r="D112" s="67" t="s">
        <v>165</v>
      </c>
      <c r="E112" s="98"/>
      <c r="F112" s="629"/>
      <c r="G112" s="630"/>
      <c r="H112" s="629"/>
      <c r="I112" s="629"/>
      <c r="J112" s="629"/>
      <c r="K112" s="629"/>
      <c r="L112" s="629"/>
      <c r="M112" s="629"/>
      <c r="N112" s="629"/>
      <c r="O112" s="629"/>
      <c r="P112" s="629"/>
      <c r="Q112" s="629"/>
      <c r="R112" s="629"/>
      <c r="S112" s="629"/>
      <c r="T112" s="629"/>
      <c r="U112" s="629"/>
      <c r="W112" s="75">
        <f t="shared" si="0"/>
        <v>105</v>
      </c>
      <c r="X112" s="474"/>
      <c r="Y112" s="474"/>
    </row>
    <row r="113" spans="1:26">
      <c r="A113" s="170">
        <f t="shared" si="77"/>
        <v>104</v>
      </c>
      <c r="B113" s="335">
        <v>885</v>
      </c>
      <c r="C113" s="11"/>
      <c r="D113" s="98" t="s">
        <v>915</v>
      </c>
      <c r="E113" s="98"/>
      <c r="F113" s="613">
        <f t="shared" ref="F113:F122" si="82">HLOOKUP(Attach,$X$8:$AC$274,W113,FALSE)</f>
        <v>202.67000000000002</v>
      </c>
      <c r="G113" s="783"/>
      <c r="H113" s="765">
        <f>SUMIF('Sched H-1'!$B:$B,$B113,'Sched H-1'!$K:$K)</f>
        <v>0</v>
      </c>
      <c r="I113" s="765">
        <f>SUMIF('Sched H-2'!$B:$B,$B113,'Sched H-2'!$K:$K)</f>
        <v>0</v>
      </c>
      <c r="J113" s="765">
        <f>-SUMIF('Sched H-3'!$B:$B,$B113,'Sched H-3'!$H:$H)</f>
        <v>0</v>
      </c>
      <c r="K113" s="765">
        <f>SUMIF('Sched H-4'!$B:$B,$B113,'Sched H-4'!$J:$J)</f>
        <v>0</v>
      </c>
      <c r="L113" s="765">
        <f>SUMIF('Sched H-5'!$B:$B,$B113,'Sched H-5'!$F:$F)</f>
        <v>0</v>
      </c>
      <c r="M113" s="765">
        <f>SUMIF('Sched H-6'!$B:$B,$B113,'Sched H-6'!$AC:$AC)</f>
        <v>0</v>
      </c>
      <c r="N113" s="765">
        <v>0</v>
      </c>
      <c r="O113" s="765">
        <v>0</v>
      </c>
      <c r="P113" s="765">
        <f>SUMIF('Sched H-9'!$B:$B,$B113,'Sched H-9'!$H:$H)</f>
        <v>0</v>
      </c>
      <c r="Q113" s="765">
        <f>SUMIF('Sched H-10'!$B:$B,$B113,'Sched H-10'!$J:$J)</f>
        <v>0</v>
      </c>
      <c r="R113" s="765">
        <f>SUMIF('Sched H-11'!$B:$B,$B113,'Sched H-11'!$I:$I)</f>
        <v>0</v>
      </c>
      <c r="S113" s="765">
        <f>SUMIF('Sched H-12'!$B:$B,$B113,'Sched H-12'!$G:$G)</f>
        <v>0</v>
      </c>
      <c r="T113" s="765">
        <f t="shared" ref="T113:T122" si="83">SUM(H113:S113)</f>
        <v>0</v>
      </c>
      <c r="U113" s="766">
        <f t="shared" ref="U113:U122" si="84">SUM(F113:S113)</f>
        <v>202.67000000000002</v>
      </c>
      <c r="W113" s="75">
        <f t="shared" si="0"/>
        <v>106</v>
      </c>
      <c r="X113" s="990">
        <v>0</v>
      </c>
      <c r="Y113" s="990">
        <v>202.67000000000002</v>
      </c>
      <c r="Z113" s="947">
        <f t="shared" ref="Z113:Z123" si="85">+X113+Y113</f>
        <v>202.67000000000002</v>
      </c>
    </row>
    <row r="114" spans="1:26">
      <c r="A114" s="170">
        <f t="shared" si="77"/>
        <v>105</v>
      </c>
      <c r="B114" s="335">
        <v>886</v>
      </c>
      <c r="C114" s="11"/>
      <c r="D114" s="98" t="s">
        <v>572</v>
      </c>
      <c r="E114" s="98"/>
      <c r="F114" s="669">
        <f t="shared" si="82"/>
        <v>301.74</v>
      </c>
      <c r="G114" s="630"/>
      <c r="H114" s="625">
        <f>SUMIF('Sched H-1'!$B:$B,$B114,'Sched H-1'!$K:$K)</f>
        <v>0</v>
      </c>
      <c r="I114" s="625">
        <f>SUMIF('Sched H-2'!$B:$B,$B114,'Sched H-2'!$K:$K)</f>
        <v>0</v>
      </c>
      <c r="J114" s="625">
        <f>-SUMIF('Sched H-3'!$B:$B,$B114,'Sched H-3'!$H:$H)</f>
        <v>0</v>
      </c>
      <c r="K114" s="625">
        <f>SUMIF('Sched H-4'!$B:$B,$B114,'Sched H-4'!$J:$J)</f>
        <v>0</v>
      </c>
      <c r="L114" s="625">
        <f>SUMIF('Sched H-5'!$B:$B,$B114,'Sched H-5'!$F:$F)</f>
        <v>0</v>
      </c>
      <c r="M114" s="625">
        <f>SUMIF('Sched H-6'!$B:$B,$B114,'Sched H-6'!$AC:$AC)</f>
        <v>0</v>
      </c>
      <c r="N114" s="625">
        <v>0</v>
      </c>
      <c r="O114" s="625">
        <v>0</v>
      </c>
      <c r="P114" s="625">
        <f>SUMIF('Sched H-9'!$B:$B,$B114,'Sched H-9'!$H:$H)</f>
        <v>0</v>
      </c>
      <c r="Q114" s="625">
        <f>SUMIF('Sched H-10'!$B:$B,$B114,'Sched H-10'!$J:$J)</f>
        <v>0</v>
      </c>
      <c r="R114" s="625">
        <f>SUMIF('Sched H-11'!$B:$B,$B114,'Sched H-11'!$I:$I)</f>
        <v>0</v>
      </c>
      <c r="S114" s="625">
        <f>SUMIF('Sched H-12'!$B:$B,$B114,'Sched H-12'!$G:$G)</f>
        <v>0</v>
      </c>
      <c r="T114" s="774">
        <f t="shared" si="83"/>
        <v>0</v>
      </c>
      <c r="U114" s="775">
        <f t="shared" si="84"/>
        <v>301.74</v>
      </c>
      <c r="W114" s="75">
        <f t="shared" si="0"/>
        <v>107</v>
      </c>
      <c r="X114" s="990">
        <v>147.66</v>
      </c>
      <c r="Y114" s="990">
        <v>154.08000000000001</v>
      </c>
      <c r="Z114" s="947">
        <f t="shared" si="85"/>
        <v>301.74</v>
      </c>
    </row>
    <row r="115" spans="1:26">
      <c r="A115" s="170">
        <f t="shared" si="77"/>
        <v>106</v>
      </c>
      <c r="B115" s="335">
        <v>887</v>
      </c>
      <c r="C115" s="11"/>
      <c r="D115" s="98" t="s">
        <v>1090</v>
      </c>
      <c r="E115" s="98"/>
      <c r="F115" s="669">
        <f t="shared" si="82"/>
        <v>511842</v>
      </c>
      <c r="G115" s="784"/>
      <c r="H115" s="774">
        <f>SUMIF('Sched H-1'!$B:$B,$B115,'Sched H-1'!$K:$K)</f>
        <v>-14595.289999999999</v>
      </c>
      <c r="I115" s="774">
        <f>SUMIF('Sched H-2'!$B:$B,$B115,'Sched H-2'!$K:$K)</f>
        <v>0</v>
      </c>
      <c r="J115" s="774">
        <f>-SUMIF('Sched H-3'!$B:$B,$B115,'Sched H-3'!$H:$H)</f>
        <v>0</v>
      </c>
      <c r="K115" s="774">
        <f>SUMIF('Sched H-4'!$B:$B,$B115,'Sched H-4'!$J:$J)</f>
        <v>28327.626147552044</v>
      </c>
      <c r="L115" s="774">
        <f>SUMIF('Sched H-5'!$B:$B,$B115,'Sched H-5'!$F:$F)</f>
        <v>0</v>
      </c>
      <c r="M115" s="774">
        <f>SUMIF('Sched H-6'!$B:$B,$B115,'Sched H-6'!$AC:$AC)</f>
        <v>13.973627000000192</v>
      </c>
      <c r="N115" s="774">
        <v>0</v>
      </c>
      <c r="O115" s="774">
        <v>0</v>
      </c>
      <c r="P115" s="774">
        <f>SUMIF('Sched H-9'!$B:$B,$B115,'Sched H-9'!$H:$H)</f>
        <v>0</v>
      </c>
      <c r="Q115" s="774">
        <f>SUMIF('Sched H-10'!$B:$B,$B115,'Sched H-10'!$J:$J)</f>
        <v>0</v>
      </c>
      <c r="R115" s="774">
        <f>SUMIF('Sched H-11'!$B:$B,$B115,'Sched H-11'!$I:$I)</f>
        <v>0</v>
      </c>
      <c r="S115" s="774">
        <f>SUMIF('Sched H-12'!$B:$B,$B115,'Sched H-12'!$G:$G)</f>
        <v>-5062.99</v>
      </c>
      <c r="T115" s="774">
        <f t="shared" si="83"/>
        <v>8683.3197745520447</v>
      </c>
      <c r="U115" s="775">
        <f t="shared" si="84"/>
        <v>520525.31977455213</v>
      </c>
      <c r="W115" s="75">
        <f t="shared" si="0"/>
        <v>108</v>
      </c>
      <c r="X115" s="990">
        <v>429505.42</v>
      </c>
      <c r="Y115" s="990">
        <v>82336.579999999987</v>
      </c>
      <c r="Z115" s="947">
        <f t="shared" si="85"/>
        <v>511842</v>
      </c>
    </row>
    <row r="116" spans="1:26">
      <c r="A116" s="170">
        <f>A115+1</f>
        <v>107</v>
      </c>
      <c r="B116" s="335">
        <v>888</v>
      </c>
      <c r="C116" s="11"/>
      <c r="D116" s="98" t="s">
        <v>426</v>
      </c>
      <c r="E116" s="98"/>
      <c r="F116" s="669">
        <f t="shared" si="82"/>
        <v>6877.66</v>
      </c>
      <c r="G116" s="784"/>
      <c r="H116" s="774">
        <f>SUMIF('Sched H-1'!$B:$B,$B116,'Sched H-1'!$K:$K)</f>
        <v>0</v>
      </c>
      <c r="I116" s="774">
        <f>SUMIF('Sched H-2'!$B:$B,$B116,'Sched H-2'!$K:$K)</f>
        <v>0</v>
      </c>
      <c r="J116" s="774">
        <f>-SUMIF('Sched H-3'!$B:$B,$B116,'Sched H-3'!$H:$H)</f>
        <v>0</v>
      </c>
      <c r="K116" s="774">
        <f>SUMIF('Sched H-4'!$B:$B,$B116,'Sched H-4'!$J:$J)</f>
        <v>813.94210218208718</v>
      </c>
      <c r="L116" s="774">
        <f>SUMIF('Sched H-5'!$B:$B,$B116,'Sched H-5'!$F:$F)</f>
        <v>0</v>
      </c>
      <c r="M116" s="774">
        <f>SUMIF('Sched H-6'!$B:$B,$B116,'Sched H-6'!$AC:$AC)</f>
        <v>-2.1072589999999991</v>
      </c>
      <c r="N116" s="774">
        <v>0</v>
      </c>
      <c r="O116" s="774">
        <v>0</v>
      </c>
      <c r="P116" s="774">
        <f>SUMIF('Sched H-9'!$B:$B,$B116,'Sched H-9'!$H:$H)</f>
        <v>0</v>
      </c>
      <c r="Q116" s="774">
        <f>SUMIF('Sched H-10'!$B:$B,$B116,'Sched H-10'!$J:$J)</f>
        <v>0</v>
      </c>
      <c r="R116" s="774">
        <f>SUMIF('Sched H-11'!$B:$B,$B116,'Sched H-11'!$I:$I)</f>
        <v>0</v>
      </c>
      <c r="S116" s="774">
        <f>SUMIF('Sched H-12'!$B:$B,$B116,'Sched H-12'!$G:$G)</f>
        <v>-8.48</v>
      </c>
      <c r="T116" s="774">
        <f t="shared" si="83"/>
        <v>803.35484318208717</v>
      </c>
      <c r="U116" s="775">
        <f t="shared" si="84"/>
        <v>7681.0148431820871</v>
      </c>
      <c r="W116" s="75">
        <f t="shared" si="0"/>
        <v>109</v>
      </c>
      <c r="X116" s="990">
        <v>3579.6700000000005</v>
      </c>
      <c r="Y116" s="990">
        <v>3297.99</v>
      </c>
      <c r="Z116" s="947">
        <f t="shared" si="85"/>
        <v>6877.66</v>
      </c>
    </row>
    <row r="117" spans="1:26">
      <c r="A117" s="170">
        <f t="shared" ref="A117:A120" si="86">A116+1</f>
        <v>108</v>
      </c>
      <c r="B117" s="335">
        <v>889</v>
      </c>
      <c r="C117" s="11"/>
      <c r="D117" s="98" t="s">
        <v>575</v>
      </c>
      <c r="E117" s="98"/>
      <c r="F117" s="669">
        <f t="shared" si="82"/>
        <v>294798.67000000004</v>
      </c>
      <c r="G117" s="784"/>
      <c r="H117" s="774">
        <f>SUMIF('Sched H-1'!$B:$B,$B117,'Sched H-1'!$K:$K)</f>
        <v>-174.67000000000002</v>
      </c>
      <c r="I117" s="774">
        <f>SUMIF('Sched H-2'!$B:$B,$B117,'Sched H-2'!$K:$K)</f>
        <v>0</v>
      </c>
      <c r="J117" s="774">
        <f>-SUMIF('Sched H-3'!$B:$B,$B117,'Sched H-3'!$H:$H)</f>
        <v>0</v>
      </c>
      <c r="K117" s="774">
        <f>SUMIF('Sched H-4'!$B:$B,$B117,'Sched H-4'!$J:$J)</f>
        <v>12206.160985511058</v>
      </c>
      <c r="L117" s="774">
        <f>SUMIF('Sched H-5'!$B:$B,$B117,'Sched H-5'!$F:$F)</f>
        <v>0</v>
      </c>
      <c r="M117" s="774">
        <f>SUMIF('Sched H-6'!$B:$B,$B117,'Sched H-6'!$AC:$AC)</f>
        <v>0</v>
      </c>
      <c r="N117" s="774">
        <v>0</v>
      </c>
      <c r="O117" s="774">
        <v>0</v>
      </c>
      <c r="P117" s="774">
        <f>SUMIF('Sched H-9'!$B:$B,$B117,'Sched H-9'!$H:$H)</f>
        <v>0</v>
      </c>
      <c r="Q117" s="774">
        <f>SUMIF('Sched H-10'!$B:$B,$B117,'Sched H-10'!$J:$J)</f>
        <v>0</v>
      </c>
      <c r="R117" s="774">
        <f>SUMIF('Sched H-11'!$B:$B,$B117,'Sched H-11'!$I:$I)</f>
        <v>0</v>
      </c>
      <c r="S117" s="774">
        <f>SUMIF('Sched H-12'!$B:$B,$B117,'Sched H-12'!$G:$G)</f>
        <v>-1987.82</v>
      </c>
      <c r="T117" s="774">
        <f t="shared" si="83"/>
        <v>10043.670985511058</v>
      </c>
      <c r="U117" s="775">
        <f t="shared" si="84"/>
        <v>304842.34098551114</v>
      </c>
      <c r="W117" s="75">
        <f t="shared" si="0"/>
        <v>110</v>
      </c>
      <c r="X117" s="990">
        <v>196683.45</v>
      </c>
      <c r="Y117" s="990">
        <v>98115.22</v>
      </c>
      <c r="Z117" s="947">
        <f t="shared" si="85"/>
        <v>294798.67000000004</v>
      </c>
    </row>
    <row r="118" spans="1:26">
      <c r="A118" s="170">
        <f t="shared" si="86"/>
        <v>109</v>
      </c>
      <c r="B118" s="335">
        <v>890</v>
      </c>
      <c r="C118" s="11"/>
      <c r="D118" s="98" t="s">
        <v>427</v>
      </c>
      <c r="E118" s="98"/>
      <c r="F118" s="669">
        <f t="shared" si="82"/>
        <v>79113.26999999999</v>
      </c>
      <c r="G118" s="784"/>
      <c r="H118" s="774">
        <f>SUMIF('Sched H-1'!$B:$B,$B118,'Sched H-1'!$K:$K)</f>
        <v>-26.43</v>
      </c>
      <c r="I118" s="774">
        <f>SUMIF('Sched H-2'!$B:$B,$B118,'Sched H-2'!$K:$K)</f>
        <v>0</v>
      </c>
      <c r="J118" s="774">
        <f>-SUMIF('Sched H-3'!$B:$B,$B118,'Sched H-3'!$H:$H)</f>
        <v>0</v>
      </c>
      <c r="K118" s="774">
        <f>SUMIF('Sched H-4'!$B:$B,$B118,'Sched H-4'!$J:$J)</f>
        <v>5013.3141434315985</v>
      </c>
      <c r="L118" s="774">
        <f>SUMIF('Sched H-5'!$B:$B,$B118,'Sched H-5'!$F:$F)</f>
        <v>0</v>
      </c>
      <c r="M118" s="774">
        <f>SUMIF('Sched H-6'!$B:$B,$B118,'Sched H-6'!$AC:$AC)</f>
        <v>0</v>
      </c>
      <c r="N118" s="774">
        <v>0</v>
      </c>
      <c r="O118" s="774">
        <v>0</v>
      </c>
      <c r="P118" s="774">
        <f>SUMIF('Sched H-9'!$B:$B,$B118,'Sched H-9'!$H:$H)</f>
        <v>0</v>
      </c>
      <c r="Q118" s="774">
        <f>SUMIF('Sched H-10'!$B:$B,$B118,'Sched H-10'!$J:$J)</f>
        <v>0</v>
      </c>
      <c r="R118" s="774">
        <f>SUMIF('Sched H-11'!$B:$B,$B118,'Sched H-11'!$I:$I)</f>
        <v>0</v>
      </c>
      <c r="S118" s="774">
        <f>SUMIF('Sched H-12'!$B:$B,$B118,'Sched H-12'!$G:$G)</f>
        <v>-610.03</v>
      </c>
      <c r="T118" s="774">
        <f t="shared" si="83"/>
        <v>4376.8541434315985</v>
      </c>
      <c r="U118" s="775">
        <f t="shared" si="84"/>
        <v>83490.124143431603</v>
      </c>
      <c r="W118" s="75">
        <f t="shared" si="0"/>
        <v>111</v>
      </c>
      <c r="X118" s="990">
        <v>61775.049999999988</v>
      </c>
      <c r="Y118" s="990">
        <v>17338.22</v>
      </c>
      <c r="Z118" s="947">
        <f t="shared" si="85"/>
        <v>79113.26999999999</v>
      </c>
    </row>
    <row r="119" spans="1:26">
      <c r="A119" s="170">
        <f t="shared" si="86"/>
        <v>110</v>
      </c>
      <c r="B119" s="335">
        <v>891</v>
      </c>
      <c r="C119" s="11"/>
      <c r="D119" s="98" t="s">
        <v>940</v>
      </c>
      <c r="E119" s="98"/>
      <c r="F119" s="669">
        <f t="shared" si="82"/>
        <v>497327.22000000003</v>
      </c>
      <c r="G119" s="784"/>
      <c r="H119" s="774">
        <f>SUMIF('Sched H-1'!$B:$B,$B119,'Sched H-1'!$K:$K)</f>
        <v>-1742.3200000000002</v>
      </c>
      <c r="I119" s="774">
        <f>SUMIF('Sched H-2'!$B:$B,$B119,'Sched H-2'!$K:$K)</f>
        <v>0</v>
      </c>
      <c r="J119" s="774">
        <f>-SUMIF('Sched H-3'!$B:$B,$B119,'Sched H-3'!$H:$H)</f>
        <v>0</v>
      </c>
      <c r="K119" s="774">
        <f>SUMIF('Sched H-4'!$B:$B,$B119,'Sched H-4'!$J:$J)</f>
        <v>17188.684250509075</v>
      </c>
      <c r="L119" s="774">
        <f>SUMIF('Sched H-5'!$B:$B,$B119,'Sched H-5'!$F:$F)</f>
        <v>0</v>
      </c>
      <c r="M119" s="774">
        <f>SUMIF('Sched H-6'!$B:$B,$B119,'Sched H-6'!$AC:$AC)</f>
        <v>0</v>
      </c>
      <c r="N119" s="774">
        <v>0</v>
      </c>
      <c r="O119" s="774">
        <v>0</v>
      </c>
      <c r="P119" s="774">
        <f>SUMIF('Sched H-9'!$B:$B,$B119,'Sched H-9'!$H:$H)</f>
        <v>0</v>
      </c>
      <c r="Q119" s="774">
        <f>SUMIF('Sched H-10'!$B:$B,$B119,'Sched H-10'!$J:$J)</f>
        <v>0</v>
      </c>
      <c r="R119" s="774">
        <f>SUMIF('Sched H-11'!$B:$B,$B119,'Sched H-11'!$I:$I)</f>
        <v>0</v>
      </c>
      <c r="S119" s="774">
        <f>SUMIF('Sched H-12'!$B:$B,$B119,'Sched H-12'!$G:$G)</f>
        <v>-3003.91</v>
      </c>
      <c r="T119" s="774">
        <f t="shared" si="83"/>
        <v>12442.454250509076</v>
      </c>
      <c r="U119" s="775">
        <f t="shared" si="84"/>
        <v>509769.67425050912</v>
      </c>
      <c r="V119" s="1476"/>
      <c r="W119" s="75">
        <f t="shared" si="0"/>
        <v>112</v>
      </c>
      <c r="X119" s="990">
        <v>436078.61000000004</v>
      </c>
      <c r="Y119" s="990">
        <v>61248.61</v>
      </c>
      <c r="Z119" s="947">
        <f t="shared" si="85"/>
        <v>497327.22000000003</v>
      </c>
    </row>
    <row r="120" spans="1:26">
      <c r="A120" s="170">
        <f t="shared" si="86"/>
        <v>111</v>
      </c>
      <c r="B120" s="335">
        <v>892</v>
      </c>
      <c r="C120" s="11"/>
      <c r="D120" s="98" t="s">
        <v>428</v>
      </c>
      <c r="E120" s="98"/>
      <c r="F120" s="669">
        <f t="shared" si="82"/>
        <v>422368.78</v>
      </c>
      <c r="G120" s="784"/>
      <c r="H120" s="774">
        <f>SUMIF('Sched H-1'!$B:$B,$B120,'Sched H-1'!$K:$K)</f>
        <v>-142.60999999999999</v>
      </c>
      <c r="I120" s="774">
        <f>SUMIF('Sched H-2'!$B:$B,$B120,'Sched H-2'!$K:$K)</f>
        <v>0</v>
      </c>
      <c r="J120" s="774">
        <f>-SUMIF('Sched H-3'!$B:$B,$B120,'Sched H-3'!$H:$H)</f>
        <v>0</v>
      </c>
      <c r="K120" s="774">
        <f>SUMIF('Sched H-4'!$B:$B,$B120,'Sched H-4'!$J:$J)</f>
        <v>37917.110125752632</v>
      </c>
      <c r="L120" s="774">
        <f>SUMIF('Sched H-5'!$B:$B,$B120,'Sched H-5'!$F:$F)</f>
        <v>0</v>
      </c>
      <c r="M120" s="774">
        <f>SUMIF('Sched H-6'!$B:$B,$B120,'Sched H-6'!$AC:$AC)</f>
        <v>0</v>
      </c>
      <c r="N120" s="774">
        <v>0</v>
      </c>
      <c r="O120" s="774">
        <v>0</v>
      </c>
      <c r="P120" s="774">
        <f>SUMIF('Sched H-9'!$B:$B,$B120,'Sched H-9'!$H:$H)</f>
        <v>0</v>
      </c>
      <c r="Q120" s="774">
        <f>SUMIF('Sched H-10'!$B:$B,$B120,'Sched H-10'!$J:$J)</f>
        <v>0</v>
      </c>
      <c r="R120" s="774">
        <f>SUMIF('Sched H-11'!$B:$B,$B120,'Sched H-11'!$I:$I)</f>
        <v>0</v>
      </c>
      <c r="S120" s="774">
        <f>SUMIF('Sched H-12'!$B:$B,$B120,'Sched H-12'!$G:$G)</f>
        <v>-4709.29</v>
      </c>
      <c r="T120" s="774">
        <f t="shared" si="83"/>
        <v>33065.21012575263</v>
      </c>
      <c r="U120" s="775">
        <f t="shared" si="84"/>
        <v>455433.99012575269</v>
      </c>
      <c r="W120" s="75">
        <f t="shared" si="0"/>
        <v>113</v>
      </c>
      <c r="X120" s="990">
        <v>229055.99000000002</v>
      </c>
      <c r="Y120" s="990">
        <v>193312.79</v>
      </c>
      <c r="Z120" s="947">
        <f t="shared" si="85"/>
        <v>422368.78</v>
      </c>
    </row>
    <row r="121" spans="1:26">
      <c r="A121" s="170">
        <f t="shared" si="77"/>
        <v>112</v>
      </c>
      <c r="B121" s="335">
        <v>893</v>
      </c>
      <c r="C121" s="11"/>
      <c r="D121" s="98" t="s">
        <v>429</v>
      </c>
      <c r="E121" s="98"/>
      <c r="F121" s="669">
        <f t="shared" si="82"/>
        <v>1021188.2499999999</v>
      </c>
      <c r="G121" s="784"/>
      <c r="H121" s="774">
        <f>SUMIF('Sched H-1'!$B:$B,$B121,'Sched H-1'!$K:$K)</f>
        <v>-1685.4099999999999</v>
      </c>
      <c r="I121" s="774">
        <f>SUMIF('Sched H-2'!$B:$B,$B121,'Sched H-2'!$K:$K)</f>
        <v>-47</v>
      </c>
      <c r="J121" s="774">
        <f>-SUMIF('Sched H-3'!$B:$B,$B121,'Sched H-3'!$H:$H)</f>
        <v>0</v>
      </c>
      <c r="K121" s="774">
        <f>SUMIF('Sched H-4'!$B:$B,$B121,'Sched H-4'!$J:$J)</f>
        <v>64300.075495692668</v>
      </c>
      <c r="L121" s="774">
        <f>SUMIF('Sched H-5'!$B:$B,$B121,'Sched H-5'!$F:$F)</f>
        <v>0</v>
      </c>
      <c r="M121" s="774">
        <f>SUMIF('Sched H-6'!$B:$B,$B121,'Sched H-6'!$AC:$AC)</f>
        <v>-2125.7299700001022</v>
      </c>
      <c r="N121" s="774">
        <v>0</v>
      </c>
      <c r="O121" s="774">
        <v>0</v>
      </c>
      <c r="P121" s="774">
        <f>SUMIF('Sched H-9'!$B:$B,$B121,'Sched H-9'!$H:$H)</f>
        <v>0</v>
      </c>
      <c r="Q121" s="774">
        <f>SUMIF('Sched H-10'!$B:$B,$B121,'Sched H-10'!$J:$J)</f>
        <v>0</v>
      </c>
      <c r="R121" s="774">
        <f>SUMIF('Sched H-11'!$B:$B,$B121,'Sched H-11'!$I:$I)</f>
        <v>0</v>
      </c>
      <c r="S121" s="774">
        <f>SUMIF('Sched H-12'!$B:$B,$B121,'Sched H-12'!$G:$G)</f>
        <v>-11279.03</v>
      </c>
      <c r="T121" s="774">
        <f t="shared" si="83"/>
        <v>49162.905525692564</v>
      </c>
      <c r="U121" s="775">
        <f t="shared" si="84"/>
        <v>1070351.1555256925</v>
      </c>
      <c r="W121" s="75">
        <f t="shared" si="0"/>
        <v>114</v>
      </c>
      <c r="X121" s="990">
        <v>618462.07999999996</v>
      </c>
      <c r="Y121" s="990">
        <v>402726.16999999993</v>
      </c>
      <c r="Z121" s="947">
        <f t="shared" si="85"/>
        <v>1021188.2499999999</v>
      </c>
    </row>
    <row r="122" spans="1:26">
      <c r="A122" s="170">
        <f t="shared" si="77"/>
        <v>113</v>
      </c>
      <c r="B122" s="335">
        <v>894</v>
      </c>
      <c r="C122" s="11"/>
      <c r="D122" s="98" t="s">
        <v>430</v>
      </c>
      <c r="E122" s="98"/>
      <c r="F122" s="669">
        <f t="shared" si="82"/>
        <v>131915.78000000003</v>
      </c>
      <c r="G122" s="784"/>
      <c r="H122" s="777">
        <f>SUMIF('Sched H-1'!$B:$B,$B122,'Sched H-1'!$K:$K)</f>
        <v>0</v>
      </c>
      <c r="I122" s="777">
        <f>SUMIF('Sched H-2'!$B:$B,$B122,'Sched H-2'!$K:$K)</f>
        <v>0</v>
      </c>
      <c r="J122" s="777">
        <f>-SUMIF('Sched H-3'!$B:$B,$B122,'Sched H-3'!$H:$H)</f>
        <v>0</v>
      </c>
      <c r="K122" s="777">
        <f>SUMIF('Sched H-4'!$B:$B,$B122,'Sched H-4'!$J:$J)</f>
        <v>16372.0510770158</v>
      </c>
      <c r="L122" s="777">
        <f>SUMIF('Sched H-5'!$B:$B,$B122,'Sched H-5'!$F:$F)</f>
        <v>0</v>
      </c>
      <c r="M122" s="777">
        <f>SUMIF('Sched H-6'!$B:$B,$B122,'Sched H-6'!$AC:$AC)</f>
        <v>0</v>
      </c>
      <c r="N122" s="777">
        <v>0</v>
      </c>
      <c r="O122" s="777">
        <v>0</v>
      </c>
      <c r="P122" s="777">
        <f>SUMIF('Sched H-9'!$B:$B,$B122,'Sched H-9'!$H:$H)</f>
        <v>0</v>
      </c>
      <c r="Q122" s="777">
        <f>SUMIF('Sched H-10'!$B:$B,$B122,'Sched H-10'!$J:$J)</f>
        <v>0</v>
      </c>
      <c r="R122" s="777">
        <f>SUMIF('Sched H-11'!$B:$B,$B122,'Sched H-11'!$I:$I)</f>
        <v>0</v>
      </c>
      <c r="S122" s="777">
        <f>SUMIF('Sched H-12'!$B:$B,$B122,'Sched H-12'!$G:$G)</f>
        <v>-1659.96</v>
      </c>
      <c r="T122" s="777">
        <f t="shared" si="83"/>
        <v>14712.091077015801</v>
      </c>
      <c r="U122" s="778">
        <f t="shared" si="84"/>
        <v>146627.87107701585</v>
      </c>
      <c r="W122" s="75">
        <f t="shared" si="0"/>
        <v>115</v>
      </c>
      <c r="X122" s="991">
        <v>37243.600000000006</v>
      </c>
      <c r="Y122" s="991">
        <v>94672.180000000008</v>
      </c>
      <c r="Z122" s="946">
        <f t="shared" si="85"/>
        <v>131915.78000000003</v>
      </c>
    </row>
    <row r="123" spans="1:26">
      <c r="A123" s="170">
        <f t="shared" si="77"/>
        <v>114</v>
      </c>
      <c r="B123" s="171"/>
      <c r="C123" s="67" t="s">
        <v>167</v>
      </c>
      <c r="D123" s="98"/>
      <c r="E123" s="98"/>
      <c r="F123" s="620">
        <f>SUM(F113:F122)</f>
        <v>2965936.04</v>
      </c>
      <c r="G123" s="783"/>
      <c r="H123" s="361">
        <f t="shared" ref="H123" si="87">SUM(H113:H122)</f>
        <v>-18366.73</v>
      </c>
      <c r="I123" s="361">
        <f>SUM(I113:I122)</f>
        <v>-47</v>
      </c>
      <c r="J123" s="361">
        <f>SUM(J113:J122)</f>
        <v>0</v>
      </c>
      <c r="K123" s="361">
        <f>SUM(K113:K122)</f>
        <v>182138.96432764694</v>
      </c>
      <c r="L123" s="361">
        <f t="shared" ref="L123" si="88">SUM(L113:L122)</f>
        <v>0</v>
      </c>
      <c r="M123" s="361">
        <f>SUM(M113:M122)</f>
        <v>-2113.8636020001022</v>
      </c>
      <c r="N123" s="361">
        <f t="shared" ref="N123:T123" si="89">SUM(N113:N122)</f>
        <v>0</v>
      </c>
      <c r="O123" s="361">
        <f t="shared" si="89"/>
        <v>0</v>
      </c>
      <c r="P123" s="361">
        <f t="shared" si="89"/>
        <v>0</v>
      </c>
      <c r="Q123" s="361">
        <f>SUM(Q113:Q122)</f>
        <v>0</v>
      </c>
      <c r="R123" s="361">
        <f>SUM(R113:R122)</f>
        <v>0</v>
      </c>
      <c r="S123" s="361">
        <f>SUM(S113:S122)</f>
        <v>-28321.510000000002</v>
      </c>
      <c r="T123" s="361">
        <f t="shared" si="89"/>
        <v>133289.86072564687</v>
      </c>
      <c r="U123" s="361">
        <f>SUM(U113:U122)</f>
        <v>3099225.9007256473</v>
      </c>
      <c r="W123" s="75">
        <f t="shared" si="0"/>
        <v>116</v>
      </c>
      <c r="X123" s="1474">
        <f t="shared" ref="X123" si="90">SUM(X113:X122)</f>
        <v>2012531.5300000003</v>
      </c>
      <c r="Y123" s="1474">
        <f>SUM(Y113:Y122)</f>
        <v>953404.51</v>
      </c>
      <c r="Z123" s="937">
        <f t="shared" si="85"/>
        <v>2965936.04</v>
      </c>
    </row>
    <row r="124" spans="1:26">
      <c r="A124" s="170">
        <f t="shared" si="77"/>
        <v>115</v>
      </c>
      <c r="B124" s="171"/>
      <c r="C124" s="11"/>
      <c r="D124" s="98"/>
      <c r="E124" s="98"/>
      <c r="F124" s="629"/>
      <c r="G124" s="630"/>
      <c r="H124" s="629"/>
      <c r="I124" s="629"/>
      <c r="J124" s="629"/>
      <c r="K124" s="629"/>
      <c r="L124" s="629"/>
      <c r="M124" s="629"/>
      <c r="N124" s="629"/>
      <c r="O124" s="629"/>
      <c r="P124" s="629"/>
      <c r="Q124" s="629"/>
      <c r="R124" s="629"/>
      <c r="S124" s="629"/>
      <c r="T124" s="629"/>
      <c r="U124" s="629"/>
      <c r="W124" s="75">
        <f t="shared" si="0"/>
        <v>117</v>
      </c>
      <c r="X124" s="474"/>
      <c r="Y124" s="474"/>
    </row>
    <row r="125" spans="1:26">
      <c r="A125" s="170">
        <f t="shared" si="77"/>
        <v>116</v>
      </c>
      <c r="B125" s="171"/>
      <c r="C125" s="11" t="s">
        <v>431</v>
      </c>
      <c r="D125" s="98"/>
      <c r="E125" s="98"/>
      <c r="F125" s="361">
        <f>F110+F123</f>
        <v>27047945.5</v>
      </c>
      <c r="G125" s="783"/>
      <c r="H125" s="361">
        <f t="shared" ref="H125" si="91">H110+H123</f>
        <v>-533074.54999999993</v>
      </c>
      <c r="I125" s="361">
        <f>I110+I123</f>
        <v>-6098.0599999999995</v>
      </c>
      <c r="J125" s="361">
        <f>J110+J123</f>
        <v>0</v>
      </c>
      <c r="K125" s="361">
        <f>K110+K123</f>
        <v>2110897.8216458424</v>
      </c>
      <c r="L125" s="361">
        <f t="shared" ref="L125" si="92">L110+L123</f>
        <v>0</v>
      </c>
      <c r="M125" s="361">
        <f>M110+M123</f>
        <v>-24034.266987000534</v>
      </c>
      <c r="N125" s="361">
        <f t="shared" ref="N125:U125" si="93">N110+N123</f>
        <v>0</v>
      </c>
      <c r="O125" s="361">
        <f t="shared" si="93"/>
        <v>0</v>
      </c>
      <c r="P125" s="361">
        <f t="shared" si="93"/>
        <v>0</v>
      </c>
      <c r="Q125" s="361">
        <f>Q110+Q123</f>
        <v>0</v>
      </c>
      <c r="R125" s="361">
        <f>R110+R123</f>
        <v>161998.95000000019</v>
      </c>
      <c r="S125" s="361">
        <f>S110+S123</f>
        <v>-230482.94</v>
      </c>
      <c r="T125" s="361">
        <f t="shared" si="93"/>
        <v>1479206.9546588419</v>
      </c>
      <c r="U125" s="361">
        <f t="shared" si="93"/>
        <v>28527152.454658844</v>
      </c>
      <c r="W125" s="75">
        <f t="shared" si="0"/>
        <v>118</v>
      </c>
      <c r="X125" s="1474">
        <f t="shared" ref="X125:Y125" si="94">X110+X123</f>
        <v>14196430.210000001</v>
      </c>
      <c r="Y125" s="1474">
        <f t="shared" si="94"/>
        <v>12851515.290000001</v>
      </c>
      <c r="Z125" s="947">
        <f>+X125+Y125</f>
        <v>27047945.5</v>
      </c>
    </row>
    <row r="126" spans="1:26">
      <c r="A126" s="170">
        <f t="shared" si="77"/>
        <v>117</v>
      </c>
      <c r="B126" s="96"/>
      <c r="C126" s="34"/>
      <c r="D126" s="98"/>
      <c r="E126" s="98"/>
      <c r="F126" s="624"/>
      <c r="G126" s="624"/>
      <c r="H126" s="624"/>
      <c r="I126" s="624"/>
      <c r="J126" s="624"/>
      <c r="K126" s="624"/>
      <c r="L126" s="624"/>
      <c r="M126" s="624"/>
      <c r="N126" s="624"/>
      <c r="O126" s="624"/>
      <c r="P126" s="624"/>
      <c r="Q126" s="624"/>
      <c r="R126" s="624"/>
      <c r="S126" s="624"/>
      <c r="T126" s="624"/>
      <c r="U126" s="624"/>
      <c r="W126" s="75">
        <f t="shared" si="0"/>
        <v>119</v>
      </c>
      <c r="X126" s="474"/>
      <c r="Y126" s="474"/>
    </row>
    <row r="127" spans="1:26">
      <c r="A127" s="170">
        <f t="shared" si="77"/>
        <v>118</v>
      </c>
      <c r="B127" s="105"/>
      <c r="C127" s="11" t="s">
        <v>168</v>
      </c>
      <c r="D127" s="98"/>
      <c r="E127" s="98"/>
      <c r="F127" s="624"/>
      <c r="G127" s="624"/>
      <c r="H127" s="624"/>
      <c r="I127" s="624"/>
      <c r="J127" s="624"/>
      <c r="K127" s="624"/>
      <c r="L127" s="624"/>
      <c r="M127" s="624"/>
      <c r="N127" s="624"/>
      <c r="O127" s="624"/>
      <c r="P127" s="624"/>
      <c r="Q127" s="624"/>
      <c r="R127" s="624"/>
      <c r="S127" s="624"/>
      <c r="T127" s="624"/>
      <c r="U127" s="624"/>
      <c r="W127" s="75">
        <f t="shared" si="0"/>
        <v>120</v>
      </c>
      <c r="X127" s="474"/>
      <c r="Y127" s="474"/>
    </row>
    <row r="128" spans="1:26">
      <c r="A128" s="170">
        <f t="shared" si="77"/>
        <v>119</v>
      </c>
      <c r="B128" s="105"/>
      <c r="C128" s="11"/>
      <c r="D128" s="67" t="s">
        <v>163</v>
      </c>
      <c r="E128" s="98"/>
      <c r="F128" s="624"/>
      <c r="G128" s="624"/>
      <c r="H128" s="625"/>
      <c r="I128" s="625"/>
      <c r="J128" s="624"/>
      <c r="K128" s="624"/>
      <c r="L128" s="624"/>
      <c r="M128" s="624"/>
      <c r="N128" s="624"/>
      <c r="O128" s="624"/>
      <c r="P128" s="624"/>
      <c r="Q128" s="624"/>
      <c r="R128" s="624"/>
      <c r="S128" s="624"/>
      <c r="T128" s="624"/>
      <c r="U128" s="624"/>
      <c r="W128" s="75">
        <f t="shared" si="0"/>
        <v>121</v>
      </c>
      <c r="X128" s="474"/>
      <c r="Y128" s="474"/>
    </row>
    <row r="129" spans="1:26">
      <c r="A129" s="170">
        <f t="shared" si="77"/>
        <v>120</v>
      </c>
      <c r="B129" s="107">
        <v>901</v>
      </c>
      <c r="C129" s="11"/>
      <c r="D129" s="106" t="s">
        <v>484</v>
      </c>
      <c r="E129" s="98"/>
      <c r="F129" s="613">
        <f>HLOOKUP(Attach,$X$8:$AC$274,W129,FALSE)</f>
        <v>254770.15999999997</v>
      </c>
      <c r="G129" s="779"/>
      <c r="H129" s="765">
        <f>SUMIF('Sched H-1'!$B:$B,$B129,'Sched H-1'!$K:$K)</f>
        <v>0</v>
      </c>
      <c r="I129" s="765">
        <f>SUMIF('Sched H-2'!$B:$B,$B129,'Sched H-2'!$K:$K)</f>
        <v>0</v>
      </c>
      <c r="J129" s="765">
        <f>-SUMIF('Sched H-3'!$B:$B,$B129,'Sched H-3'!$H:$H)</f>
        <v>0</v>
      </c>
      <c r="K129" s="765">
        <f>SUMIF('Sched H-4'!$B:$B,$B129,'Sched H-4'!$J:$J)</f>
        <v>1079.4444935426218</v>
      </c>
      <c r="L129" s="765">
        <f>SUMIF('Sched H-5'!$B:$B,$B129,'Sched H-5'!$F:$F)</f>
        <v>0</v>
      </c>
      <c r="M129" s="765">
        <f>SUMIF('Sched H-6'!$B:$B,$B129,'Sched H-6'!$AC:$AC)</f>
        <v>3203.0980699999782</v>
      </c>
      <c r="N129" s="765">
        <v>0</v>
      </c>
      <c r="O129" s="765">
        <v>0</v>
      </c>
      <c r="P129" s="765">
        <f>SUMIF('Sched H-9'!$B:$B,$B129,'Sched H-9'!$H:$H)</f>
        <v>0</v>
      </c>
      <c r="Q129" s="765">
        <f>SUMIF('Sched H-10'!$B:$B,$B129,'Sched H-10'!$J:$J)</f>
        <v>0</v>
      </c>
      <c r="R129" s="765">
        <f>SUMIF('Sched H-11'!$B:$B,$B129,'Sched H-11'!$I:$I)</f>
        <v>0</v>
      </c>
      <c r="S129" s="765">
        <f>SUMIF('Sched H-12'!$B:$B,$B129,'Sched H-12'!$G:$G)</f>
        <v>-497.96</v>
      </c>
      <c r="T129" s="765">
        <f>SUM(H129:S129)</f>
        <v>3784.5825635425999</v>
      </c>
      <c r="U129" s="766">
        <f>SUM(F129:S129)</f>
        <v>258554.74256354259</v>
      </c>
      <c r="W129" s="75">
        <f t="shared" si="0"/>
        <v>122</v>
      </c>
      <c r="X129" s="990">
        <v>189352.19999999998</v>
      </c>
      <c r="Y129" s="990">
        <v>65417.96</v>
      </c>
      <c r="Z129" s="947">
        <f t="shared" ref="Z129:Z134" si="95">+X129+Y129</f>
        <v>254770.15999999997</v>
      </c>
    </row>
    <row r="130" spans="1:26" ht="13.5" customHeight="1">
      <c r="A130" s="170">
        <f t="shared" si="77"/>
        <v>121</v>
      </c>
      <c r="B130" s="107">
        <v>902</v>
      </c>
      <c r="C130" s="11"/>
      <c r="D130" s="106" t="s">
        <v>929</v>
      </c>
      <c r="E130" s="98"/>
      <c r="F130" s="669">
        <f>HLOOKUP(Attach,$X$8:$AC$274,W130,FALSE)</f>
        <v>664994.84</v>
      </c>
      <c r="G130" s="782"/>
      <c r="H130" s="774">
        <f>SUMIF('Sched H-1'!$B:$B,$B130,'Sched H-1'!$K:$K)</f>
        <v>0</v>
      </c>
      <c r="I130" s="774">
        <f>SUMIF('Sched H-2'!$B:$B,$B130,'Sched H-2'!$K:$K)</f>
        <v>0</v>
      </c>
      <c r="J130" s="774">
        <f>-SUMIF('Sched H-3'!$B:$B,$B130,'Sched H-3'!$H:$H)</f>
        <v>0</v>
      </c>
      <c r="K130" s="774">
        <f>SUMIF('Sched H-4'!$B:$B,$B130,'Sched H-4'!$J:$J)</f>
        <v>57531.431417601765</v>
      </c>
      <c r="L130" s="774">
        <f>SUMIF('Sched H-5'!$B:$B,$B130,'Sched H-5'!$F:$F)</f>
        <v>0</v>
      </c>
      <c r="M130" s="774">
        <f>SUMIF('Sched H-6'!$B:$B,$B130,'Sched H-6'!$AC:$AC)</f>
        <v>96.391482000002725</v>
      </c>
      <c r="N130" s="774">
        <v>0</v>
      </c>
      <c r="O130" s="774">
        <v>0</v>
      </c>
      <c r="P130" s="774">
        <f>SUMIF('Sched H-9'!$B:$B,$B130,'Sched H-9'!$H:$H)</f>
        <v>0</v>
      </c>
      <c r="Q130" s="774">
        <f>SUMIF('Sched H-10'!$B:$B,$B130,'Sched H-10'!$J:$J)</f>
        <v>0</v>
      </c>
      <c r="R130" s="774">
        <f>SUMIF('Sched H-11'!$B:$B,$B130,'Sched H-11'!$I:$I)</f>
        <v>0</v>
      </c>
      <c r="S130" s="774">
        <f>SUMIF('Sched H-12'!$B:$B,$B130,'Sched H-12'!$G:$G)</f>
        <v>-8358.5300000000007</v>
      </c>
      <c r="T130" s="774">
        <f>SUM(H130:S130)</f>
        <v>49269.292899601773</v>
      </c>
      <c r="U130" s="775">
        <f>SUM(F130:S130)</f>
        <v>714264.13289960171</v>
      </c>
      <c r="W130" s="75">
        <f t="shared" si="0"/>
        <v>123</v>
      </c>
      <c r="X130" s="990">
        <v>370153.99999999994</v>
      </c>
      <c r="Y130" s="990">
        <v>294840.84000000003</v>
      </c>
      <c r="Z130" s="947">
        <f t="shared" si="95"/>
        <v>664994.84</v>
      </c>
    </row>
    <row r="131" spans="1:26">
      <c r="A131" s="170">
        <f t="shared" si="77"/>
        <v>122</v>
      </c>
      <c r="B131" s="107">
        <v>903</v>
      </c>
      <c r="C131" s="11"/>
      <c r="D131" s="106" t="s">
        <v>930</v>
      </c>
      <c r="E131" s="98"/>
      <c r="F131" s="669">
        <f>HLOOKUP(Attach,$X$8:$AC$274,W131,FALSE)</f>
        <v>5763196.2599999998</v>
      </c>
      <c r="G131" s="782"/>
      <c r="H131" s="774">
        <f>SUMIF('Sched H-1'!$B:$B,$B131,'Sched H-1'!$K:$K)</f>
        <v>-1639.61</v>
      </c>
      <c r="I131" s="774">
        <f>SUMIF('Sched H-2'!$B:$B,$B131,'Sched H-2'!$K:$K)</f>
        <v>-33996</v>
      </c>
      <c r="J131" s="774">
        <f>-SUMIF('Sched H-3'!$B:$B,$B131,'Sched H-3'!$H:$H)</f>
        <v>0</v>
      </c>
      <c r="K131" s="774">
        <f>SUMIF('Sched H-4'!$B:$B,$B131,'Sched H-4'!$J:$J)</f>
        <v>33570.852578830149</v>
      </c>
      <c r="L131" s="774">
        <f>SUMIF('Sched H-5'!$B:$B,$B131,'Sched H-5'!$F:$F)</f>
        <v>0</v>
      </c>
      <c r="M131" s="774">
        <f>SUMIF('Sched H-6'!$B:$B,$B131,'Sched H-6'!$AC:$AC)</f>
        <v>57487.366357000545</v>
      </c>
      <c r="N131" s="774">
        <v>0</v>
      </c>
      <c r="O131" s="774">
        <f>'Sched H-8'!J8</f>
        <v>243386.85</v>
      </c>
      <c r="P131" s="774">
        <f>SUMIF('Sched H-9'!$B:$B,$B131,'Sched H-9'!$H:$H)</f>
        <v>0</v>
      </c>
      <c r="Q131" s="774">
        <f>SUMIF('Sched H-10'!$B:$B,$B131,'Sched H-10'!$J:$J)</f>
        <v>0</v>
      </c>
      <c r="R131" s="774">
        <f>SUMIF('Sched H-11'!$B:$B,$B131,'Sched H-11'!$I:$I)</f>
        <v>0</v>
      </c>
      <c r="S131" s="774">
        <f>SUMIF('Sched H-12'!$B:$B,$B131,'Sched H-12'!$G:$G)</f>
        <v>-6196.1</v>
      </c>
      <c r="T131" s="774">
        <f>SUM(H131:S131)</f>
        <v>292613.35893583071</v>
      </c>
      <c r="U131" s="775">
        <f>SUM(F131:S131)</f>
        <v>6055809.61893583</v>
      </c>
      <c r="W131" s="75">
        <f t="shared" si="0"/>
        <v>124</v>
      </c>
      <c r="X131" s="990">
        <v>3771950.38</v>
      </c>
      <c r="Y131" s="990">
        <v>1991245.8800000001</v>
      </c>
      <c r="Z131" s="947">
        <f t="shared" si="95"/>
        <v>5763196.2599999998</v>
      </c>
    </row>
    <row r="132" spans="1:26">
      <c r="A132" s="170">
        <f t="shared" si="77"/>
        <v>123</v>
      </c>
      <c r="B132" s="107">
        <v>904</v>
      </c>
      <c r="C132" s="11"/>
      <c r="D132" s="106" t="s">
        <v>211</v>
      </c>
      <c r="E132" s="98"/>
      <c r="F132" s="669">
        <f>HLOOKUP(Attach,$X$8:$AC$274,W132,FALSE)</f>
        <v>519241.04000000004</v>
      </c>
      <c r="G132" s="782"/>
      <c r="H132" s="774">
        <f>SUMIF('Sched H-1'!$B:$B,$B132,'Sched H-1'!$K:$K)</f>
        <v>0</v>
      </c>
      <c r="I132" s="774">
        <f>SUMIF('Sched H-2'!$B:$B,$B132,'Sched H-2'!$K:$K)</f>
        <v>0</v>
      </c>
      <c r="J132" s="774">
        <f>-SUMIF('Sched H-3'!$B:$B,$B132,'Sched H-3'!$H:$H)</f>
        <v>0</v>
      </c>
      <c r="K132" s="774">
        <f>SUMIF('Sched H-4'!$B:$B,$B132,'Sched H-4'!$J:$J)</f>
        <v>0</v>
      </c>
      <c r="L132" s="774">
        <f>SUMIF('Sched H-5'!$B:$B,$B132,'Sched H-5'!$F:$F)</f>
        <v>0</v>
      </c>
      <c r="M132" s="774">
        <f>SUMIF('Sched H-6'!$B:$B,$B132,'Sched H-6'!$AC:$AC)</f>
        <v>0</v>
      </c>
      <c r="N132" s="774">
        <f ca="1">'Sched H-7'!F29</f>
        <v>145507.70297257428</v>
      </c>
      <c r="O132" s="774">
        <v>0</v>
      </c>
      <c r="P132" s="774">
        <f>SUMIF('Sched H-9'!$B:$B,$B132,'Sched H-9'!$H:$H)</f>
        <v>0</v>
      </c>
      <c r="Q132" s="774">
        <f>SUMIF('Sched H-10'!$B:$B,$B132,'Sched H-10'!$J:$J)</f>
        <v>0</v>
      </c>
      <c r="R132" s="774">
        <f>SUMIF('Sched H-11'!$B:$B,$B132,'Sched H-11'!$I:$I)</f>
        <v>0</v>
      </c>
      <c r="S132" s="774">
        <f>SUMIF('Sched H-12'!$B:$B,$B132,'Sched H-12'!$G:$G)</f>
        <v>0</v>
      </c>
      <c r="T132" s="774">
        <f ca="1">SUM(H132:S132)</f>
        <v>145507.70297257428</v>
      </c>
      <c r="U132" s="775">
        <f ca="1">SUM(F132:S132)</f>
        <v>664748.74297257431</v>
      </c>
      <c r="W132" s="75">
        <f t="shared" si="0"/>
        <v>125</v>
      </c>
      <c r="X132" s="990">
        <v>442974.23000000004</v>
      </c>
      <c r="Y132" s="990">
        <v>76266.81</v>
      </c>
      <c r="Z132" s="947">
        <f t="shared" si="95"/>
        <v>519241.04000000004</v>
      </c>
    </row>
    <row r="133" spans="1:26">
      <c r="A133" s="170">
        <f t="shared" si="77"/>
        <v>124</v>
      </c>
      <c r="B133" s="107">
        <v>905</v>
      </c>
      <c r="C133" s="11"/>
      <c r="D133" s="106" t="s">
        <v>931</v>
      </c>
      <c r="E133" s="98"/>
      <c r="F133" s="669">
        <f>HLOOKUP(Attach,$X$8:$AC$274,W133,FALSE)</f>
        <v>161857.26</v>
      </c>
      <c r="G133" s="782"/>
      <c r="H133" s="774">
        <f>SUMIF('Sched H-1'!$B:$B,$B133,'Sched H-1'!$K:$K)</f>
        <v>0</v>
      </c>
      <c r="I133" s="774">
        <f>SUMIF('Sched H-2'!$B:$B,$B133,'Sched H-2'!$K:$K)</f>
        <v>0</v>
      </c>
      <c r="J133" s="774">
        <f>-SUMIF('Sched H-3'!$B:$B,$B133,'Sched H-3'!$H:$H)</f>
        <v>0</v>
      </c>
      <c r="K133" s="774">
        <f>SUMIF('Sched H-4'!$B:$B,$B133,'Sched H-4'!$J:$J)</f>
        <v>1296.5419831265244</v>
      </c>
      <c r="L133" s="774">
        <f>SUMIF('Sched H-5'!$B:$B,$B133,'Sched H-5'!$F:$F)</f>
        <v>0</v>
      </c>
      <c r="M133" s="774">
        <f>SUMIF('Sched H-6'!$B:$B,$B133,'Sched H-6'!$AC:$AC)</f>
        <v>3108.5089399999997</v>
      </c>
      <c r="N133" s="774">
        <v>0</v>
      </c>
      <c r="O133" s="774">
        <v>0</v>
      </c>
      <c r="P133" s="774">
        <f>SUMIF('Sched H-9'!$B:$B,$B133,'Sched H-9'!$H:$H)</f>
        <v>0</v>
      </c>
      <c r="Q133" s="774">
        <f>SUMIF('Sched H-10'!$B:$B,$B133,'Sched H-10'!$J:$J)</f>
        <v>0</v>
      </c>
      <c r="R133" s="774">
        <f>SUMIF('Sched H-11'!$B:$B,$B133,'Sched H-11'!$I:$I)</f>
        <v>0</v>
      </c>
      <c r="S133" s="774">
        <f>SUMIF('Sched H-12'!$B:$B,$B133,'Sched H-12'!$G:$G)</f>
        <v>-353.77</v>
      </c>
      <c r="T133" s="777">
        <f>SUM(H133:S133)</f>
        <v>4051.2809231265242</v>
      </c>
      <c r="U133" s="778">
        <f>SUM(F133:S133)</f>
        <v>165908.54092312654</v>
      </c>
      <c r="W133" s="75">
        <f t="shared" si="0"/>
        <v>126</v>
      </c>
      <c r="X133" s="991">
        <v>117585.31999999999</v>
      </c>
      <c r="Y133" s="991">
        <v>44271.94</v>
      </c>
      <c r="Z133" s="946">
        <f t="shared" si="95"/>
        <v>161857.26</v>
      </c>
    </row>
    <row r="134" spans="1:26">
      <c r="A134" s="170">
        <f t="shared" si="77"/>
        <v>125</v>
      </c>
      <c r="B134" s="105"/>
      <c r="C134" s="11" t="s">
        <v>172</v>
      </c>
      <c r="D134" s="98"/>
      <c r="E134" s="98"/>
      <c r="F134" s="785">
        <f>SUM(F129:F133)</f>
        <v>7364059.5599999996</v>
      </c>
      <c r="G134" s="783"/>
      <c r="H134" s="785">
        <f t="shared" ref="H134" si="96">SUM(H129:H133)</f>
        <v>-1639.61</v>
      </c>
      <c r="I134" s="785">
        <f t="shared" ref="I134" si="97">SUM(I129:I133)</f>
        <v>-33996</v>
      </c>
      <c r="J134" s="785">
        <f>SUM(J129:J133)</f>
        <v>0</v>
      </c>
      <c r="K134" s="785">
        <f>SUM(K129:K133)</f>
        <v>93478.27047310106</v>
      </c>
      <c r="L134" s="785">
        <f t="shared" ref="L134" si="98">SUM(L129:L133)</f>
        <v>0</v>
      </c>
      <c r="M134" s="785">
        <f>SUM(M129:M133)</f>
        <v>63895.364849000529</v>
      </c>
      <c r="N134" s="785">
        <f t="shared" ref="N134:P134" ca="1" si="99">SUM(N129:N133)</f>
        <v>145507.70297257428</v>
      </c>
      <c r="O134" s="785">
        <f t="shared" si="99"/>
        <v>243386.85</v>
      </c>
      <c r="P134" s="785">
        <f t="shared" si="99"/>
        <v>0</v>
      </c>
      <c r="Q134" s="785">
        <f t="shared" ref="Q134:U134" si="100">SUM(Q129:Q133)</f>
        <v>0</v>
      </c>
      <c r="R134" s="785">
        <f t="shared" si="100"/>
        <v>0</v>
      </c>
      <c r="S134" s="785">
        <f t="shared" si="100"/>
        <v>-15406.36</v>
      </c>
      <c r="T134" s="785">
        <f t="shared" ca="1" si="100"/>
        <v>495226.21829467587</v>
      </c>
      <c r="U134" s="785">
        <f t="shared" ca="1" si="100"/>
        <v>7859285.7782946751</v>
      </c>
      <c r="W134" s="75">
        <f t="shared" si="0"/>
        <v>127</v>
      </c>
      <c r="X134" s="1474">
        <f t="shared" ref="X134" si="101">SUM(X129:X133)</f>
        <v>4892016.1300000008</v>
      </c>
      <c r="Y134" s="1474">
        <f>SUM(Y129:Y133)</f>
        <v>2472043.4300000002</v>
      </c>
      <c r="Z134" s="937">
        <f t="shared" si="95"/>
        <v>7364059.5600000005</v>
      </c>
    </row>
    <row r="135" spans="1:26">
      <c r="A135" s="170">
        <f t="shared" si="77"/>
        <v>126</v>
      </c>
      <c r="B135" s="96"/>
      <c r="C135" s="34"/>
      <c r="D135" s="98"/>
      <c r="E135" s="98"/>
      <c r="F135" s="624"/>
      <c r="G135" s="624"/>
      <c r="H135" s="624"/>
      <c r="I135" s="624"/>
      <c r="J135" s="624"/>
      <c r="K135" s="624"/>
      <c r="L135" s="624"/>
      <c r="M135" s="624"/>
      <c r="N135" s="624"/>
      <c r="O135" s="624"/>
      <c r="P135" s="624"/>
      <c r="Q135" s="624"/>
      <c r="R135" s="624"/>
      <c r="S135" s="624"/>
      <c r="T135" s="624"/>
      <c r="U135" s="624"/>
      <c r="W135" s="75">
        <f t="shared" si="0"/>
        <v>128</v>
      </c>
      <c r="X135" s="474"/>
      <c r="Y135" s="474"/>
    </row>
    <row r="136" spans="1:26">
      <c r="A136" s="170">
        <f t="shared" si="77"/>
        <v>127</v>
      </c>
      <c r="B136" s="105"/>
      <c r="C136" s="34" t="s">
        <v>387</v>
      </c>
      <c r="D136" s="98"/>
      <c r="E136" s="98"/>
      <c r="F136" s="624"/>
      <c r="G136" s="624"/>
      <c r="H136" s="624"/>
      <c r="I136" s="624"/>
      <c r="J136" s="624"/>
      <c r="K136" s="624"/>
      <c r="L136" s="624"/>
      <c r="M136" s="624"/>
      <c r="N136" s="624"/>
      <c r="O136" s="624"/>
      <c r="P136" s="624"/>
      <c r="Q136" s="624"/>
      <c r="R136" s="624"/>
      <c r="S136" s="624"/>
      <c r="T136" s="624"/>
      <c r="U136" s="624"/>
      <c r="W136" s="75">
        <f t="shared" si="0"/>
        <v>129</v>
      </c>
      <c r="X136" s="474"/>
      <c r="Y136" s="474"/>
    </row>
    <row r="137" spans="1:26">
      <c r="A137" s="170">
        <f t="shared" si="77"/>
        <v>128</v>
      </c>
      <c r="B137" s="105"/>
      <c r="C137" s="34"/>
      <c r="D137" s="67" t="s">
        <v>163</v>
      </c>
      <c r="E137" s="98"/>
      <c r="F137" s="624"/>
      <c r="G137" s="624"/>
      <c r="H137" s="624"/>
      <c r="I137" s="624"/>
      <c r="J137" s="624"/>
      <c r="K137" s="624"/>
      <c r="L137" s="624"/>
      <c r="M137" s="624"/>
      <c r="N137" s="624"/>
      <c r="O137" s="624"/>
      <c r="P137" s="624"/>
      <c r="Q137" s="624"/>
      <c r="R137" s="624"/>
      <c r="S137" s="624"/>
      <c r="T137" s="624"/>
      <c r="U137" s="624"/>
      <c r="W137" s="75">
        <f t="shared" ref="W137:W173" si="102">1+W136</f>
        <v>130</v>
      </c>
      <c r="X137" s="474"/>
      <c r="Y137" s="474"/>
    </row>
    <row r="138" spans="1:26">
      <c r="A138" s="170">
        <f t="shared" si="77"/>
        <v>129</v>
      </c>
      <c r="B138" s="107">
        <v>907</v>
      </c>
      <c r="C138" s="34"/>
      <c r="D138" s="98" t="s">
        <v>191</v>
      </c>
      <c r="E138" s="98"/>
      <c r="F138" s="613">
        <f>HLOOKUP(Attach,$X$8:$AC$274,W138,FALSE)</f>
        <v>101887.28</v>
      </c>
      <c r="G138" s="779"/>
      <c r="H138" s="765">
        <f>SUMIF('Sched H-1'!$B:$B,$B138,'Sched H-1'!$K:$K)</f>
        <v>0</v>
      </c>
      <c r="I138" s="765">
        <f>SUMIF('Sched H-2'!$B:$B,$B138,'Sched H-2'!$K:$K)</f>
        <v>0</v>
      </c>
      <c r="J138" s="765">
        <f>-SUMIF('Sched H-3'!$B:$B,$B138,'Sched H-3'!$H:$H)</f>
        <v>0</v>
      </c>
      <c r="K138" s="765">
        <f>SUMIF('Sched H-4'!$B:$B,$B138,'Sched H-4'!$J:$J)</f>
        <v>0</v>
      </c>
      <c r="L138" s="765">
        <f>SUMIF('Sched H-5'!$B:$B,$B138,'Sched H-5'!$F:$F)</f>
        <v>0</v>
      </c>
      <c r="M138" s="765">
        <f>SUMIF('Sched H-6'!$B:$B,$B138,'Sched H-6'!$AC:$AC)</f>
        <v>1428.2525600000226</v>
      </c>
      <c r="N138" s="765">
        <v>0</v>
      </c>
      <c r="O138" s="765">
        <v>0</v>
      </c>
      <c r="P138" s="765">
        <f>SUMIF('Sched H-9'!$B:$B,$B138,'Sched H-9'!$H:$H)</f>
        <v>0</v>
      </c>
      <c r="Q138" s="765">
        <f>SUMIF('Sched H-10'!$B:$B,$B138,'Sched H-10'!$J:$J)</f>
        <v>0</v>
      </c>
      <c r="R138" s="765">
        <f>SUMIF('Sched H-11'!$B:$B,$B138,'Sched H-11'!$I:$I)</f>
        <v>0</v>
      </c>
      <c r="S138" s="765">
        <f>SUMIF('Sched H-12'!$B:$B,$B138,'Sched H-12'!$G:$G)</f>
        <v>-5.31</v>
      </c>
      <c r="T138" s="765">
        <f>SUM(H138:S138)</f>
        <v>1422.9425600000227</v>
      </c>
      <c r="U138" s="766">
        <f>SUM(F138:S138)</f>
        <v>103310.22256000002</v>
      </c>
      <c r="W138" s="75">
        <f t="shared" si="102"/>
        <v>131</v>
      </c>
      <c r="X138" s="990">
        <v>71658.48</v>
      </c>
      <c r="Y138" s="990">
        <v>30228.800000000003</v>
      </c>
      <c r="Z138" s="947">
        <f>+X138+Y138</f>
        <v>101887.28</v>
      </c>
    </row>
    <row r="139" spans="1:26">
      <c r="A139" s="170">
        <f t="shared" si="77"/>
        <v>130</v>
      </c>
      <c r="B139" s="107">
        <v>908</v>
      </c>
      <c r="C139" s="97"/>
      <c r="D139" s="98" t="s">
        <v>932</v>
      </c>
      <c r="E139" s="98"/>
      <c r="F139" s="669">
        <f>HLOOKUP(Attach,$X$8:$AC$274,W139,FALSE)</f>
        <v>132163.63</v>
      </c>
      <c r="G139" s="782"/>
      <c r="H139" s="774">
        <f>SUMIF('Sched H-1'!$B:$B,$B139,'Sched H-1'!$K:$K)</f>
        <v>0</v>
      </c>
      <c r="I139" s="774">
        <f>SUMIF('Sched H-2'!$B:$B,$B139,'Sched H-2'!$K:$K)</f>
        <v>-409.04999999999995</v>
      </c>
      <c r="J139" s="774">
        <f>-SUMIF('Sched H-3'!$B:$B,$B139,'Sched H-3'!$H:$H)</f>
        <v>0</v>
      </c>
      <c r="K139" s="774">
        <f>SUMIF('Sched H-4'!$B:$B,$B139,'Sched H-4'!$J:$J)</f>
        <v>0</v>
      </c>
      <c r="L139" s="774">
        <f>SUMIF('Sched H-5'!$B:$B,$B139,'Sched H-5'!$F:$F)</f>
        <v>0</v>
      </c>
      <c r="M139" s="774">
        <f>SUMIF('Sched H-6'!$B:$B,$B139,'Sched H-6'!$AC:$AC)</f>
        <v>-394.57711500002188</v>
      </c>
      <c r="N139" s="774">
        <v>0</v>
      </c>
      <c r="O139" s="774">
        <v>0</v>
      </c>
      <c r="P139" s="774">
        <f>SUMIF('Sched H-9'!$B:$B,$B139,'Sched H-9'!$H:$H)</f>
        <v>0</v>
      </c>
      <c r="Q139" s="774">
        <f>SUMIF('Sched H-10'!$B:$B,$B139,'Sched H-10'!$J:$J)</f>
        <v>0</v>
      </c>
      <c r="R139" s="774">
        <f>SUMIF('Sched H-11'!$B:$B,$B139,'Sched H-11'!$I:$I)</f>
        <v>0</v>
      </c>
      <c r="S139" s="774">
        <f>SUMIF('Sched H-12'!$B:$B,$B139,'Sched H-12'!$G:$G)</f>
        <v>-46.11</v>
      </c>
      <c r="T139" s="774">
        <f>SUM(H139:S139)</f>
        <v>-849.73711500002184</v>
      </c>
      <c r="U139" s="775">
        <f>SUM(F139:S139)</f>
        <v>131313.89288500001</v>
      </c>
      <c r="W139" s="75">
        <f t="shared" si="102"/>
        <v>132</v>
      </c>
      <c r="X139" s="990">
        <v>90198.430000000008</v>
      </c>
      <c r="Y139" s="990">
        <v>41965.2</v>
      </c>
      <c r="Z139" s="947">
        <f>+X139+Y139</f>
        <v>132163.63</v>
      </c>
    </row>
    <row r="140" spans="1:26">
      <c r="A140" s="170">
        <f t="shared" si="77"/>
        <v>131</v>
      </c>
      <c r="B140" s="107">
        <v>909</v>
      </c>
      <c r="C140" s="97"/>
      <c r="D140" s="98" t="s">
        <v>917</v>
      </c>
      <c r="E140" s="98"/>
      <c r="F140" s="669">
        <f>HLOOKUP(Attach,$X$8:$AC$274,W140,FALSE)</f>
        <v>17849.540000000005</v>
      </c>
      <c r="G140" s="782"/>
      <c r="H140" s="774">
        <f>SUMIF('Sched H-1'!$B:$B,$B140,'Sched H-1'!$K:$K)</f>
        <v>0</v>
      </c>
      <c r="I140" s="774">
        <f>SUMIF('Sched H-2'!$B:$B,$B140,'Sched H-2'!$K:$K)</f>
        <v>-17192.93</v>
      </c>
      <c r="J140" s="774">
        <f>-SUMIF('Sched H-3'!$B:$B,$B140,'Sched H-3'!$H:$H)</f>
        <v>0</v>
      </c>
      <c r="K140" s="774">
        <f>SUMIF('Sched H-4'!$B:$B,$B140,'Sched H-4'!$J:$J)</f>
        <v>0</v>
      </c>
      <c r="L140" s="774">
        <f>SUMIF('Sched H-5'!$B:$B,$B140,'Sched H-5'!$F:$F)</f>
        <v>0</v>
      </c>
      <c r="M140" s="774">
        <f>SUMIF('Sched H-6'!$B:$B,$B140,'Sched H-6'!$AC:$AC)</f>
        <v>8.3145999999997002</v>
      </c>
      <c r="N140" s="774">
        <v>0</v>
      </c>
      <c r="O140" s="774">
        <v>0</v>
      </c>
      <c r="P140" s="774">
        <f>SUMIF('Sched H-9'!$B:$B,$B140,'Sched H-9'!$H:$H)</f>
        <v>0</v>
      </c>
      <c r="Q140" s="774">
        <f>SUMIF('Sched H-10'!$B:$B,$B140,'Sched H-10'!$J:$J)</f>
        <v>0</v>
      </c>
      <c r="R140" s="774">
        <f>SUMIF('Sched H-11'!$B:$B,$B140,'Sched H-11'!$I:$I)</f>
        <v>0</v>
      </c>
      <c r="S140" s="774">
        <f>SUMIF('Sched H-12'!$B:$B,$B140,'Sched H-12'!$G:$G)</f>
        <v>0</v>
      </c>
      <c r="T140" s="774">
        <f>SUM(H140:S140)</f>
        <v>-17184.615400000002</v>
      </c>
      <c r="U140" s="775">
        <f>SUM(F140:S140)</f>
        <v>664.92460000000392</v>
      </c>
      <c r="W140" s="75">
        <f t="shared" si="102"/>
        <v>133</v>
      </c>
      <c r="X140" s="990">
        <v>14887.190000000002</v>
      </c>
      <c r="Y140" s="990">
        <v>2962.3500000000013</v>
      </c>
      <c r="Z140" s="947">
        <f>+X140+Y140</f>
        <v>17849.540000000005</v>
      </c>
    </row>
    <row r="141" spans="1:26">
      <c r="A141" s="170">
        <f t="shared" si="77"/>
        <v>132</v>
      </c>
      <c r="B141" s="107">
        <v>910</v>
      </c>
      <c r="C141" s="97"/>
      <c r="D141" s="98" t="s">
        <v>918</v>
      </c>
      <c r="E141" s="98"/>
      <c r="F141" s="669">
        <f>HLOOKUP(Attach,$X$8:$AC$274,W141,FALSE)</f>
        <v>3856.7599999999998</v>
      </c>
      <c r="G141" s="782"/>
      <c r="H141" s="774">
        <f>SUMIF('Sched H-1'!$B:$B,$B141,'Sched H-1'!$K:$K)</f>
        <v>0</v>
      </c>
      <c r="I141" s="774">
        <f>SUMIF('Sched H-2'!$B:$B,$B141,'Sched H-2'!$K:$K)</f>
        <v>-16.23</v>
      </c>
      <c r="J141" s="774">
        <f>-SUMIF('Sched H-3'!$B:$B,$B141,'Sched H-3'!$H:$H)</f>
        <v>0</v>
      </c>
      <c r="K141" s="774">
        <f>SUMIF('Sched H-4'!$B:$B,$B141,'Sched H-4'!$J:$J)</f>
        <v>0</v>
      </c>
      <c r="L141" s="774">
        <f>SUMIF('Sched H-5'!$B:$B,$B141,'Sched H-5'!$F:$F)</f>
        <v>0</v>
      </c>
      <c r="M141" s="774">
        <f>SUMIF('Sched H-6'!$B:$B,$B141,'Sched H-6'!$AC:$AC)</f>
        <v>-27.78806899999995</v>
      </c>
      <c r="N141" s="774">
        <v>0</v>
      </c>
      <c r="O141" s="774">
        <v>0</v>
      </c>
      <c r="P141" s="774">
        <f>SUMIF('Sched H-9'!$B:$B,$B141,'Sched H-9'!$H:$H)</f>
        <v>0</v>
      </c>
      <c r="Q141" s="774">
        <f>SUMIF('Sched H-10'!$B:$B,$B141,'Sched H-10'!$J:$J)</f>
        <v>0</v>
      </c>
      <c r="R141" s="774">
        <f>SUMIF('Sched H-11'!$B:$B,$B141,'Sched H-11'!$I:$I)</f>
        <v>0</v>
      </c>
      <c r="S141" s="774">
        <f>SUMIF('Sched H-12'!$B:$B,$B141,'Sched H-12'!$G:$G)</f>
        <v>-0.14000000000000001</v>
      </c>
      <c r="T141" s="777">
        <f>SUM(H141:S141)</f>
        <v>-44.158068999999955</v>
      </c>
      <c r="U141" s="778">
        <f>SUM(F141:S141)</f>
        <v>3812.6019309999997</v>
      </c>
      <c r="W141" s="75">
        <f t="shared" si="102"/>
        <v>134</v>
      </c>
      <c r="X141" s="991">
        <v>3136.97</v>
      </c>
      <c r="Y141" s="991">
        <v>719.79</v>
      </c>
      <c r="Z141" s="946">
        <f>+X141+Y141</f>
        <v>3856.7599999999998</v>
      </c>
    </row>
    <row r="142" spans="1:26">
      <c r="A142" s="170">
        <f t="shared" si="77"/>
        <v>133</v>
      </c>
      <c r="B142" s="105"/>
      <c r="C142" s="11" t="s">
        <v>175</v>
      </c>
      <c r="D142" s="98"/>
      <c r="E142" s="98"/>
      <c r="F142" s="785">
        <f>ROUND(SUM(F138:F141),0)</f>
        <v>255757</v>
      </c>
      <c r="G142" s="783"/>
      <c r="H142" s="785">
        <f t="shared" ref="H142" si="103">SUM(H138:H141)</f>
        <v>0</v>
      </c>
      <c r="I142" s="785">
        <f t="shared" ref="I142" si="104">SUM(I138:I141)</f>
        <v>-17618.21</v>
      </c>
      <c r="J142" s="785">
        <f>SUM(J138:J141)</f>
        <v>0</v>
      </c>
      <c r="K142" s="785">
        <f>SUM(K138:K141)</f>
        <v>0</v>
      </c>
      <c r="L142" s="785">
        <f t="shared" ref="L142" si="105">SUM(L138:L141)</f>
        <v>0</v>
      </c>
      <c r="M142" s="785">
        <f>SUM(M138:M141)</f>
        <v>1014.2019760000005</v>
      </c>
      <c r="N142" s="785">
        <f t="shared" ref="N142:P142" si="106">SUM(N138:N141)</f>
        <v>0</v>
      </c>
      <c r="O142" s="785">
        <f t="shared" si="106"/>
        <v>0</v>
      </c>
      <c r="P142" s="785">
        <f t="shared" si="106"/>
        <v>0</v>
      </c>
      <c r="Q142" s="785">
        <f t="shared" ref="Q142:U142" si="107">SUM(Q138:Q141)</f>
        <v>0</v>
      </c>
      <c r="R142" s="785">
        <f t="shared" si="107"/>
        <v>0</v>
      </c>
      <c r="S142" s="785">
        <f t="shared" si="107"/>
        <v>-51.56</v>
      </c>
      <c r="T142" s="785">
        <f t="shared" si="107"/>
        <v>-16655.568024000004</v>
      </c>
      <c r="U142" s="785">
        <f t="shared" si="107"/>
        <v>239101.64197600004</v>
      </c>
      <c r="W142" s="75">
        <f t="shared" si="102"/>
        <v>135</v>
      </c>
      <c r="X142" s="1474">
        <f t="shared" ref="X142" si="108">SUM(X138:X141)</f>
        <v>179881.07</v>
      </c>
      <c r="Y142" s="1474">
        <f>SUM(Y138:Y141)</f>
        <v>75876.14</v>
      </c>
      <c r="Z142" s="937">
        <f>+X142+Y142</f>
        <v>255757.21000000002</v>
      </c>
    </row>
    <row r="143" spans="1:26">
      <c r="A143" s="170">
        <f t="shared" si="77"/>
        <v>134</v>
      </c>
      <c r="B143" s="105"/>
      <c r="C143" s="97"/>
      <c r="D143" s="98"/>
      <c r="E143" s="98"/>
      <c r="F143" s="624"/>
      <c r="G143" s="624"/>
      <c r="H143" s="624"/>
      <c r="I143" s="624"/>
      <c r="J143" s="624"/>
      <c r="K143" s="624"/>
      <c r="L143" s="624"/>
      <c r="M143" s="624"/>
      <c r="N143" s="624"/>
      <c r="O143" s="624"/>
      <c r="P143" s="624"/>
      <c r="Q143" s="624"/>
      <c r="R143" s="624"/>
      <c r="S143" s="624"/>
      <c r="T143" s="624"/>
      <c r="U143" s="624"/>
      <c r="W143" s="75">
        <f t="shared" si="102"/>
        <v>136</v>
      </c>
      <c r="X143" s="474"/>
      <c r="Y143" s="474"/>
    </row>
    <row r="144" spans="1:26">
      <c r="A144" s="170">
        <f t="shared" si="77"/>
        <v>135</v>
      </c>
      <c r="B144" s="105"/>
      <c r="C144" s="34" t="s">
        <v>110</v>
      </c>
      <c r="D144" s="98"/>
      <c r="E144" s="98"/>
      <c r="F144" s="624"/>
      <c r="G144" s="624"/>
      <c r="H144" s="624"/>
      <c r="I144" s="624"/>
      <c r="J144" s="624"/>
      <c r="K144" s="624"/>
      <c r="L144" s="624"/>
      <c r="M144" s="624"/>
      <c r="N144" s="624"/>
      <c r="O144" s="624"/>
      <c r="P144" s="624"/>
      <c r="Q144" s="624"/>
      <c r="R144" s="624"/>
      <c r="S144" s="624"/>
      <c r="T144" s="624"/>
      <c r="U144" s="624"/>
      <c r="W144" s="75">
        <f t="shared" si="102"/>
        <v>137</v>
      </c>
      <c r="X144" s="474"/>
      <c r="Y144" s="474"/>
    </row>
    <row r="145" spans="1:26">
      <c r="A145" s="170">
        <f t="shared" si="77"/>
        <v>136</v>
      </c>
      <c r="B145" s="105"/>
      <c r="C145" s="34"/>
      <c r="D145" s="67" t="s">
        <v>163</v>
      </c>
      <c r="E145" s="98"/>
      <c r="F145" s="624"/>
      <c r="G145" s="624"/>
      <c r="H145" s="624"/>
      <c r="I145" s="624"/>
      <c r="J145" s="624"/>
      <c r="K145" s="624"/>
      <c r="L145" s="624"/>
      <c r="M145" s="624"/>
      <c r="N145" s="624"/>
      <c r="O145" s="624"/>
      <c r="P145" s="624"/>
      <c r="Q145" s="624"/>
      <c r="R145" s="624"/>
      <c r="S145" s="624"/>
      <c r="T145" s="624"/>
      <c r="U145" s="626"/>
      <c r="W145" s="75">
        <f t="shared" si="102"/>
        <v>138</v>
      </c>
      <c r="X145" s="474"/>
      <c r="Y145" s="474"/>
    </row>
    <row r="146" spans="1:26">
      <c r="A146" s="170">
        <f t="shared" si="77"/>
        <v>137</v>
      </c>
      <c r="B146" s="107">
        <v>911</v>
      </c>
      <c r="C146" s="34"/>
      <c r="D146" s="98" t="s">
        <v>191</v>
      </c>
      <c r="E146" s="98"/>
      <c r="F146" s="613">
        <f>HLOOKUP(Attach,$X$8:$AC$274,W146,FALSE)</f>
        <v>0</v>
      </c>
      <c r="G146" s="779"/>
      <c r="H146" s="765">
        <f>SUMIF('Sched H-1'!$B:$B,$B146,'Sched H-1'!$K:$K)</f>
        <v>0</v>
      </c>
      <c r="I146" s="765">
        <f>SUMIF('Sched H-2'!$B:$B,$B146,'Sched H-2'!$K:$K)</f>
        <v>0</v>
      </c>
      <c r="J146" s="765">
        <f>-SUMIF('Sched H-3'!$B:$B,$B146,'Sched H-3'!$H:$H)</f>
        <v>0</v>
      </c>
      <c r="K146" s="765">
        <f>SUMIF('Sched H-4'!$B:$B,$B146,'Sched H-4'!$J:$J)</f>
        <v>0</v>
      </c>
      <c r="L146" s="765">
        <f>SUMIF('Sched H-5'!$B:$B,$B146,'Sched H-5'!$F:$F)</f>
        <v>0</v>
      </c>
      <c r="M146" s="765">
        <f>SUMIF('Sched H-6'!$B:$B,$B146,'Sched H-6'!$AC:$AC)</f>
        <v>0</v>
      </c>
      <c r="N146" s="765">
        <v>0</v>
      </c>
      <c r="O146" s="765">
        <v>0</v>
      </c>
      <c r="P146" s="765">
        <f>SUMIF('Sched H-9'!$B:$B,$B146,'Sched H-9'!$H:$H)</f>
        <v>0</v>
      </c>
      <c r="Q146" s="765">
        <f>SUMIF('Sched H-10'!$B:$B,$B146,'Sched H-10'!$J:$J)</f>
        <v>0</v>
      </c>
      <c r="R146" s="765">
        <f>SUMIF('Sched H-11'!$B:$B,$B146,'Sched H-11'!$I:$I)</f>
        <v>0</v>
      </c>
      <c r="S146" s="765">
        <f>SUMIF('Sched H-12'!$B:$B,$B146,'Sched H-12'!$G:$G)</f>
        <v>0</v>
      </c>
      <c r="T146" s="765">
        <f>SUM(H146:S146)</f>
        <v>0</v>
      </c>
      <c r="U146" s="766">
        <f>SUM(F146:S146)</f>
        <v>0</v>
      </c>
      <c r="W146" s="75">
        <f t="shared" si="102"/>
        <v>139</v>
      </c>
      <c r="X146" s="990">
        <v>0</v>
      </c>
      <c r="Y146" s="990">
        <v>0</v>
      </c>
      <c r="Z146" s="947">
        <f>+X146+Y146</f>
        <v>0</v>
      </c>
    </row>
    <row r="147" spans="1:26">
      <c r="A147" s="170">
        <f t="shared" si="77"/>
        <v>138</v>
      </c>
      <c r="B147" s="107">
        <v>912</v>
      </c>
      <c r="C147" s="97"/>
      <c r="D147" s="98" t="s">
        <v>933</v>
      </c>
      <c r="E147" s="98"/>
      <c r="F147" s="669">
        <f>HLOOKUP(Attach,$X$8:$AC$274,W147,FALSE)</f>
        <v>352923.03</v>
      </c>
      <c r="G147" s="782"/>
      <c r="H147" s="774">
        <f>SUMIF('Sched H-1'!$B:$B,$B147,'Sched H-1'!$K:$K)</f>
        <v>0</v>
      </c>
      <c r="I147" s="774">
        <f>SUMIF('Sched H-2'!$B:$B,$B147,'Sched H-2'!$K:$K)</f>
        <v>-8538.0999999999985</v>
      </c>
      <c r="J147" s="774">
        <f>-SUMIF('Sched H-3'!$B:$B,$B147,'Sched H-3'!$H:$H)</f>
        <v>0</v>
      </c>
      <c r="K147" s="774">
        <f>SUMIF('Sched H-4'!$B:$B,$B147,'Sched H-4'!$J:$J)</f>
        <v>931.64212715683243</v>
      </c>
      <c r="L147" s="774">
        <f>SUMIF('Sched H-5'!$B:$B,$B147,'Sched H-5'!$F:$F)</f>
        <v>0</v>
      </c>
      <c r="M147" s="774">
        <f>SUMIF('Sched H-6'!$B:$B,$B147,'Sched H-6'!$AC:$AC)</f>
        <v>-1133.5805859999964</v>
      </c>
      <c r="N147" s="774">
        <v>0</v>
      </c>
      <c r="O147" s="774">
        <v>0</v>
      </c>
      <c r="P147" s="774">
        <f>SUMIF('Sched H-9'!$B:$B,$B147,'Sched H-9'!$H:$H)</f>
        <v>0</v>
      </c>
      <c r="Q147" s="774">
        <f>SUMIF('Sched H-10'!$B:$B,$B147,'Sched H-10'!$J:$J)</f>
        <v>0</v>
      </c>
      <c r="R147" s="774">
        <f>SUMIF('Sched H-11'!$B:$B,$B147,'Sched H-11'!$I:$I)</f>
        <v>0</v>
      </c>
      <c r="S147" s="774">
        <f>SUMIF('Sched H-12'!$B:$B,$B147,'Sched H-12'!$G:$G)</f>
        <v>-350.3</v>
      </c>
      <c r="T147" s="774">
        <f>SUM(H147:S147)</f>
        <v>-9090.3384588431618</v>
      </c>
      <c r="U147" s="775">
        <f>SUM(F147:S147)</f>
        <v>343832.69154115691</v>
      </c>
      <c r="W147" s="75">
        <f t="shared" si="102"/>
        <v>140</v>
      </c>
      <c r="X147" s="990">
        <v>194572</v>
      </c>
      <c r="Y147" s="990">
        <v>158351.03</v>
      </c>
      <c r="Z147" s="947">
        <f>+X147+Y147</f>
        <v>352923.03</v>
      </c>
    </row>
    <row r="148" spans="1:26">
      <c r="A148" s="170">
        <f t="shared" si="77"/>
        <v>139</v>
      </c>
      <c r="B148" s="107">
        <v>913</v>
      </c>
      <c r="C148" s="97"/>
      <c r="D148" s="98" t="s">
        <v>177</v>
      </c>
      <c r="E148" s="98"/>
      <c r="F148" s="669">
        <f>HLOOKUP(Attach,$X$8:$AC$274,W148,FALSE)</f>
        <v>208274.19999999998</v>
      </c>
      <c r="G148" s="782"/>
      <c r="H148" s="774">
        <f>SUMIF('Sched H-1'!$B:$B,$B148,'Sched H-1'!$K:$K)</f>
        <v>0</v>
      </c>
      <c r="I148" s="774">
        <f>SUMIF('Sched H-2'!$B:$B,$B148,'Sched H-2'!$K:$K)</f>
        <v>-206975.50000000003</v>
      </c>
      <c r="J148" s="774">
        <f>-SUMIF('Sched H-3'!$B:$B,$B148,'Sched H-3'!$H:$H)</f>
        <v>0</v>
      </c>
      <c r="K148" s="774">
        <f>SUMIF('Sched H-4'!$B:$B,$B148,'Sched H-4'!$J:$J)</f>
        <v>299.73592383737787</v>
      </c>
      <c r="L148" s="774">
        <f>SUMIF('Sched H-5'!$B:$B,$B148,'Sched H-5'!$F:$F)</f>
        <v>0</v>
      </c>
      <c r="M148" s="774">
        <f>SUMIF('Sched H-6'!$B:$B,$B148,'Sched H-6'!$AC:$AC)</f>
        <v>81.459187000000384</v>
      </c>
      <c r="N148" s="774">
        <v>0</v>
      </c>
      <c r="O148" s="774">
        <v>0</v>
      </c>
      <c r="P148" s="774">
        <f>SUMIF('Sched H-9'!$B:$B,$B148,'Sched H-9'!$H:$H)</f>
        <v>0</v>
      </c>
      <c r="Q148" s="774">
        <f>SUMIF('Sched H-10'!$B:$B,$B148,'Sched H-10'!$J:$J)</f>
        <v>0</v>
      </c>
      <c r="R148" s="774">
        <f>SUMIF('Sched H-11'!$B:$B,$B148,'Sched H-11'!$I:$I)</f>
        <v>0</v>
      </c>
      <c r="S148" s="774">
        <f>SUMIF('Sched H-12'!$B:$B,$B148,'Sched H-12'!$G:$G)</f>
        <v>0</v>
      </c>
      <c r="T148" s="774">
        <f>SUM(H148:S148)</f>
        <v>-206594.30488916265</v>
      </c>
      <c r="U148" s="775">
        <f>SUM(F148:S148)</f>
        <v>1679.8951108373317</v>
      </c>
      <c r="W148" s="75">
        <f t="shared" si="102"/>
        <v>141</v>
      </c>
      <c r="X148" s="990">
        <v>102047.41999999998</v>
      </c>
      <c r="Y148" s="990">
        <v>106226.78</v>
      </c>
      <c r="Z148" s="947">
        <f>+X148+Y148</f>
        <v>208274.19999999998</v>
      </c>
    </row>
    <row r="149" spans="1:26">
      <c r="A149" s="170">
        <f t="shared" si="77"/>
        <v>140</v>
      </c>
      <c r="B149" s="107">
        <v>916</v>
      </c>
      <c r="C149" s="97"/>
      <c r="D149" s="98" t="s">
        <v>463</v>
      </c>
      <c r="E149" s="98"/>
      <c r="F149" s="669">
        <f>HLOOKUP(Attach,$X$8:$AC$274,W149,FALSE)</f>
        <v>326.2700000000001</v>
      </c>
      <c r="G149" s="782"/>
      <c r="H149" s="774">
        <f>SUMIF('Sched H-1'!$B:$B,$B149,'Sched H-1'!$K:$K)</f>
        <v>0</v>
      </c>
      <c r="I149" s="774">
        <f>SUMIF('Sched H-2'!$B:$B,$B149,'Sched H-2'!$K:$K)</f>
        <v>0</v>
      </c>
      <c r="J149" s="774">
        <f>-SUMIF('Sched H-3'!$B:$B,$B149,'Sched H-3'!$H:$H)</f>
        <v>0</v>
      </c>
      <c r="K149" s="774">
        <f>SUMIF('Sched H-4'!$B:$B,$B149,'Sched H-4'!$J:$J)</f>
        <v>0</v>
      </c>
      <c r="L149" s="774">
        <f>SUMIF('Sched H-5'!$B:$B,$B149,'Sched H-5'!$F:$F)</f>
        <v>0</v>
      </c>
      <c r="M149" s="774">
        <f>SUMIF('Sched H-6'!$B:$B,$B149,'Sched H-6'!$AC:$AC)</f>
        <v>-5.2970560000002251</v>
      </c>
      <c r="N149" s="774">
        <v>0</v>
      </c>
      <c r="O149" s="774">
        <v>0</v>
      </c>
      <c r="P149" s="774">
        <f>SUMIF('Sched H-9'!$B:$B,$B149,'Sched H-9'!$H:$H)</f>
        <v>0</v>
      </c>
      <c r="Q149" s="774">
        <f>SUMIF('Sched H-10'!$B:$B,$B149,'Sched H-10'!$J:$J)</f>
        <v>0</v>
      </c>
      <c r="R149" s="774">
        <f>SUMIF('Sched H-11'!$B:$B,$B149,'Sched H-11'!$I:$I)</f>
        <v>0</v>
      </c>
      <c r="S149" s="774">
        <f>SUMIF('Sched H-12'!$B:$B,$B149,'Sched H-12'!$G:$G)</f>
        <v>0</v>
      </c>
      <c r="T149" s="777">
        <f>SUM(H149:S149)</f>
        <v>-5.2970560000002251</v>
      </c>
      <c r="U149" s="778">
        <f>SUM(F149:S149)</f>
        <v>320.97294399999987</v>
      </c>
      <c r="W149" s="75">
        <f t="shared" si="102"/>
        <v>142</v>
      </c>
      <c r="X149" s="991">
        <v>185.20000000000007</v>
      </c>
      <c r="Y149" s="991">
        <v>141.07000000000002</v>
      </c>
      <c r="Z149" s="946">
        <f>+X149+Y149</f>
        <v>326.2700000000001</v>
      </c>
    </row>
    <row r="150" spans="1:26">
      <c r="A150" s="170">
        <f t="shared" si="77"/>
        <v>141</v>
      </c>
      <c r="B150" s="105"/>
      <c r="C150" s="11" t="s">
        <v>194</v>
      </c>
      <c r="D150" s="98"/>
      <c r="E150" s="98"/>
      <c r="F150" s="785">
        <f>ROUND(SUM(F146:F149),0)</f>
        <v>561524</v>
      </c>
      <c r="G150" s="783"/>
      <c r="H150" s="785">
        <f t="shared" ref="H150" si="109">SUM(H146:H149)</f>
        <v>0</v>
      </c>
      <c r="I150" s="785">
        <f t="shared" ref="I150" si="110">SUM(I146:I149)</f>
        <v>-215513.60000000003</v>
      </c>
      <c r="J150" s="785">
        <f>SUM(J146:J149)</f>
        <v>0</v>
      </c>
      <c r="K150" s="785">
        <f>SUM(K146:K149)</f>
        <v>1231.3780509942103</v>
      </c>
      <c r="L150" s="785">
        <f t="shared" ref="L150" si="111">SUM(L146:L149)</f>
        <v>0</v>
      </c>
      <c r="M150" s="785">
        <f>SUM(M146:M149)</f>
        <v>-1057.4184549999964</v>
      </c>
      <c r="N150" s="785">
        <f t="shared" ref="N150:P150" si="112">SUM(N146:N149)</f>
        <v>0</v>
      </c>
      <c r="O150" s="785">
        <f t="shared" si="112"/>
        <v>0</v>
      </c>
      <c r="P150" s="785">
        <f t="shared" si="112"/>
        <v>0</v>
      </c>
      <c r="Q150" s="785">
        <f t="shared" ref="Q150:U150" si="113">SUM(Q146:Q149)</f>
        <v>0</v>
      </c>
      <c r="R150" s="785">
        <f t="shared" si="113"/>
        <v>0</v>
      </c>
      <c r="S150" s="785">
        <f t="shared" si="113"/>
        <v>-350.3</v>
      </c>
      <c r="T150" s="785">
        <f t="shared" si="113"/>
        <v>-215689.94040400581</v>
      </c>
      <c r="U150" s="785">
        <f t="shared" si="113"/>
        <v>345833.55959599424</v>
      </c>
      <c r="W150" s="75">
        <f t="shared" si="102"/>
        <v>143</v>
      </c>
      <c r="X150" s="1474">
        <f t="shared" ref="X150" si="114">SUM(X146:X149)</f>
        <v>296804.62</v>
      </c>
      <c r="Y150" s="1474">
        <f>SUM(Y146:Y149)</f>
        <v>264718.88</v>
      </c>
      <c r="Z150" s="937">
        <f>+X150+Y150</f>
        <v>561523.5</v>
      </c>
    </row>
    <row r="151" spans="1:26">
      <c r="A151" s="170">
        <f t="shared" ref="A151:A173" si="115">A150+1</f>
        <v>142</v>
      </c>
      <c r="B151" s="105"/>
      <c r="C151" s="97"/>
      <c r="D151" s="98"/>
      <c r="E151" s="98"/>
      <c r="F151" s="624"/>
      <c r="G151" s="624"/>
      <c r="H151" s="624"/>
      <c r="I151" s="624"/>
      <c r="J151" s="624"/>
      <c r="K151" s="624"/>
      <c r="L151" s="624"/>
      <c r="M151" s="624"/>
      <c r="N151" s="624"/>
      <c r="O151" s="624"/>
      <c r="P151" s="624"/>
      <c r="Q151" s="624"/>
      <c r="R151" s="624"/>
      <c r="S151" s="624"/>
      <c r="T151" s="624"/>
      <c r="U151" s="626"/>
      <c r="W151" s="75">
        <f t="shared" si="102"/>
        <v>144</v>
      </c>
      <c r="X151" s="474"/>
      <c r="Y151" s="474"/>
    </row>
    <row r="152" spans="1:26">
      <c r="A152" s="170">
        <f t="shared" si="115"/>
        <v>143</v>
      </c>
      <c r="B152" s="169"/>
      <c r="C152" s="34" t="s">
        <v>95</v>
      </c>
      <c r="D152" s="98"/>
      <c r="E152" s="98"/>
      <c r="F152" s="624"/>
      <c r="G152" s="624"/>
      <c r="H152" s="624"/>
      <c r="I152" s="624"/>
      <c r="J152" s="624"/>
      <c r="K152" s="624"/>
      <c r="L152" s="624"/>
      <c r="M152" s="624"/>
      <c r="N152" s="624"/>
      <c r="O152" s="624"/>
      <c r="P152" s="624"/>
      <c r="Q152" s="624"/>
      <c r="R152" s="624"/>
      <c r="S152" s="624"/>
      <c r="T152" s="624"/>
      <c r="U152" s="624"/>
      <c r="W152" s="75">
        <f t="shared" si="102"/>
        <v>145</v>
      </c>
      <c r="X152" s="474"/>
      <c r="Y152" s="474"/>
    </row>
    <row r="153" spans="1:26">
      <c r="A153" s="170">
        <f t="shared" si="115"/>
        <v>144</v>
      </c>
      <c r="B153" s="169"/>
      <c r="C153" s="34"/>
      <c r="D153" s="67" t="s">
        <v>163</v>
      </c>
      <c r="E153" s="98"/>
      <c r="F153" s="624"/>
      <c r="G153" s="624"/>
      <c r="H153" s="624"/>
      <c r="I153" s="624"/>
      <c r="J153" s="624"/>
      <c r="K153" s="624"/>
      <c r="L153" s="624"/>
      <c r="M153" s="624"/>
      <c r="N153" s="624"/>
      <c r="O153" s="624"/>
      <c r="P153" s="624"/>
      <c r="Q153" s="624"/>
      <c r="R153" s="624"/>
      <c r="S153" s="624"/>
      <c r="T153" s="624"/>
      <c r="U153" s="624"/>
      <c r="W153" s="75">
        <f t="shared" si="102"/>
        <v>146</v>
      </c>
      <c r="X153" s="474"/>
      <c r="Y153" s="474"/>
    </row>
    <row r="154" spans="1:26">
      <c r="A154" s="170">
        <f t="shared" si="115"/>
        <v>145</v>
      </c>
      <c r="B154" s="170">
        <v>920</v>
      </c>
      <c r="C154" s="34"/>
      <c r="D154" s="98" t="s">
        <v>179</v>
      </c>
      <c r="E154" s="98"/>
      <c r="F154" s="613">
        <f t="shared" ref="F154:F166" si="116">HLOOKUP(Attach,$X$8:$AC$274,W154,FALSE)</f>
        <v>11029387.559999999</v>
      </c>
      <c r="G154" s="779"/>
      <c r="H154" s="765">
        <f>SUMIF('Sched H-1'!$B:$B,$B154,'Sched H-1'!$K:$K)</f>
        <v>0</v>
      </c>
      <c r="I154" s="765">
        <f>SUMIF('Sched H-2'!$B:$B,$B154,'Sched H-2'!$K:$K)</f>
        <v>0</v>
      </c>
      <c r="J154" s="765">
        <f>-SUMIF('Sched H-3'!$B:$B,$B154,'Sched H-3'!$H:$H)</f>
        <v>0</v>
      </c>
      <c r="K154" s="765">
        <f>SUMIF('Sched H-4'!$B:$B,$B154,'Sched H-4'!$J:$J)</f>
        <v>36166.634054237278</v>
      </c>
      <c r="L154" s="765">
        <f>SUMIF('Sched H-5'!$B:$B,$B154,'Sched H-5'!$F:$F)</f>
        <v>0</v>
      </c>
      <c r="M154" s="765">
        <f>SUMIF('Sched H-6'!$B:$B,$B154,'Sched H-6'!$AC:$AC)</f>
        <v>1378028.861443311</v>
      </c>
      <c r="N154" s="765">
        <v>0</v>
      </c>
      <c r="O154" s="765">
        <v>0</v>
      </c>
      <c r="P154" s="765">
        <f>SUMIF('Sched H-9'!$B:$B,$B154,'Sched H-9'!$H:$H)</f>
        <v>0</v>
      </c>
      <c r="Q154" s="765">
        <f>SUMIF('Sched H-10'!$B:$B,$B154,'Sched H-10'!$J:$J)</f>
        <v>0</v>
      </c>
      <c r="R154" s="765">
        <f>SUMIF('Sched H-11'!$B:$B,$B154,'Sched H-11'!$I:$I)</f>
        <v>0</v>
      </c>
      <c r="S154" s="765">
        <f>SUMIF('Sched H-12'!$B:$B,$B154,'Sched H-12'!$G:$G)</f>
        <v>0</v>
      </c>
      <c r="T154" s="765">
        <f t="shared" ref="T154:T166" si="117">SUM(H154:S154)</f>
        <v>1414195.4954975483</v>
      </c>
      <c r="U154" s="766">
        <f t="shared" ref="U154:U166" si="118">SUM(F154:S154)</f>
        <v>12443583.055497548</v>
      </c>
      <c r="W154" s="75">
        <f t="shared" si="102"/>
        <v>147</v>
      </c>
      <c r="X154" s="990">
        <f>6747468.56+256.53</f>
        <v>6747725.0899999999</v>
      </c>
      <c r="Y154" s="990">
        <f>4281467.01+195.46</f>
        <v>4281662.47</v>
      </c>
      <c r="Z154" s="947">
        <f t="shared" ref="Z154:Z167" si="119">+X154+Y154</f>
        <v>11029387.559999999</v>
      </c>
    </row>
    <row r="155" spans="1:26">
      <c r="A155" s="170">
        <f t="shared" si="115"/>
        <v>146</v>
      </c>
      <c r="B155" s="170">
        <v>921</v>
      </c>
      <c r="C155" s="10"/>
      <c r="D155" s="98" t="s">
        <v>464</v>
      </c>
      <c r="E155" s="98"/>
      <c r="F155" s="669">
        <f t="shared" si="116"/>
        <v>3723829.26</v>
      </c>
      <c r="G155" s="782"/>
      <c r="H155" s="774">
        <f>SUMIF('Sched H-1'!$B:$B,$B155,'Sched H-1'!$K:$K)</f>
        <v>0</v>
      </c>
      <c r="I155" s="774">
        <f>SUMIF('Sched H-2'!$B:$B,$B155,'Sched H-2'!$K:$K)</f>
        <v>-137367.93</v>
      </c>
      <c r="J155" s="774">
        <f>-SUMIF('Sched H-3'!$B:$B,$B155,'Sched H-3'!$H:$H)</f>
        <v>0</v>
      </c>
      <c r="K155" s="774">
        <f>SUMIF('Sched H-4'!$B:$B,$B155,'Sched H-4'!$J:$J)</f>
        <v>24.125064642191461</v>
      </c>
      <c r="L155" s="774">
        <f>SUMIF('Sched H-5'!$B:$B,$B155,'Sched H-5'!$F:$F)</f>
        <v>0</v>
      </c>
      <c r="M155" s="774">
        <f>SUMIF('Sched H-6'!$B:$B,$B155,'Sched H-6'!$AC:$AC)</f>
        <v>689443.51146200066</v>
      </c>
      <c r="N155" s="774">
        <v>0</v>
      </c>
      <c r="O155" s="774">
        <v>0</v>
      </c>
      <c r="P155" s="774">
        <f>SUMIF('Sched H-9'!$B:$B,$B155,'Sched H-9'!$H:$H)</f>
        <v>0</v>
      </c>
      <c r="Q155" s="774">
        <f>SUMIF('Sched H-10'!$B:$B,$B155,'Sched H-10'!$J:$J)</f>
        <v>0</v>
      </c>
      <c r="R155" s="774">
        <f>SUMIF('Sched H-11'!$B:$B,$B155,'Sched H-11'!$I:$I)</f>
        <v>0</v>
      </c>
      <c r="S155" s="774">
        <f>SUMIF('Sched H-12'!$B:$B,$B155,'Sched H-12'!$G:$G)</f>
        <v>0</v>
      </c>
      <c r="T155" s="774">
        <f t="shared" si="117"/>
        <v>552099.7065266429</v>
      </c>
      <c r="U155" s="775">
        <f t="shared" si="118"/>
        <v>4275928.9665266424</v>
      </c>
      <c r="W155" s="75">
        <f t="shared" si="102"/>
        <v>148</v>
      </c>
      <c r="X155" s="990">
        <v>2065087.26</v>
      </c>
      <c r="Y155" s="990">
        <v>1658742</v>
      </c>
      <c r="Z155" s="947">
        <f t="shared" si="119"/>
        <v>3723829.26</v>
      </c>
    </row>
    <row r="156" spans="1:26">
      <c r="A156" s="170">
        <f t="shared" si="115"/>
        <v>147</v>
      </c>
      <c r="B156" s="170">
        <v>922</v>
      </c>
      <c r="C156" s="97"/>
      <c r="D156" s="106" t="s">
        <v>934</v>
      </c>
      <c r="E156" s="98"/>
      <c r="F156" s="669">
        <f t="shared" si="116"/>
        <v>-2373972.4499999993</v>
      </c>
      <c r="G156" s="782"/>
      <c r="H156" s="774">
        <f>SUMIF('Sched H-1'!$B:$B,$B156,'Sched H-1'!$K:$K)</f>
        <v>0</v>
      </c>
      <c r="I156" s="774">
        <f>SUMIF('Sched H-2'!$B:$B,$B156,'Sched H-2'!$K:$K)</f>
        <v>0</v>
      </c>
      <c r="J156" s="774">
        <f>-SUMIF('Sched H-3'!$B:$B,$B156,'Sched H-3'!$H:$H)</f>
        <v>0</v>
      </c>
      <c r="K156" s="774">
        <f>SUMIF('Sched H-4'!$B:$B,$B156,'Sched H-4'!$J:$J)</f>
        <v>0</v>
      </c>
      <c r="L156" s="774">
        <f>SUMIF('Sched H-5'!$B:$B,$B156,'Sched H-5'!$F:$F)</f>
        <v>0</v>
      </c>
      <c r="M156" s="774">
        <f>SUMIF('Sched H-6'!$B:$B,$B156,'Sched H-6'!$AC:$AC)</f>
        <v>-874616.51352941198</v>
      </c>
      <c r="N156" s="774">
        <v>0</v>
      </c>
      <c r="O156" s="774">
        <v>0</v>
      </c>
      <c r="P156" s="774">
        <f>SUMIF('Sched H-9'!$B:$B,$B156,'Sched H-9'!$H:$H)</f>
        <v>0</v>
      </c>
      <c r="Q156" s="774">
        <f>SUMIF('Sched H-10'!$B:$B,$B156,'Sched H-10'!$J:$J)</f>
        <v>0</v>
      </c>
      <c r="R156" s="774">
        <f>SUMIF('Sched H-11'!$B:$B,$B156,'Sched H-11'!$I:$I)</f>
        <v>0</v>
      </c>
      <c r="S156" s="774">
        <f>SUMIF('Sched H-12'!$B:$B,$B156,'Sched H-12'!$G:$G)</f>
        <v>0</v>
      </c>
      <c r="T156" s="774">
        <f t="shared" si="117"/>
        <v>-874616.51352941198</v>
      </c>
      <c r="U156" s="775">
        <f t="shared" si="118"/>
        <v>-3248588.9635294112</v>
      </c>
      <c r="W156" s="75">
        <f t="shared" si="102"/>
        <v>149</v>
      </c>
      <c r="X156" s="990">
        <v>-1451434.8199999996</v>
      </c>
      <c r="Y156" s="990">
        <v>-922537.62999999989</v>
      </c>
      <c r="Z156" s="947">
        <f t="shared" si="119"/>
        <v>-2373972.4499999993</v>
      </c>
    </row>
    <row r="157" spans="1:26">
      <c r="A157" s="170">
        <f t="shared" si="115"/>
        <v>148</v>
      </c>
      <c r="B157" s="170">
        <v>923</v>
      </c>
      <c r="C157" s="34"/>
      <c r="D157" s="98" t="s">
        <v>222</v>
      </c>
      <c r="E157" s="98"/>
      <c r="F157" s="669">
        <f t="shared" si="116"/>
        <v>3281236.84</v>
      </c>
      <c r="G157" s="782"/>
      <c r="H157" s="774">
        <f>SUMIF('Sched H-1'!$B:$B,$B157,'Sched H-1'!$K:$K)</f>
        <v>-411095.81</v>
      </c>
      <c r="I157" s="774">
        <f>SUMIF('Sched H-2'!$B:$B,$B157,'Sched H-2'!$K:$K)</f>
        <v>0</v>
      </c>
      <c r="J157" s="774">
        <f>-SUMIF('Sched H-3'!$B:$B,$B157,'Sched H-3'!$H:$H)</f>
        <v>0</v>
      </c>
      <c r="K157" s="774">
        <f>SUMIF('Sched H-4'!$B:$B,$B157,'Sched H-4'!$J:$J)</f>
        <v>0</v>
      </c>
      <c r="L157" s="774">
        <f>SUMIF('Sched H-5'!$B:$B,$B157,'Sched H-5'!$F:$F)</f>
        <v>0</v>
      </c>
      <c r="M157" s="774">
        <f>SUMIF('Sched H-6'!$B:$B,$B157,'Sched H-6'!$AC:$AC)</f>
        <v>149329.81959499931</v>
      </c>
      <c r="N157" s="774">
        <v>0</v>
      </c>
      <c r="O157" s="774">
        <v>0</v>
      </c>
      <c r="P157" s="774">
        <f>SUMIF('Sched H-9'!$B:$B,$B157,'Sched H-9'!$H:$H)</f>
        <v>0</v>
      </c>
      <c r="Q157" s="774">
        <f>SUMIF('Sched H-10'!$B:$B,$B157,'Sched H-10'!$J:$J)</f>
        <v>0</v>
      </c>
      <c r="R157" s="774">
        <f>SUMIF('Sched H-11'!$B:$B,$B157,'Sched H-11'!$I:$I)</f>
        <v>0</v>
      </c>
      <c r="S157" s="774">
        <f>SUMIF('Sched H-12'!$B:$B,$B157,'Sched H-12'!$G:$G)</f>
        <v>0</v>
      </c>
      <c r="T157" s="774">
        <f t="shared" si="117"/>
        <v>-261765.99040500069</v>
      </c>
      <c r="U157" s="775">
        <f t="shared" si="118"/>
        <v>3019470.8495949991</v>
      </c>
      <c r="W157" s="75">
        <f t="shared" si="102"/>
        <v>150</v>
      </c>
      <c r="X157" s="990">
        <v>1805921.7999999998</v>
      </c>
      <c r="Y157" s="990">
        <v>1475315.04</v>
      </c>
      <c r="Z157" s="947">
        <f t="shared" si="119"/>
        <v>3281236.84</v>
      </c>
    </row>
    <row r="158" spans="1:26">
      <c r="A158" s="170">
        <f t="shared" si="115"/>
        <v>149</v>
      </c>
      <c r="B158" s="170">
        <v>924</v>
      </c>
      <c r="C158" s="97"/>
      <c r="D158" s="98" t="s">
        <v>157</v>
      </c>
      <c r="E158" s="98"/>
      <c r="F158" s="669">
        <f t="shared" si="116"/>
        <v>31740.009999999995</v>
      </c>
      <c r="G158" s="782"/>
      <c r="H158" s="774">
        <f>SUMIF('Sched H-1'!$B:$B,$B158,'Sched H-1'!$K:$K)</f>
        <v>0</v>
      </c>
      <c r="I158" s="774">
        <f>SUMIF('Sched H-2'!$B:$B,$B158,'Sched H-2'!$K:$K)</f>
        <v>0</v>
      </c>
      <c r="J158" s="774">
        <f>-SUMIF('Sched H-3'!$B:$B,$B158,'Sched H-3'!$H:$H)</f>
        <v>0</v>
      </c>
      <c r="K158" s="774">
        <f>SUMIF('Sched H-4'!$B:$B,$B158,'Sched H-4'!$J:$J)</f>
        <v>0</v>
      </c>
      <c r="L158" s="774">
        <f>SUMIF('Sched H-5'!$B:$B,$B158,'Sched H-5'!$F:$F)</f>
        <v>0</v>
      </c>
      <c r="M158" s="774">
        <f>SUMIF('Sched H-6'!$B:$B,$B158,'Sched H-6'!$AC:$AC)</f>
        <v>75.730631999998877</v>
      </c>
      <c r="N158" s="774">
        <v>0</v>
      </c>
      <c r="O158" s="774">
        <v>0</v>
      </c>
      <c r="P158" s="774">
        <f>SUMIF('Sched H-9'!$B:$B,$B158,'Sched H-9'!$H:$H)</f>
        <v>0</v>
      </c>
      <c r="Q158" s="774">
        <f>SUMIF('Sched H-10'!$B:$B,$B158,'Sched H-10'!$J:$J)</f>
        <v>0</v>
      </c>
      <c r="R158" s="774">
        <f>SUMIF('Sched H-11'!$B:$B,$B158,'Sched H-11'!$I:$I)</f>
        <v>0</v>
      </c>
      <c r="S158" s="774">
        <f>SUMIF('Sched H-12'!$B:$B,$B158,'Sched H-12'!$G:$G)</f>
        <v>0</v>
      </c>
      <c r="T158" s="774">
        <f t="shared" si="117"/>
        <v>75.730631999998877</v>
      </c>
      <c r="U158" s="775">
        <f t="shared" si="118"/>
        <v>31815.740631999994</v>
      </c>
      <c r="W158" s="75">
        <f t="shared" si="102"/>
        <v>151</v>
      </c>
      <c r="X158" s="990">
        <v>8196.7199999999993</v>
      </c>
      <c r="Y158" s="990">
        <v>23543.289999999997</v>
      </c>
      <c r="Z158" s="947">
        <f t="shared" si="119"/>
        <v>31740.009999999995</v>
      </c>
    </row>
    <row r="159" spans="1:26">
      <c r="A159" s="170">
        <f t="shared" si="115"/>
        <v>150</v>
      </c>
      <c r="B159" s="170">
        <v>925</v>
      </c>
      <c r="C159" s="97"/>
      <c r="D159" s="98" t="s">
        <v>158</v>
      </c>
      <c r="E159" s="98"/>
      <c r="F159" s="669">
        <f t="shared" si="116"/>
        <v>1439451.3399999999</v>
      </c>
      <c r="G159" s="782"/>
      <c r="H159" s="774">
        <f>SUMIF('Sched H-1'!$B:$B,$B159,'Sched H-1'!$K:$K)</f>
        <v>0</v>
      </c>
      <c r="I159" s="774">
        <f>SUMIF('Sched H-2'!$B:$B,$B159,'Sched H-2'!$K:$K)</f>
        <v>-77390</v>
      </c>
      <c r="J159" s="774">
        <f>-SUMIF('Sched H-3'!$B:$B,$B159,'Sched H-3'!$L:$L)</f>
        <v>0</v>
      </c>
      <c r="K159" s="774">
        <f>SUMIF('Sched H-4'!$B:$B,$B159,'Sched H-4'!$J:$J)</f>
        <v>0</v>
      </c>
      <c r="L159" s="774">
        <f>SUMIF('Sched H-5'!$B:$B,$B159,'Sched H-5'!$F:$F)</f>
        <v>0</v>
      </c>
      <c r="M159" s="774">
        <f>SUMIF('Sched H-6'!$B:$B,$B159,'Sched H-6'!$AC:$AC)</f>
        <v>87625.044297999935</v>
      </c>
      <c r="N159" s="774">
        <v>0</v>
      </c>
      <c r="O159" s="774">
        <v>0</v>
      </c>
      <c r="P159" s="774">
        <f>SUMIF('Sched H-9'!$B:$B,$B159,'Sched H-9'!$H:$H)</f>
        <v>0</v>
      </c>
      <c r="Q159" s="774">
        <f>SUMIF('Sched H-10'!$B:$B,$B159,'Sched H-10'!$J:$J)</f>
        <v>0</v>
      </c>
      <c r="R159" s="774">
        <f>SUMIF('Sched H-11'!$B:$B,$B159,'Sched H-11'!$I:$I)</f>
        <v>0</v>
      </c>
      <c r="S159" s="774">
        <f>SUMIF('Sched H-12'!$B:$B,$B159,'Sched H-12'!$G:$G)</f>
        <v>0</v>
      </c>
      <c r="T159" s="774">
        <f t="shared" si="117"/>
        <v>10235.044297999935</v>
      </c>
      <c r="U159" s="775">
        <f t="shared" si="118"/>
        <v>1449686.3842979998</v>
      </c>
      <c r="W159" s="75">
        <f t="shared" si="102"/>
        <v>152</v>
      </c>
      <c r="X159" s="990">
        <v>826493.08</v>
      </c>
      <c r="Y159" s="990">
        <v>612958.26</v>
      </c>
      <c r="Z159" s="947">
        <f t="shared" si="119"/>
        <v>1439451.3399999999</v>
      </c>
    </row>
    <row r="160" spans="1:26">
      <c r="A160" s="170">
        <f t="shared" si="115"/>
        <v>151</v>
      </c>
      <c r="B160" s="170">
        <v>926</v>
      </c>
      <c r="C160" s="97"/>
      <c r="D160" s="98" t="s">
        <v>246</v>
      </c>
      <c r="E160" s="98"/>
      <c r="F160" s="669">
        <f t="shared" si="116"/>
        <v>8937872.1399999969</v>
      </c>
      <c r="G160" s="782"/>
      <c r="H160" s="774">
        <f>SUMIF('Sched H-1'!$B:$B,$B160,'Sched H-1'!$K:$K)</f>
        <v>0</v>
      </c>
      <c r="I160" s="774">
        <f>SUMIF('Sched H-2'!$B:$B,$B160,'Sched H-2'!$K:$K)</f>
        <v>0</v>
      </c>
      <c r="J160" s="774">
        <f>-SUMIF('Sched H-3'!$B:$B,$B160,'Sched H-3'!$H:$H)</f>
        <v>0</v>
      </c>
      <c r="K160" s="774">
        <f>SUMIF('Sched H-4'!$B:$B,$B160,'Sched H-4'!$J:$J)</f>
        <v>167200.46185207274</v>
      </c>
      <c r="L160" s="774">
        <f>SUMIF('Sched H-5'!$B:$B,$B160,'Sched H-5'!$F:$F)</f>
        <v>328707.85919865954</v>
      </c>
      <c r="M160" s="774">
        <f>SUMIF('Sched H-6'!$B:$B,$B160,'Sched H-6'!$AC:$AC)</f>
        <v>2065711.4310400244</v>
      </c>
      <c r="N160" s="774">
        <v>0</v>
      </c>
      <c r="O160" s="774">
        <v>0</v>
      </c>
      <c r="P160" s="774">
        <f>SUMIF('Sched H-9'!$B:$B,$B160,'Sched H-9'!$H:$H)</f>
        <v>212676.26749999999</v>
      </c>
      <c r="Q160" s="774">
        <f>SUMIF('Sched H-10'!$B:$B,$B160,'Sched H-10'!$J:$J)</f>
        <v>0</v>
      </c>
      <c r="R160" s="774">
        <f>SUMIF('Sched H-11'!$B:$B,$B160,'Sched H-11'!$I:$I)</f>
        <v>0</v>
      </c>
      <c r="S160" s="774">
        <f>SUMIF('Sched H-12'!$B:$B,$B160,'Sched H-12'!$G:$G)</f>
        <v>0</v>
      </c>
      <c r="T160" s="774">
        <f t="shared" si="117"/>
        <v>2774296.0195907569</v>
      </c>
      <c r="U160" s="775">
        <f t="shared" si="118"/>
        <v>11712168.159590755</v>
      </c>
      <c r="W160" s="75">
        <f t="shared" si="102"/>
        <v>153</v>
      </c>
      <c r="X160" s="990">
        <v>4645005.3499999996</v>
      </c>
      <c r="Y160" s="990">
        <v>4292866.7899999982</v>
      </c>
      <c r="Z160" s="947">
        <f t="shared" si="119"/>
        <v>8937872.1399999969</v>
      </c>
    </row>
    <row r="161" spans="1:26">
      <c r="A161" s="170">
        <f t="shared" si="115"/>
        <v>152</v>
      </c>
      <c r="B161" s="170">
        <v>927</v>
      </c>
      <c r="C161" s="97"/>
      <c r="D161" s="98" t="s">
        <v>335</v>
      </c>
      <c r="E161" s="98"/>
      <c r="F161" s="669">
        <f t="shared" si="116"/>
        <v>0</v>
      </c>
      <c r="G161" s="782"/>
      <c r="H161" s="774">
        <f>SUMIF('Sched H-1'!$B:$B,$B161,'Sched H-1'!$K:$K)</f>
        <v>0</v>
      </c>
      <c r="I161" s="774">
        <f>SUMIF('Sched H-2'!$B:$B,$B161,'Sched H-2'!$K:$K)</f>
        <v>0</v>
      </c>
      <c r="J161" s="774">
        <f>-SUMIF('Sched H-3'!$B:$B,$B161,'Sched H-3'!$H:$H)</f>
        <v>0</v>
      </c>
      <c r="K161" s="774">
        <f>SUMIF('Sched H-4'!$B:$B,$B161,'Sched H-4'!$J:$J)</f>
        <v>0</v>
      </c>
      <c r="L161" s="774">
        <f>SUMIF('Sched H-5'!$B:$B,$B161,'Sched H-5'!$F:$F)</f>
        <v>0</v>
      </c>
      <c r="M161" s="774">
        <f>SUMIF('Sched H-6'!$B:$B,$B161,'Sched H-6'!$AC:$AC)</f>
        <v>0</v>
      </c>
      <c r="N161" s="774">
        <v>0</v>
      </c>
      <c r="O161" s="774">
        <v>0</v>
      </c>
      <c r="P161" s="774">
        <f>SUMIF('Sched H-9'!$B:$B,$B161,'Sched H-9'!$H:$H)</f>
        <v>0</v>
      </c>
      <c r="Q161" s="774">
        <f>SUMIF('Sched H-10'!$B:$B,$B161,'Sched H-10'!$J:$J)</f>
        <v>0</v>
      </c>
      <c r="R161" s="774">
        <f>SUMIF('Sched H-11'!$B:$B,$B161,'Sched H-11'!$I:$I)</f>
        <v>0</v>
      </c>
      <c r="S161" s="774">
        <f>SUMIF('Sched H-12'!$B:$B,$B161,'Sched H-12'!$G:$G)</f>
        <v>0</v>
      </c>
      <c r="T161" s="774">
        <f t="shared" si="117"/>
        <v>0</v>
      </c>
      <c r="U161" s="775">
        <f t="shared" si="118"/>
        <v>0</v>
      </c>
      <c r="W161" s="75">
        <f t="shared" si="102"/>
        <v>154</v>
      </c>
      <c r="X161" s="990">
        <v>0</v>
      </c>
      <c r="Y161" s="990">
        <v>0</v>
      </c>
      <c r="Z161" s="947">
        <f t="shared" si="119"/>
        <v>0</v>
      </c>
    </row>
    <row r="162" spans="1:26">
      <c r="A162" s="170">
        <f t="shared" si="115"/>
        <v>153</v>
      </c>
      <c r="B162" s="170">
        <v>928</v>
      </c>
      <c r="C162" s="97"/>
      <c r="D162" s="98" t="s">
        <v>485</v>
      </c>
      <c r="E162" s="98"/>
      <c r="F162" s="669">
        <f t="shared" si="116"/>
        <v>0</v>
      </c>
      <c r="G162" s="782"/>
      <c r="H162" s="774">
        <f>SUMIF('Sched H-1'!$B:$B,$B162,'Sched H-1'!$K:$K)</f>
        <v>0</v>
      </c>
      <c r="I162" s="774">
        <f>SUMIF('Sched H-2'!$B:$B,$B162,'Sched H-2'!$K:$K)</f>
        <v>0</v>
      </c>
      <c r="J162" s="774">
        <f>-SUMIF('Sched H-3'!$B:$B,$B162,'Sched H-3'!$H:$H)</f>
        <v>0</v>
      </c>
      <c r="K162" s="774">
        <f>SUMIF('Sched H-4'!$B:$B,$B162,'Sched H-4'!$J:$J)</f>
        <v>0</v>
      </c>
      <c r="L162" s="774">
        <f>SUMIF('Sched H-5'!$B:$B,$B162,'Sched H-5'!$F:$F)</f>
        <v>0</v>
      </c>
      <c r="M162" s="774">
        <f>SUMIF('Sched H-6'!$B:$B,$B162,'Sched H-6'!$AC:$AC)</f>
        <v>0</v>
      </c>
      <c r="N162" s="774">
        <v>0</v>
      </c>
      <c r="O162" s="774">
        <v>0</v>
      </c>
      <c r="P162" s="774">
        <f>SUMIF('Sched H-9'!$B:$B,$B162,'Sched H-9'!$H:$H)</f>
        <v>0</v>
      </c>
      <c r="Q162" s="774">
        <f>SUMIF('Sched H-10'!$B:$B,$B162,'Sched H-10'!$J:$J)</f>
        <v>0</v>
      </c>
      <c r="R162" s="774">
        <f>SUMIF('Sched H-11'!$B:$B,$B162,'Sched H-11'!$I:$I)</f>
        <v>0</v>
      </c>
      <c r="S162" s="774">
        <f>SUMIF('Sched H-12'!$B:$B,$B162,'Sched H-12'!$G:$G)</f>
        <v>0</v>
      </c>
      <c r="T162" s="774">
        <f t="shared" si="117"/>
        <v>0</v>
      </c>
      <c r="U162" s="775">
        <f t="shared" si="118"/>
        <v>0</v>
      </c>
      <c r="W162" s="75">
        <f t="shared" si="102"/>
        <v>155</v>
      </c>
      <c r="X162" s="990">
        <v>0</v>
      </c>
      <c r="Y162" s="990">
        <v>0</v>
      </c>
      <c r="Z162" s="947">
        <f t="shared" si="119"/>
        <v>0</v>
      </c>
    </row>
    <row r="163" spans="1:26">
      <c r="A163" s="170">
        <f t="shared" si="115"/>
        <v>154</v>
      </c>
      <c r="B163" s="170">
        <v>929</v>
      </c>
      <c r="C163" s="98"/>
      <c r="D163" s="98" t="s">
        <v>994</v>
      </c>
      <c r="E163" s="98"/>
      <c r="F163" s="669">
        <f t="shared" si="116"/>
        <v>-1239.8400000000001</v>
      </c>
      <c r="G163" s="782"/>
      <c r="H163" s="774">
        <f>SUMIF('Sched H-1'!$B:$B,$B163,'Sched H-1'!$K:$K)</f>
        <v>0</v>
      </c>
      <c r="I163" s="774">
        <f>SUMIF('Sched H-2'!$B:$B,$B163,'Sched H-2'!$K:$K)</f>
        <v>0</v>
      </c>
      <c r="J163" s="774">
        <f>-SUMIF('Sched H-3'!$B:$B,$B163,'Sched H-3'!$H:$H)</f>
        <v>0</v>
      </c>
      <c r="K163" s="774">
        <f>SUMIF('Sched H-4'!$B:$B,$B163,'Sched H-4'!$J:$J)</f>
        <v>0</v>
      </c>
      <c r="L163" s="774">
        <f>SUMIF('Sched H-5'!$B:$B,$B163,'Sched H-5'!$F:$F)</f>
        <v>0</v>
      </c>
      <c r="M163" s="774">
        <f>SUMIF('Sched H-6'!$B:$B,$B163,'Sched H-6'!$AC:$AC)</f>
        <v>-27.696179999999458</v>
      </c>
      <c r="N163" s="774">
        <v>0</v>
      </c>
      <c r="O163" s="774">
        <v>0</v>
      </c>
      <c r="P163" s="774">
        <f>SUMIF('Sched H-9'!$B:$B,$B163,'Sched H-9'!$H:$H)</f>
        <v>0</v>
      </c>
      <c r="Q163" s="774">
        <f>SUMIF('Sched H-10'!$B:$B,$B163,'Sched H-10'!$J:$J)</f>
        <v>0</v>
      </c>
      <c r="R163" s="774">
        <f>SUMIF('Sched H-11'!$B:$B,$B163,'Sched H-11'!$I:$I)</f>
        <v>0</v>
      </c>
      <c r="S163" s="774">
        <f>SUMIF('Sched H-12'!$B:$B,$B163,'Sched H-12'!$G:$G)</f>
        <v>0</v>
      </c>
      <c r="T163" s="774">
        <f t="shared" si="117"/>
        <v>-27.696179999999458</v>
      </c>
      <c r="U163" s="775">
        <f t="shared" si="118"/>
        <v>-1267.5361799999996</v>
      </c>
      <c r="W163" s="75">
        <f t="shared" si="102"/>
        <v>156</v>
      </c>
      <c r="X163" s="990">
        <v>-708.66</v>
      </c>
      <c r="Y163" s="990">
        <v>-531.18000000000029</v>
      </c>
      <c r="Z163" s="947">
        <f t="shared" si="119"/>
        <v>-1239.8400000000001</v>
      </c>
    </row>
    <row r="164" spans="1:26">
      <c r="A164" s="170">
        <f t="shared" si="115"/>
        <v>155</v>
      </c>
      <c r="B164" s="170">
        <v>930.1</v>
      </c>
      <c r="C164" s="97"/>
      <c r="D164" s="98" t="s">
        <v>182</v>
      </c>
      <c r="E164" s="98"/>
      <c r="F164" s="669">
        <f t="shared" si="116"/>
        <v>410817.20999999996</v>
      </c>
      <c r="G164" s="782"/>
      <c r="H164" s="774">
        <f>SUMIF('Sched H-1'!$B:$B,$B164,'Sched H-1'!$K:$K)</f>
        <v>0</v>
      </c>
      <c r="I164" s="774">
        <f>SUMIF('Sched H-2'!$B:$B,$B164,'Sched H-2'!$K:$K)</f>
        <v>-412156.43</v>
      </c>
      <c r="J164" s="774">
        <f>-SUMIF('Sched H-3'!$B:$B,$B164,'Sched H-3'!$H:$H)</f>
        <v>0</v>
      </c>
      <c r="K164" s="774">
        <f>SUMIF('Sched H-4'!$B:$B,$B164,'Sched H-4'!$J:$J)</f>
        <v>0</v>
      </c>
      <c r="L164" s="774">
        <f>SUMIF('Sched H-5'!$B:$B,$B164,'Sched H-5'!$F:$F)</f>
        <v>0</v>
      </c>
      <c r="M164" s="774">
        <f>SUMIF('Sched H-6'!$B:$B,$B164,'Sched H-6'!$AC:$AC)</f>
        <v>-2556.6665289999801</v>
      </c>
      <c r="N164" s="774">
        <v>0</v>
      </c>
      <c r="O164" s="774">
        <v>0</v>
      </c>
      <c r="P164" s="774">
        <f>SUMIF('Sched H-9'!$B:$B,$B164,'Sched H-9'!$H:$H)</f>
        <v>0</v>
      </c>
      <c r="Q164" s="774">
        <f>SUMIF('Sched H-10'!$B:$B,$B164,'Sched H-10'!$J:$J)</f>
        <v>0</v>
      </c>
      <c r="R164" s="774">
        <f>SUMIF('Sched H-11'!$B:$B,$B164,'Sched H-11'!$I:$I)</f>
        <v>0</v>
      </c>
      <c r="S164" s="774">
        <f>SUMIF('Sched H-12'!$B:$B,$B164,'Sched H-12'!$G:$G)</f>
        <v>0</v>
      </c>
      <c r="T164" s="774">
        <f t="shared" si="117"/>
        <v>-414713.09652899997</v>
      </c>
      <c r="U164" s="775">
        <f t="shared" si="118"/>
        <v>-3895.8865290000103</v>
      </c>
      <c r="W164" s="75">
        <f t="shared" si="102"/>
        <v>157</v>
      </c>
      <c r="X164" s="990">
        <v>296000.24</v>
      </c>
      <c r="Y164" s="990">
        <v>114816.96999999999</v>
      </c>
      <c r="Z164" s="947">
        <f t="shared" si="119"/>
        <v>410817.20999999996</v>
      </c>
    </row>
    <row r="165" spans="1:26">
      <c r="A165" s="170">
        <f t="shared" si="115"/>
        <v>156</v>
      </c>
      <c r="B165" s="170">
        <v>930.2</v>
      </c>
      <c r="C165" s="97"/>
      <c r="D165" s="98" t="s">
        <v>935</v>
      </c>
      <c r="E165" s="98"/>
      <c r="F165" s="669">
        <f t="shared" si="116"/>
        <v>1331686.07</v>
      </c>
      <c r="G165" s="782"/>
      <c r="H165" s="774">
        <f>SUMIF('Sched H-1'!$B:$B,$B165,'Sched H-1'!$K:$K)</f>
        <v>-56678.92</v>
      </c>
      <c r="I165" s="774">
        <f>SUMIF('Sched H-2'!$B:$B,$B165,'Sched H-2'!$K:$K)</f>
        <v>-17733.420000000002</v>
      </c>
      <c r="J165" s="774">
        <f>-SUMIF('Sched H-3'!$B:$B,$B165,'Sched H-3'!$H:$H)</f>
        <v>0</v>
      </c>
      <c r="K165" s="774">
        <f>SUMIF('Sched H-4'!$B:$B,$B165,'Sched H-4'!$J:$J)</f>
        <v>-7.1548646226624868</v>
      </c>
      <c r="L165" s="774">
        <f>SUMIF('Sched H-5'!$B:$B,$B165,'Sched H-5'!$F:$F)</f>
        <v>0</v>
      </c>
      <c r="M165" s="774">
        <f>SUMIF('Sched H-6'!$B:$B,$B165,'Sched H-6'!$AC:$AC)</f>
        <v>49026.854262000066</v>
      </c>
      <c r="N165" s="774">
        <v>0</v>
      </c>
      <c r="O165" s="774">
        <v>0</v>
      </c>
      <c r="P165" s="774">
        <f>SUMIF('Sched H-9'!$B:$B,$B165,'Sched H-9'!$H:$H)</f>
        <v>0</v>
      </c>
      <c r="Q165" s="774">
        <f>SUMIF('Sched H-10'!$B:$B,$B165,'Sched H-10'!$J:$J)</f>
        <v>142853.5</v>
      </c>
      <c r="R165" s="774">
        <f>SUMIF('Sched H-11'!$B:$B,$B165,'Sched H-11'!$I:$I)</f>
        <v>0</v>
      </c>
      <c r="S165" s="774">
        <f>SUMIF('Sched H-12'!$B:$B,$B165,'Sched H-12'!$G:$G)</f>
        <v>-87.66</v>
      </c>
      <c r="T165" s="774">
        <f t="shared" si="117"/>
        <v>117373.19939737741</v>
      </c>
      <c r="U165" s="775">
        <f t="shared" si="118"/>
        <v>1449059.2693973777</v>
      </c>
      <c r="W165" s="75">
        <f t="shared" si="102"/>
        <v>158</v>
      </c>
      <c r="X165" s="990">
        <v>783148.49</v>
      </c>
      <c r="Y165" s="990">
        <v>548537.58000000007</v>
      </c>
      <c r="Z165" s="947">
        <f t="shared" si="119"/>
        <v>1331686.07</v>
      </c>
    </row>
    <row r="166" spans="1:26">
      <c r="A166" s="170">
        <f t="shared" si="115"/>
        <v>157</v>
      </c>
      <c r="B166" s="170">
        <v>931</v>
      </c>
      <c r="C166" s="97"/>
      <c r="D166" s="98" t="s">
        <v>185</v>
      </c>
      <c r="E166" s="98"/>
      <c r="F166" s="669">
        <f t="shared" si="116"/>
        <v>2465661.6599999992</v>
      </c>
      <c r="G166" s="782"/>
      <c r="H166" s="774">
        <f>SUMIF('Sched H-1'!$B:$B,$B166,'Sched H-1'!$K:$K)</f>
        <v>0</v>
      </c>
      <c r="I166" s="774">
        <f>SUMIF('Sched H-2'!$B:$B,$B166,'Sched H-2'!$K:$K)</f>
        <v>0</v>
      </c>
      <c r="J166" s="774">
        <f>-SUMIF('Sched H-3'!$B:$B,$B166,'Sched H-3'!$H:$H)</f>
        <v>0</v>
      </c>
      <c r="K166" s="774">
        <f>SUMIF('Sched H-4'!$B:$B,$B166,'Sched H-4'!$J:$J)</f>
        <v>0</v>
      </c>
      <c r="L166" s="774">
        <f>SUMIF('Sched H-5'!$B:$B,$B166,'Sched H-5'!$F:$F)</f>
        <v>0</v>
      </c>
      <c r="M166" s="774">
        <f>SUMIF('Sched H-6'!$B:$B,$B166,'Sched H-6'!$AC:$AC)</f>
        <v>632042.33374100039</v>
      </c>
      <c r="N166" s="774">
        <v>0</v>
      </c>
      <c r="O166" s="774">
        <v>0</v>
      </c>
      <c r="P166" s="774">
        <f>SUMIF('Sched H-9'!$B:$B,$B166,'Sched H-9'!$H:$H)</f>
        <v>0</v>
      </c>
      <c r="Q166" s="774">
        <f>SUMIF('Sched H-10'!$B:$B,$B166,'Sched H-10'!$J:$J)</f>
        <v>0</v>
      </c>
      <c r="R166" s="774">
        <f>SUMIF('Sched H-11'!$B:$B,$B166,'Sched H-11'!$I:$I)</f>
        <v>0</v>
      </c>
      <c r="S166" s="774">
        <f>SUMIF('Sched H-12'!$B:$B,$B166,'Sched H-12'!$G:$G)</f>
        <v>0</v>
      </c>
      <c r="T166" s="777">
        <f t="shared" si="117"/>
        <v>632042.33374100039</v>
      </c>
      <c r="U166" s="778">
        <f t="shared" si="118"/>
        <v>3097703.9937409996</v>
      </c>
      <c r="W166" s="75">
        <f t="shared" si="102"/>
        <v>159</v>
      </c>
      <c r="X166" s="991">
        <v>1556280.0999999996</v>
      </c>
      <c r="Y166" s="991">
        <v>909381.55999999982</v>
      </c>
      <c r="Z166" s="946">
        <f t="shared" si="119"/>
        <v>2465661.6599999992</v>
      </c>
    </row>
    <row r="167" spans="1:26">
      <c r="A167" s="170">
        <f t="shared" si="115"/>
        <v>158</v>
      </c>
      <c r="B167" s="169"/>
      <c r="C167" s="11" t="s">
        <v>164</v>
      </c>
      <c r="D167" s="98"/>
      <c r="E167" s="98"/>
      <c r="F167" s="785">
        <f>ROUND(SUM(F154:F166),0)</f>
        <v>30276470</v>
      </c>
      <c r="G167" s="783"/>
      <c r="H167" s="785">
        <f t="shared" ref="H167" si="120">(SUM(H154:H166))</f>
        <v>-467774.73</v>
      </c>
      <c r="I167" s="785">
        <f>(SUM(I154:I166))</f>
        <v>-644647.78</v>
      </c>
      <c r="J167" s="785">
        <f>(SUM(J154:J166))</f>
        <v>0</v>
      </c>
      <c r="K167" s="785">
        <f>(SUM(K154:K166))</f>
        <v>203384.06610632956</v>
      </c>
      <c r="L167" s="785">
        <f t="shared" ref="L167" si="121">(SUM(L154:L166))</f>
        <v>328707.85919865954</v>
      </c>
      <c r="M167" s="785">
        <f>(SUM(M154:M166))</f>
        <v>4174082.7102349238</v>
      </c>
      <c r="N167" s="785">
        <f t="shared" ref="N167:P167" si="122">(SUM(N154:N166))</f>
        <v>0</v>
      </c>
      <c r="O167" s="785">
        <f t="shared" si="122"/>
        <v>0</v>
      </c>
      <c r="P167" s="785">
        <f t="shared" si="122"/>
        <v>212676.26749999999</v>
      </c>
      <c r="Q167" s="785">
        <f t="shared" ref="Q167:T167" si="123">(SUM(Q154:Q166))</f>
        <v>142853.5</v>
      </c>
      <c r="R167" s="785">
        <f t="shared" si="123"/>
        <v>0</v>
      </c>
      <c r="S167" s="785">
        <f t="shared" si="123"/>
        <v>-87.66</v>
      </c>
      <c r="T167" s="785">
        <f t="shared" si="123"/>
        <v>3949194.2330399128</v>
      </c>
      <c r="U167" s="788">
        <f>SUM(U154:U166)</f>
        <v>34225664.033039913</v>
      </c>
      <c r="W167" s="75">
        <f t="shared" si="102"/>
        <v>160</v>
      </c>
      <c r="X167" s="1474">
        <f t="shared" ref="X167" si="124">SUM(X154:X166)</f>
        <v>17281714.649999999</v>
      </c>
      <c r="Y167" s="1474">
        <f>SUM(Y154:Y166)</f>
        <v>12994755.15</v>
      </c>
      <c r="Z167" s="937">
        <f t="shared" si="119"/>
        <v>30276469.799999997</v>
      </c>
    </row>
    <row r="168" spans="1:26">
      <c r="A168" s="170">
        <f t="shared" si="115"/>
        <v>159</v>
      </c>
      <c r="B168" s="169"/>
      <c r="C168" s="34"/>
      <c r="D168" s="98"/>
      <c r="E168" s="98"/>
      <c r="F168" s="624"/>
      <c r="G168" s="624"/>
      <c r="H168" s="624"/>
      <c r="I168" s="624"/>
      <c r="J168" s="624"/>
      <c r="K168" s="624"/>
      <c r="L168" s="624"/>
      <c r="M168" s="624"/>
      <c r="N168" s="624"/>
      <c r="O168" s="624"/>
      <c r="P168" s="624"/>
      <c r="Q168" s="624"/>
      <c r="R168" s="624"/>
      <c r="S168" s="624"/>
      <c r="T168" s="624"/>
      <c r="U168" s="624"/>
      <c r="W168" s="75">
        <f t="shared" si="102"/>
        <v>161</v>
      </c>
      <c r="X168" s="474"/>
      <c r="Y168" s="474"/>
    </row>
    <row r="169" spans="1:26">
      <c r="A169" s="170">
        <f t="shared" si="115"/>
        <v>160</v>
      </c>
      <c r="B169" s="171"/>
      <c r="C169" s="10"/>
      <c r="D169" s="67" t="s">
        <v>166</v>
      </c>
      <c r="E169" s="98"/>
      <c r="F169" s="624"/>
      <c r="G169" s="624"/>
      <c r="H169" s="624"/>
      <c r="I169" s="624"/>
      <c r="J169" s="624"/>
      <c r="K169" s="624"/>
      <c r="L169" s="624"/>
      <c r="M169" s="624"/>
      <c r="N169" s="624"/>
      <c r="O169" s="624"/>
      <c r="P169" s="624"/>
      <c r="Q169" s="624"/>
      <c r="R169" s="624"/>
      <c r="S169" s="624"/>
      <c r="T169" s="624"/>
      <c r="U169" s="624"/>
      <c r="W169" s="75">
        <f t="shared" si="102"/>
        <v>162</v>
      </c>
      <c r="X169" s="474"/>
      <c r="Y169" s="474"/>
    </row>
    <row r="170" spans="1:26">
      <c r="A170" s="170">
        <f t="shared" si="115"/>
        <v>161</v>
      </c>
      <c r="B170" s="170">
        <v>932</v>
      </c>
      <c r="C170" s="97"/>
      <c r="D170" s="98" t="s">
        <v>159</v>
      </c>
      <c r="E170" s="98"/>
      <c r="F170" s="613">
        <f>HLOOKUP(Attach,$X$8:$AC$274,W170,FALSE)</f>
        <v>1670500.8499999996</v>
      </c>
      <c r="G170" s="789"/>
      <c r="H170" s="765">
        <f>SUMIF('Sched H-1'!$B:$B,$B170,'Sched H-1'!$K:$K)</f>
        <v>0</v>
      </c>
      <c r="I170" s="765">
        <f>SUMIF('Sched H-2'!$B:$B,$B170,'Sched H-2'!$K:$K)</f>
        <v>0</v>
      </c>
      <c r="J170" s="765">
        <f>-SUMIF('Sched H-3'!$B:$B,$B170,'Sched H-3'!$H:$H)</f>
        <v>0</v>
      </c>
      <c r="K170" s="765">
        <f>SUMIF('Sched H-4'!$B:$B,$B170,'Sched H-4'!$J:$J)</f>
        <v>26.311205959928429</v>
      </c>
      <c r="L170" s="765">
        <f>SUMIF('Sched H-5'!$B:$B,$B170,'Sched H-5'!$F:$F)</f>
        <v>0</v>
      </c>
      <c r="M170" s="765">
        <f>SUMIF('Sched H-6'!$B:$B,$B170,'Sched H-6'!$AC:$AC)</f>
        <v>35616.895801474107</v>
      </c>
      <c r="N170" s="765">
        <v>0</v>
      </c>
      <c r="O170" s="765">
        <v>0</v>
      </c>
      <c r="P170" s="765">
        <f>SUMIF('Sched H-9'!$B:$B,$B170,'Sched H-9'!$H:$H)</f>
        <v>0</v>
      </c>
      <c r="Q170" s="765">
        <f>SUMIF('Sched H-10'!$B:$B,$B170,'Sched H-10'!$J:$J)</f>
        <v>0</v>
      </c>
      <c r="R170" s="765">
        <f>SUMIF('Sched H-11'!$B:$B,$B170,'Sched H-11'!$I:$I)</f>
        <v>0</v>
      </c>
      <c r="S170" s="765">
        <f>SUMIF('Sched H-12'!$B:$B,$B170,'Sched H-12'!$G:$G)</f>
        <v>-7.64</v>
      </c>
      <c r="T170" s="765">
        <f>SUM(H170:S170)</f>
        <v>35635.567007434038</v>
      </c>
      <c r="U170" s="766">
        <f>SUM(F170:S170)</f>
        <v>1706136.4170074337</v>
      </c>
      <c r="W170" s="75">
        <f t="shared" si="102"/>
        <v>163</v>
      </c>
      <c r="X170" s="990">
        <v>1014077.0899999999</v>
      </c>
      <c r="Y170" s="990">
        <v>656423.75999999989</v>
      </c>
      <c r="Z170" s="947">
        <f>+X170+Y170</f>
        <v>1670500.8499999996</v>
      </c>
    </row>
    <row r="171" spans="1:26">
      <c r="A171" s="170">
        <f t="shared" si="115"/>
        <v>162</v>
      </c>
      <c r="B171" s="96"/>
      <c r="C171" s="11" t="s">
        <v>385</v>
      </c>
      <c r="D171" s="98"/>
      <c r="E171" s="98"/>
      <c r="F171" s="785">
        <f>ROUND(SUM(F167+F170),0)</f>
        <v>31946971</v>
      </c>
      <c r="G171" s="783"/>
      <c r="H171" s="785">
        <f t="shared" ref="H171" si="125">H170+H167</f>
        <v>-467774.73</v>
      </c>
      <c r="I171" s="785">
        <f t="shared" ref="I171" si="126">I170+I167</f>
        <v>-644647.78</v>
      </c>
      <c r="J171" s="785">
        <f>J170+J167</f>
        <v>0</v>
      </c>
      <c r="K171" s="785">
        <f>K170+K167</f>
        <v>203410.37731228949</v>
      </c>
      <c r="L171" s="785">
        <f t="shared" ref="L171" si="127">L170+L167</f>
        <v>328707.85919865954</v>
      </c>
      <c r="M171" s="785">
        <f>M170+M167</f>
        <v>4209699.6060363976</v>
      </c>
      <c r="N171" s="785">
        <f t="shared" ref="N171:P171" si="128">N170+N167</f>
        <v>0</v>
      </c>
      <c r="O171" s="785">
        <f t="shared" si="128"/>
        <v>0</v>
      </c>
      <c r="P171" s="785">
        <f t="shared" si="128"/>
        <v>212676.26749999999</v>
      </c>
      <c r="Q171" s="785">
        <f t="shared" ref="Q171:T171" si="129">Q170+Q167</f>
        <v>142853.5</v>
      </c>
      <c r="R171" s="785">
        <f t="shared" si="129"/>
        <v>0</v>
      </c>
      <c r="S171" s="785">
        <f t="shared" si="129"/>
        <v>-95.3</v>
      </c>
      <c r="T171" s="785">
        <f t="shared" si="129"/>
        <v>3984829.8000473469</v>
      </c>
      <c r="U171" s="785">
        <f>ROUND(SUM(U167+U170),0)</f>
        <v>35931800</v>
      </c>
      <c r="W171" s="75">
        <f t="shared" si="102"/>
        <v>164</v>
      </c>
    </row>
    <row r="172" spans="1:26">
      <c r="A172" s="170">
        <f t="shared" si="115"/>
        <v>163</v>
      </c>
      <c r="B172" s="96"/>
      <c r="C172" s="34"/>
      <c r="D172" s="97"/>
      <c r="E172" s="97"/>
      <c r="F172" s="550"/>
      <c r="G172" s="165"/>
      <c r="H172" s="550"/>
      <c r="I172" s="550"/>
      <c r="J172" s="550"/>
      <c r="K172" s="550"/>
      <c r="L172" s="550"/>
      <c r="M172" s="550"/>
      <c r="N172" s="550"/>
      <c r="O172" s="550"/>
      <c r="P172" s="550"/>
      <c r="Q172" s="550"/>
      <c r="R172" s="550"/>
      <c r="S172" s="550"/>
      <c r="T172" s="550"/>
      <c r="U172" s="550"/>
      <c r="W172" s="75">
        <f t="shared" si="102"/>
        <v>165</v>
      </c>
    </row>
    <row r="173" spans="1:26" ht="13.5" thickBot="1">
      <c r="A173" s="170">
        <f t="shared" si="115"/>
        <v>164</v>
      </c>
      <c r="B173" s="96"/>
      <c r="C173" s="34" t="s">
        <v>184</v>
      </c>
      <c r="D173" s="97"/>
      <c r="E173" s="97"/>
      <c r="F173" s="551">
        <f>ROUND(F47+F23+F33+F60+F69+F95+F125+F134+F142+F150+F171,0)</f>
        <v>143067314</v>
      </c>
      <c r="G173" s="357"/>
      <c r="H173" s="551">
        <f t="shared" ref="H173:U173" si="130">ROUND(H47+H23+H33+H60+H69+H95+H125+H134+H142+H150+H171,0)</f>
        <v>-1002489</v>
      </c>
      <c r="I173" s="551">
        <f t="shared" si="130"/>
        <v>-919781</v>
      </c>
      <c r="J173" s="551">
        <f t="shared" si="130"/>
        <v>-75525851</v>
      </c>
      <c r="K173" s="551">
        <f t="shared" si="130"/>
        <v>2409265</v>
      </c>
      <c r="L173" s="551">
        <f t="shared" si="130"/>
        <v>328708</v>
      </c>
      <c r="M173" s="551">
        <f t="shared" si="130"/>
        <v>4244914</v>
      </c>
      <c r="N173" s="551">
        <f t="shared" ca="1" si="130"/>
        <v>145508</v>
      </c>
      <c r="O173" s="551">
        <f t="shared" si="130"/>
        <v>243387</v>
      </c>
      <c r="P173" s="551">
        <f t="shared" si="130"/>
        <v>212676</v>
      </c>
      <c r="Q173" s="551">
        <f t="shared" si="130"/>
        <v>142854</v>
      </c>
      <c r="R173" s="551">
        <f t="shared" si="130"/>
        <v>161999</v>
      </c>
      <c r="S173" s="551">
        <f t="shared" si="130"/>
        <v>-246633</v>
      </c>
      <c r="T173" s="551">
        <f t="shared" ca="1" si="130"/>
        <v>-69805444</v>
      </c>
      <c r="U173" s="551">
        <f t="shared" ca="1" si="130"/>
        <v>73261868</v>
      </c>
      <c r="W173" s="75">
        <f t="shared" si="102"/>
        <v>166</v>
      </c>
      <c r="X173" s="1475">
        <f>X170+X167+X150+X142+X134+X123+X110+X93+X83+X69+X60+X47+X33+X23</f>
        <v>113751980.48</v>
      </c>
      <c r="Y173" s="1475">
        <f>Y170+Y167+Y150+Y142+Y134+Y123+Y110+Y93+Y83+Y69+Y60+Y47+Y33+Y23</f>
        <v>29315332.640000001</v>
      </c>
      <c r="Z173" s="1473">
        <f>+X173+Y173</f>
        <v>143067313.12</v>
      </c>
    </row>
    <row r="174" spans="1:26" ht="13.5" thickTop="1">
      <c r="A174" s="107"/>
    </row>
    <row r="175" spans="1:26">
      <c r="A175" s="107"/>
      <c r="B175" s="98"/>
      <c r="C175" s="98"/>
      <c r="D175" s="98"/>
      <c r="F175" s="127"/>
      <c r="G175" s="35"/>
      <c r="H175" s="200">
        <f>'Sched H-1'!K27</f>
        <v>-1002488.89</v>
      </c>
      <c r="I175" s="200">
        <f>'Sched H-2'!K45</f>
        <v>-919780.9</v>
      </c>
      <c r="J175" s="165">
        <f>-'Sched H-3'!H24</f>
        <v>-75525851.089999989</v>
      </c>
      <c r="K175" s="165">
        <f>'Sched H-4'!J139</f>
        <v>2409265</v>
      </c>
      <c r="L175" s="200">
        <f>'Sched H-5'!F21</f>
        <v>328707.85919865966</v>
      </c>
      <c r="M175" s="165">
        <f>'Sched H-6'!AC89</f>
        <v>4244913.5348333986</v>
      </c>
      <c r="N175" s="165">
        <f ca="1">'Sched H-7'!F29</f>
        <v>145507.70297257428</v>
      </c>
      <c r="O175" s="165">
        <f>'Sched H-8'!J8</f>
        <v>243386.85</v>
      </c>
      <c r="P175" s="165">
        <f>+'Sched H-9'!H12</f>
        <v>212676.26749999999</v>
      </c>
      <c r="Q175" s="165">
        <f>'Sched H-10'!J8</f>
        <v>142853.5</v>
      </c>
      <c r="R175" s="165">
        <f>'Sched H-11'!I13</f>
        <v>161998.95000000019</v>
      </c>
      <c r="S175" s="165">
        <f>'Sched H-12'!G72</f>
        <v>-246633.34031789051</v>
      </c>
      <c r="T175" s="345"/>
      <c r="U175" s="173"/>
    </row>
    <row r="176" spans="1:26">
      <c r="A176" s="170"/>
      <c r="B176" s="98"/>
      <c r="C176" s="98"/>
      <c r="D176" s="98"/>
      <c r="E176" s="98"/>
      <c r="F176" s="127"/>
      <c r="G176" s="67"/>
      <c r="H176" s="200">
        <f>+H173-H175</f>
        <v>-0.10999999998603016</v>
      </c>
      <c r="I176" s="200">
        <f t="shared" ref="I176:O176" si="131">+I173-I175</f>
        <v>-9.9999999976716936E-2</v>
      </c>
      <c r="J176" s="200">
        <f t="shared" ref="J176" si="132">+J173-J175</f>
        <v>8.9999988675117493E-2</v>
      </c>
      <c r="K176" s="200">
        <f t="shared" si="131"/>
        <v>0</v>
      </c>
      <c r="L176" s="200">
        <f t="shared" si="131"/>
        <v>0.14080134034156799</v>
      </c>
      <c r="M176" s="200">
        <f t="shared" si="131"/>
        <v>0.46516660135239363</v>
      </c>
      <c r="N176" s="200">
        <f t="shared" ca="1" si="131"/>
        <v>0.2970274257240817</v>
      </c>
      <c r="O176" s="200">
        <f t="shared" si="131"/>
        <v>0.14999999999417923</v>
      </c>
      <c r="P176" s="200">
        <f>+P173-P175</f>
        <v>-0.26749999998719431</v>
      </c>
      <c r="Q176" s="200">
        <f t="shared" ref="Q176:R176" si="133">+Q173-Q175</f>
        <v>0.5</v>
      </c>
      <c r="R176" s="200">
        <f t="shared" si="133"/>
        <v>4.9999999813735485E-2</v>
      </c>
      <c r="S176" s="200">
        <f t="shared" ref="S176" si="134">+S173-S175</f>
        <v>0.34031789051368833</v>
      </c>
      <c r="T176" s="200"/>
      <c r="U176" s="200"/>
      <c r="W176" s="98" t="s">
        <v>1124</v>
      </c>
      <c r="X176" s="454">
        <f>X173-(113751724+256.53)</f>
        <v>-4.9999997019767761E-2</v>
      </c>
      <c r="Y176" s="454">
        <f>Y173-(29315137+195.46)</f>
        <v>0.17999999970197678</v>
      </c>
    </row>
    <row r="177" spans="1:25">
      <c r="A177" s="170"/>
      <c r="B177" s="98"/>
      <c r="C177" s="98"/>
      <c r="D177" s="98"/>
      <c r="E177" s="98"/>
      <c r="F177" s="127"/>
      <c r="G177" s="67"/>
      <c r="H177" s="173"/>
      <c r="I177" s="173"/>
      <c r="L177" s="173"/>
      <c r="T177" s="958"/>
      <c r="U177" s="173"/>
      <c r="X177" s="957"/>
      <c r="Y177" s="957"/>
    </row>
    <row r="178" spans="1:25">
      <c r="A178" s="170"/>
      <c r="B178" s="98"/>
      <c r="C178" s="98"/>
      <c r="D178" s="98"/>
      <c r="E178" s="98"/>
      <c r="F178" s="98"/>
      <c r="G178" s="67"/>
      <c r="H178" s="173"/>
      <c r="I178" s="173"/>
      <c r="L178" s="173"/>
      <c r="T178" s="127"/>
      <c r="U178" s="173"/>
    </row>
    <row r="179" spans="1:25">
      <c r="A179" s="170"/>
      <c r="B179" s="98"/>
      <c r="C179" s="98"/>
      <c r="D179" s="474"/>
      <c r="E179" s="98"/>
      <c r="F179" s="756"/>
      <c r="G179" s="67"/>
      <c r="H179" s="173"/>
      <c r="I179" s="173"/>
      <c r="L179" s="98"/>
      <c r="T179" s="127"/>
      <c r="U179" s="173"/>
    </row>
    <row r="180" spans="1:25">
      <c r="A180" s="170"/>
      <c r="B180" s="98"/>
      <c r="C180" s="98"/>
      <c r="D180" s="98"/>
      <c r="E180" s="98"/>
      <c r="F180" s="127"/>
      <c r="G180" s="67"/>
      <c r="H180" s="98"/>
      <c r="I180" s="98"/>
      <c r="L180" s="173"/>
      <c r="T180" s="127"/>
      <c r="U180" s="173"/>
    </row>
    <row r="181" spans="1:25">
      <c r="A181" s="170"/>
      <c r="B181" s="98"/>
      <c r="C181" s="98"/>
      <c r="D181" s="98"/>
      <c r="E181" s="98"/>
      <c r="F181" s="127"/>
      <c r="G181" s="67"/>
      <c r="H181" s="173"/>
      <c r="I181" s="173"/>
      <c r="L181" s="173"/>
      <c r="T181" s="127"/>
      <c r="U181" s="173"/>
    </row>
    <row r="182" spans="1:25">
      <c r="A182" s="170"/>
      <c r="B182" s="98"/>
      <c r="C182" s="98"/>
      <c r="D182" s="474"/>
      <c r="E182" s="98"/>
      <c r="F182" s="756"/>
      <c r="G182" s="67"/>
      <c r="H182" s="173"/>
      <c r="I182" s="173"/>
      <c r="L182" s="173"/>
      <c r="T182" s="127"/>
      <c r="U182" s="173"/>
    </row>
    <row r="183" spans="1:25">
      <c r="A183" s="170"/>
      <c r="B183" s="98"/>
      <c r="C183" s="98"/>
      <c r="D183" s="98"/>
      <c r="E183" s="98"/>
      <c r="F183" s="127"/>
      <c r="G183" s="67"/>
      <c r="H183" s="173"/>
      <c r="I183" s="173"/>
      <c r="L183" s="173"/>
      <c r="T183" s="127"/>
      <c r="U183" s="173"/>
    </row>
    <row r="184" spans="1:25">
      <c r="A184" s="170"/>
      <c r="B184" s="98"/>
      <c r="C184" s="98"/>
      <c r="D184" s="98"/>
      <c r="E184" s="98"/>
      <c r="F184" s="127"/>
      <c r="G184" s="67"/>
      <c r="H184" s="173"/>
      <c r="I184" s="173"/>
      <c r="L184" s="173"/>
      <c r="T184" s="127"/>
      <c r="U184" s="173"/>
    </row>
    <row r="185" spans="1:25">
      <c r="A185" s="170"/>
      <c r="B185" s="98"/>
      <c r="C185" s="98"/>
      <c r="D185" s="474"/>
      <c r="E185" s="98"/>
      <c r="F185" s="756"/>
      <c r="G185" s="67"/>
      <c r="H185" s="173"/>
      <c r="I185" s="173"/>
      <c r="L185" s="166"/>
      <c r="T185" s="127"/>
      <c r="U185" s="173"/>
    </row>
    <row r="186" spans="1:25">
      <c r="A186" s="170"/>
      <c r="B186" s="98"/>
      <c r="C186" s="98"/>
      <c r="D186" s="98"/>
      <c r="E186" s="98"/>
      <c r="F186" s="127"/>
      <c r="G186" s="67"/>
      <c r="H186" s="173"/>
      <c r="I186" s="173"/>
      <c r="L186" s="166"/>
      <c r="T186" s="127"/>
      <c r="U186" s="173"/>
    </row>
    <row r="187" spans="1:25">
      <c r="A187" s="170"/>
      <c r="B187" s="98"/>
      <c r="C187" s="98"/>
      <c r="D187" s="98"/>
      <c r="E187" s="98"/>
      <c r="F187" s="127"/>
      <c r="G187" s="67"/>
      <c r="H187" s="173"/>
      <c r="I187" s="173"/>
      <c r="L187" s="173"/>
      <c r="T187" s="165"/>
      <c r="U187" s="173"/>
    </row>
    <row r="188" spans="1:25">
      <c r="A188" s="98"/>
      <c r="B188" s="98"/>
      <c r="C188" s="67"/>
      <c r="D188" s="957"/>
      <c r="E188" s="98"/>
      <c r="F188" s="959"/>
      <c r="G188" s="165"/>
      <c r="T188" s="165"/>
      <c r="U188" s="165"/>
    </row>
    <row r="189" spans="1:25">
      <c r="A189" s="98"/>
      <c r="B189" s="98"/>
      <c r="C189" s="67"/>
      <c r="D189" s="98"/>
      <c r="E189" s="98"/>
      <c r="G189" s="165"/>
      <c r="T189" s="165"/>
      <c r="U189" s="165"/>
    </row>
  </sheetData>
  <phoneticPr fontId="14" type="noConversion"/>
  <printOptions horizontalCentered="1"/>
  <pageMargins left="0.25" right="0.25" top="0.5" bottom="0.25" header="0.5" footer="0.19"/>
  <pageSetup scale="58" firstPageNumber="6" fitToWidth="2" fitToHeight="3" orientation="landscape" r:id="rId1"/>
  <headerFooter alignWithMargins="0">
    <oddHeader xml:space="preserve">&amp;R
</oddHeader>
  </headerFooter>
  <rowBreaks count="2" manualBreakCount="2">
    <brk id="71" max="20" man="1"/>
    <brk id="135"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workbookViewId="0">
      <selection activeCell="B4" sqref="B4"/>
    </sheetView>
  </sheetViews>
  <sheetFormatPr defaultRowHeight="12.75"/>
  <cols>
    <col min="1" max="1" width="26" customWidth="1"/>
    <col min="2" max="2" width="44" customWidth="1"/>
    <col min="3" max="3" width="14" customWidth="1"/>
    <col min="4" max="4" width="22.6640625" customWidth="1"/>
    <col min="5" max="5" width="16.33203125" customWidth="1"/>
    <col min="7" max="7" width="19.33203125" customWidth="1"/>
    <col min="8" max="8" width="22.1640625" customWidth="1"/>
  </cols>
  <sheetData>
    <row r="1" spans="1:7">
      <c r="A1" s="8" t="s">
        <v>533</v>
      </c>
      <c r="B1" s="8" t="s">
        <v>951</v>
      </c>
    </row>
    <row r="2" spans="1:7" s="62" customFormat="1">
      <c r="A2" s="8" t="s">
        <v>684</v>
      </c>
      <c r="B2" s="8" t="s">
        <v>1101</v>
      </c>
    </row>
    <row r="3" spans="1:7">
      <c r="A3" s="8" t="s">
        <v>691</v>
      </c>
      <c r="B3" s="8" t="s">
        <v>975</v>
      </c>
      <c r="C3" s="927"/>
      <c r="G3" s="62"/>
    </row>
    <row r="4" spans="1:7">
      <c r="A4" s="23" t="s">
        <v>534</v>
      </c>
      <c r="B4" s="614" t="s">
        <v>1685</v>
      </c>
      <c r="F4" s="62"/>
      <c r="G4" s="62"/>
    </row>
    <row r="5" spans="1:7">
      <c r="A5" s="8" t="s">
        <v>543</v>
      </c>
      <c r="B5" s="580">
        <v>0.21</v>
      </c>
      <c r="F5" s="62"/>
      <c r="G5" s="62"/>
    </row>
    <row r="6" spans="1:7" s="62" customFormat="1">
      <c r="A6" s="8" t="s">
        <v>952</v>
      </c>
      <c r="B6" s="580">
        <v>7.8100000000000003E-2</v>
      </c>
    </row>
    <row r="7" spans="1:7" s="62" customFormat="1">
      <c r="A7" s="8" t="s">
        <v>544</v>
      </c>
      <c r="B7" s="580">
        <f>((1-B6)*B5)+B6</f>
        <v>0.27169900000000002</v>
      </c>
      <c r="G7" s="927"/>
    </row>
    <row r="8" spans="1:7">
      <c r="A8" s="8"/>
      <c r="B8" s="1369"/>
      <c r="G8" s="927"/>
    </row>
    <row r="9" spans="1:7">
      <c r="A9" s="14"/>
      <c r="B9" s="14"/>
      <c r="C9" s="14"/>
      <c r="D9" s="14"/>
      <c r="E9" s="14"/>
      <c r="G9" s="927"/>
    </row>
    <row r="10" spans="1:7">
      <c r="A10" s="14"/>
      <c r="B10" s="23"/>
      <c r="C10" s="23" t="s">
        <v>536</v>
      </c>
      <c r="D10" s="23" t="s">
        <v>537</v>
      </c>
      <c r="E10" s="23" t="s">
        <v>959</v>
      </c>
    </row>
    <row r="11" spans="1:7">
      <c r="A11" s="14"/>
      <c r="B11" s="23"/>
      <c r="C11" s="23" t="s">
        <v>953</v>
      </c>
      <c r="D11" s="23" t="s">
        <v>956</v>
      </c>
      <c r="E11" s="23" t="s">
        <v>960</v>
      </c>
    </row>
    <row r="12" spans="1:7">
      <c r="A12" s="14"/>
      <c r="B12" s="23"/>
      <c r="C12" s="23" t="s">
        <v>954</v>
      </c>
      <c r="D12" s="23" t="s">
        <v>957</v>
      </c>
      <c r="E12" s="23" t="s">
        <v>961</v>
      </c>
    </row>
    <row r="13" spans="1:7">
      <c r="A13" s="14"/>
      <c r="B13" s="23"/>
      <c r="C13" s="23" t="s">
        <v>955</v>
      </c>
      <c r="D13" s="23" t="s">
        <v>958</v>
      </c>
      <c r="E13" s="23" t="s">
        <v>962</v>
      </c>
    </row>
    <row r="14" spans="1:7">
      <c r="A14" s="14"/>
      <c r="B14" s="23"/>
      <c r="C14" s="23" t="s">
        <v>536</v>
      </c>
      <c r="D14" s="23" t="s">
        <v>537</v>
      </c>
      <c r="E14" s="23" t="s">
        <v>959</v>
      </c>
    </row>
    <row r="15" spans="1:7">
      <c r="A15" s="14"/>
      <c r="B15" s="14"/>
      <c r="C15" s="14"/>
      <c r="D15" s="14"/>
      <c r="E15" s="14"/>
    </row>
    <row r="16" spans="1:7">
      <c r="A16" s="14"/>
      <c r="B16" s="14"/>
      <c r="C16" s="14"/>
      <c r="D16" s="14"/>
      <c r="E16" s="14"/>
    </row>
    <row r="17" spans="1:8">
      <c r="A17" s="14"/>
      <c r="B17" s="23"/>
      <c r="C17" s="23" t="s">
        <v>1506</v>
      </c>
      <c r="D17" s="23" t="s">
        <v>1507</v>
      </c>
      <c r="E17" s="23" t="s">
        <v>1685</v>
      </c>
    </row>
    <row r="18" spans="1:8">
      <c r="A18" s="14"/>
      <c r="B18" s="23"/>
      <c r="C18" s="23" t="s">
        <v>955</v>
      </c>
      <c r="D18" s="23" t="s">
        <v>958</v>
      </c>
      <c r="E18" s="23" t="s">
        <v>535</v>
      </c>
    </row>
    <row r="19" spans="1:8">
      <c r="A19" s="14"/>
      <c r="B19" s="506">
        <f ca="1">'Stmt N'!K347</f>
        <v>144268938.5981819</v>
      </c>
      <c r="C19" s="506">
        <v>101138331.50077251</v>
      </c>
      <c r="D19" s="506">
        <v>87698286.680862054</v>
      </c>
      <c r="E19" s="14">
        <v>150316400.75063312</v>
      </c>
      <c r="G19" s="8" t="s">
        <v>972</v>
      </c>
    </row>
    <row r="20" spans="1:8">
      <c r="A20" s="8"/>
      <c r="B20" s="326"/>
      <c r="G20" s="8" t="s">
        <v>971</v>
      </c>
    </row>
    <row r="21" spans="1:8">
      <c r="A21" s="8"/>
      <c r="G21" s="642">
        <f ca="1">'Sched H-7'!F23</f>
        <v>151016144</v>
      </c>
      <c r="H21" s="8" t="s">
        <v>1468</v>
      </c>
    </row>
    <row r="22" spans="1:8">
      <c r="A22" s="8"/>
      <c r="G22" s="642">
        <f ca="1">'Sched F-2 Pg 2'!C29</f>
        <v>8617293.5380410012</v>
      </c>
      <c r="H22" s="8" t="s">
        <v>1467</v>
      </c>
    </row>
    <row r="23" spans="1:8">
      <c r="A23" s="8"/>
    </row>
    <row r="24" spans="1:8">
      <c r="A24" s="8"/>
    </row>
  </sheetData>
  <dataValidations count="1">
    <dataValidation type="list" allowBlank="1" showInputMessage="1" showErrorMessage="1" sqref="B4" xr:uid="{00000000-0002-0000-0000-000000000000}">
      <formula1>$B$17:$F$17</formula1>
    </dataValidation>
  </dataValidation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J74"/>
  <sheetViews>
    <sheetView workbookViewId="0"/>
  </sheetViews>
  <sheetFormatPr defaultColWidth="10.6640625" defaultRowHeight="12.75"/>
  <cols>
    <col min="1" max="1" width="6.83203125" style="8" customWidth="1"/>
    <col min="2" max="2" width="9.6640625" style="8" bestFit="1" customWidth="1"/>
    <col min="3" max="3" width="66.6640625" style="8" customWidth="1"/>
    <col min="4" max="4" width="1.33203125" style="903" customWidth="1"/>
    <col min="5" max="10" width="13.33203125" style="8" customWidth="1"/>
    <col min="11" max="11" width="27.1640625" style="8" customWidth="1"/>
    <col min="12" max="12" width="10.33203125" style="8" customWidth="1"/>
    <col min="13" max="13" width="3.1640625" style="8" bestFit="1" customWidth="1"/>
    <col min="14" max="16" width="10.83203125" style="162" customWidth="1"/>
    <col min="17" max="17" width="3.1640625" style="162" customWidth="1"/>
    <col min="18" max="18" width="3.33203125" style="162" customWidth="1"/>
    <col min="19" max="21" width="10.6640625" style="162"/>
    <col min="22" max="22" width="2.83203125" style="162" customWidth="1"/>
    <col min="23" max="23" width="3.83203125" style="162" customWidth="1"/>
    <col min="24" max="26" width="10.6640625" style="162"/>
    <col min="27" max="27" width="2.83203125" style="162" customWidth="1"/>
    <col min="28" max="28" width="4.33203125" style="162" customWidth="1"/>
    <col min="29" max="31" width="11.33203125" style="162" customWidth="1"/>
    <col min="32" max="32" width="4" style="162" customWidth="1"/>
    <col min="33" max="33" width="3.83203125" style="162" customWidth="1"/>
    <col min="34" max="36" width="11.33203125" style="162" customWidth="1"/>
    <col min="37" max="16384" width="10.6640625" style="162"/>
  </cols>
  <sheetData>
    <row r="1" spans="1:36" ht="12.75" customHeight="1">
      <c r="A1" s="69" t="str">
        <f>Company</f>
        <v>BLACK HILLS NEBRASKA GAS, LLC</v>
      </c>
      <c r="B1" s="119"/>
      <c r="C1" s="119"/>
      <c r="D1" s="902"/>
      <c r="E1" s="119"/>
      <c r="F1" s="119"/>
      <c r="G1" s="119"/>
      <c r="H1" s="119"/>
      <c r="I1" s="119"/>
      <c r="J1" s="119"/>
      <c r="K1" s="72" t="str">
        <f>Attach</f>
        <v>FINAL - BH January 15, 2021 Rev. Req. Model</v>
      </c>
      <c r="L1" s="119"/>
      <c r="M1" s="56"/>
      <c r="N1" s="1170"/>
    </row>
    <row r="2" spans="1:36" ht="12.75" customHeight="1">
      <c r="A2" s="70" t="s">
        <v>740</v>
      </c>
      <c r="B2" s="119"/>
      <c r="C2" s="119"/>
      <c r="D2" s="902"/>
      <c r="E2" s="119"/>
      <c r="F2" s="119"/>
      <c r="G2" s="119"/>
      <c r="H2" s="119"/>
      <c r="I2" s="119"/>
      <c r="J2" s="119"/>
      <c r="K2" s="56" t="s">
        <v>775</v>
      </c>
      <c r="L2" s="119"/>
      <c r="M2" s="56"/>
    </row>
    <row r="3" spans="1:36" ht="12.75" customHeight="1">
      <c r="A3" s="70" t="str">
        <f>TYEnded</f>
        <v>FOR THE TEST YEAR ENDING DECEMBER 31, 2020</v>
      </c>
      <c r="B3" s="119"/>
      <c r="C3" s="119"/>
      <c r="D3" s="902"/>
      <c r="E3" s="119"/>
      <c r="F3" s="119"/>
      <c r="G3" s="119"/>
      <c r="H3" s="119"/>
      <c r="I3" s="119"/>
      <c r="J3" s="119"/>
      <c r="L3" s="119"/>
      <c r="M3" s="119"/>
    </row>
    <row r="4" spans="1:36" ht="12.75" customHeight="1">
      <c r="A4" s="70"/>
      <c r="B4" s="119"/>
      <c r="C4" s="119"/>
      <c r="D4" s="902"/>
      <c r="E4" s="1174"/>
      <c r="F4" s="119"/>
      <c r="G4" s="119"/>
      <c r="H4" s="119"/>
      <c r="I4" s="119"/>
      <c r="J4" s="119"/>
      <c r="L4" s="119"/>
      <c r="M4" s="119"/>
    </row>
    <row r="5" spans="1:36" ht="12.75" customHeight="1">
      <c r="A5" s="70"/>
      <c r="B5" s="119"/>
      <c r="C5" s="119"/>
      <c r="D5" s="902"/>
      <c r="E5" s="119"/>
      <c r="F5" s="119"/>
      <c r="G5" s="119"/>
      <c r="H5" s="119"/>
      <c r="I5" s="119"/>
      <c r="J5" s="119"/>
      <c r="L5" s="119"/>
      <c r="M5" s="119"/>
    </row>
    <row r="6" spans="1:36" ht="12.75" customHeight="1">
      <c r="A6" s="70"/>
      <c r="B6" s="119"/>
      <c r="C6" s="119"/>
      <c r="D6" s="902"/>
      <c r="E6" s="375" t="s">
        <v>199</v>
      </c>
      <c r="F6" s="375" t="s">
        <v>200</v>
      </c>
      <c r="G6" s="375" t="s">
        <v>41</v>
      </c>
      <c r="H6" s="375" t="s">
        <v>202</v>
      </c>
      <c r="I6" s="375" t="s">
        <v>203</v>
      </c>
      <c r="J6" s="375" t="s">
        <v>204</v>
      </c>
      <c r="K6" s="375" t="s">
        <v>205</v>
      </c>
      <c r="L6" s="119"/>
      <c r="M6" s="119"/>
      <c r="N6" s="162" t="s">
        <v>1132</v>
      </c>
      <c r="R6" s="119"/>
      <c r="S6" s="162" t="s">
        <v>1133</v>
      </c>
      <c r="W6" s="119"/>
      <c r="X6" s="162" t="s">
        <v>1199</v>
      </c>
      <c r="AB6" s="119"/>
      <c r="AC6" s="162" t="s">
        <v>1198</v>
      </c>
      <c r="AG6" s="119"/>
      <c r="AH6" s="162" t="s">
        <v>1200</v>
      </c>
    </row>
    <row r="7" spans="1:36" ht="12.75" customHeight="1">
      <c r="A7" s="70"/>
      <c r="B7" s="119"/>
      <c r="C7" s="119"/>
      <c r="D7" s="902"/>
      <c r="E7" s="5" t="s">
        <v>21</v>
      </c>
      <c r="F7" s="5" t="s">
        <v>22</v>
      </c>
      <c r="G7" s="5" t="s">
        <v>843</v>
      </c>
      <c r="H7" s="5" t="s">
        <v>850</v>
      </c>
      <c r="I7" s="5" t="s">
        <v>902</v>
      </c>
      <c r="J7" s="5" t="s">
        <v>1201</v>
      </c>
      <c r="K7" s="1616" t="s">
        <v>1560</v>
      </c>
      <c r="L7" s="119"/>
      <c r="M7" s="119"/>
      <c r="R7" s="119"/>
      <c r="W7" s="119"/>
      <c r="AB7" s="119"/>
      <c r="AG7" s="119"/>
    </row>
    <row r="8" spans="1:36">
      <c r="A8" s="216"/>
      <c r="B8" s="213"/>
      <c r="C8" s="213"/>
      <c r="D8" s="375"/>
      <c r="E8" s="38" t="s">
        <v>1053</v>
      </c>
      <c r="F8" s="38" t="s">
        <v>1053</v>
      </c>
      <c r="G8" s="38" t="s">
        <v>1053</v>
      </c>
      <c r="H8" s="38" t="s">
        <v>1053</v>
      </c>
      <c r="I8" s="38" t="s">
        <v>1053</v>
      </c>
      <c r="J8" s="38" t="s">
        <v>1053</v>
      </c>
      <c r="K8" s="375"/>
      <c r="L8" s="217"/>
      <c r="M8" s="75">
        <v>1</v>
      </c>
      <c r="N8" s="86" t="str">
        <f>References!$C$17</f>
        <v>Exhibit No. MCC-2 NEG</v>
      </c>
      <c r="O8" s="86" t="str">
        <f>References!$D$17</f>
        <v>Exhibit No. MCC-2 NEGD</v>
      </c>
      <c r="P8" s="86" t="str">
        <f>References!$E$17</f>
        <v>FINAL - BH January 15, 2021 Rev. Req. Model</v>
      </c>
      <c r="R8" s="75">
        <v>1</v>
      </c>
      <c r="S8" s="86" t="str">
        <f>References!$C$17</f>
        <v>Exhibit No. MCC-2 NEG</v>
      </c>
      <c r="T8" s="86" t="str">
        <f>References!$D$17</f>
        <v>Exhibit No. MCC-2 NEGD</v>
      </c>
      <c r="U8" s="86" t="str">
        <f>References!$E$17</f>
        <v>FINAL - BH January 15, 2021 Rev. Req. Model</v>
      </c>
      <c r="W8" s="75">
        <v>1</v>
      </c>
      <c r="X8" s="86" t="str">
        <f>References!$C$17</f>
        <v>Exhibit No. MCC-2 NEG</v>
      </c>
      <c r="Y8" s="86" t="str">
        <f>References!$D$17</f>
        <v>Exhibit No. MCC-2 NEGD</v>
      </c>
      <c r="Z8" s="86" t="str">
        <f>References!$E$17</f>
        <v>FINAL - BH January 15, 2021 Rev. Req. Model</v>
      </c>
      <c r="AB8" s="75">
        <v>1</v>
      </c>
      <c r="AC8" s="75" t="str">
        <f>References!$C$17</f>
        <v>Exhibit No. MCC-2 NEG</v>
      </c>
      <c r="AD8" s="75" t="str">
        <f>References!$D$17</f>
        <v>Exhibit No. MCC-2 NEGD</v>
      </c>
      <c r="AE8" s="75" t="str">
        <f>References!$E$17</f>
        <v>FINAL - BH January 15, 2021 Rev. Req. Model</v>
      </c>
      <c r="AG8" s="75">
        <v>1</v>
      </c>
      <c r="AH8" s="86" t="str">
        <f>References!$C$17</f>
        <v>Exhibit No. MCC-2 NEG</v>
      </c>
      <c r="AI8" s="86" t="str">
        <f>References!$D$17</f>
        <v>Exhibit No. MCC-2 NEGD</v>
      </c>
      <c r="AJ8" s="86" t="str">
        <f>References!$E$17</f>
        <v>FINAL - BH January 15, 2021 Rev. Req. Model</v>
      </c>
    </row>
    <row r="9" spans="1:36" ht="29.1" customHeight="1">
      <c r="A9" s="397" t="s">
        <v>117</v>
      </c>
      <c r="B9" s="398" t="s">
        <v>517</v>
      </c>
      <c r="C9" s="399" t="s">
        <v>124</v>
      </c>
      <c r="D9" s="400"/>
      <c r="E9" s="392" t="s">
        <v>1497</v>
      </c>
      <c r="F9" s="392" t="s">
        <v>1496</v>
      </c>
      <c r="G9" s="392" t="s">
        <v>1498</v>
      </c>
      <c r="H9" s="392" t="s">
        <v>1499</v>
      </c>
      <c r="I9" s="392" t="s">
        <v>1500</v>
      </c>
      <c r="J9" s="392" t="s">
        <v>1559</v>
      </c>
      <c r="K9" s="400" t="s">
        <v>144</v>
      </c>
      <c r="L9" s="218"/>
      <c r="M9" s="75">
        <f>M8+1</f>
        <v>2</v>
      </c>
      <c r="N9" s="75" t="str">
        <f>References!$C$18</f>
        <v>NEG</v>
      </c>
      <c r="O9" s="75" t="str">
        <f>References!$D$18</f>
        <v>NEGD</v>
      </c>
      <c r="P9" s="75" t="str">
        <f>References!$E$18</f>
        <v>Tot Co</v>
      </c>
      <c r="R9" s="75">
        <f>R8+1</f>
        <v>2</v>
      </c>
      <c r="S9" s="75" t="str">
        <f>References!$C$18</f>
        <v>NEG</v>
      </c>
      <c r="T9" s="75" t="str">
        <f>References!$D$18</f>
        <v>NEGD</v>
      </c>
      <c r="U9" s="75" t="str">
        <f>References!$E$18</f>
        <v>Tot Co</v>
      </c>
      <c r="W9" s="75">
        <f>W8+1</f>
        <v>2</v>
      </c>
      <c r="X9" s="75" t="str">
        <f>References!$C$18</f>
        <v>NEG</v>
      </c>
      <c r="Y9" s="75" t="str">
        <f>References!$D$18</f>
        <v>NEGD</v>
      </c>
      <c r="Z9" s="75" t="str">
        <f>References!$E$18</f>
        <v>Tot Co</v>
      </c>
      <c r="AB9" s="75">
        <f>AB8+1</f>
        <v>2</v>
      </c>
      <c r="AC9" s="75" t="str">
        <f>References!$C$18</f>
        <v>NEG</v>
      </c>
      <c r="AD9" s="75" t="str">
        <f>References!$D$18</f>
        <v>NEGD</v>
      </c>
      <c r="AE9" s="75" t="str">
        <f>References!$E$18</f>
        <v>Tot Co</v>
      </c>
      <c r="AG9" s="75">
        <f>AG8+1</f>
        <v>2</v>
      </c>
      <c r="AH9" s="75" t="s">
        <v>955</v>
      </c>
      <c r="AI9" s="75" t="s">
        <v>958</v>
      </c>
      <c r="AJ9" s="75" t="s">
        <v>535</v>
      </c>
    </row>
    <row r="10" spans="1:36">
      <c r="A10" s="337"/>
      <c r="B10" s="233"/>
      <c r="C10" s="338"/>
      <c r="D10" s="218"/>
      <c r="E10" s="218"/>
      <c r="F10" s="218"/>
      <c r="G10" s="218"/>
      <c r="H10" s="218"/>
      <c r="I10" s="218"/>
      <c r="J10" s="218"/>
      <c r="K10" s="218"/>
      <c r="L10" s="218"/>
      <c r="M10" s="75">
        <f t="shared" ref="M10:M27" si="0">M9+1</f>
        <v>3</v>
      </c>
      <c r="N10" s="82"/>
      <c r="O10" s="82"/>
      <c r="P10" s="75"/>
      <c r="R10" s="75">
        <f t="shared" ref="R10:R27" si="1">R9+1</f>
        <v>3</v>
      </c>
      <c r="S10" s="82"/>
      <c r="T10" s="82"/>
      <c r="U10" s="75"/>
      <c r="W10" s="75">
        <f t="shared" ref="W10:W27" si="2">W9+1</f>
        <v>3</v>
      </c>
      <c r="X10" s="82"/>
      <c r="Y10" s="82"/>
      <c r="Z10" s="75"/>
      <c r="AB10" s="75">
        <f t="shared" ref="AB10:AB27" si="3">AB9+1</f>
        <v>3</v>
      </c>
      <c r="AC10" s="82"/>
      <c r="AD10" s="82"/>
      <c r="AE10" s="75"/>
      <c r="AG10" s="75">
        <f t="shared" ref="AG10:AG27" si="4">AG9+1</f>
        <v>3</v>
      </c>
      <c r="AH10" s="82"/>
      <c r="AI10" s="82"/>
      <c r="AJ10" s="75"/>
    </row>
    <row r="11" spans="1:36">
      <c r="A11" s="40">
        <v>1</v>
      </c>
      <c r="B11" s="233">
        <v>870</v>
      </c>
      <c r="C11" s="861" t="s">
        <v>416</v>
      </c>
      <c r="D11" s="1185"/>
      <c r="E11" s="547">
        <f t="shared" ref="E11:E25" si="5">HLOOKUP(Attach,$N$8:$P$25,$M11,FALSE)</f>
        <v>143.41</v>
      </c>
      <c r="F11" s="547">
        <f t="shared" ref="F11:F25" si="6">HLOOKUP(Attach,$S$8:$U$25,$R11,FALSE)</f>
        <v>0</v>
      </c>
      <c r="G11" s="547">
        <f t="shared" ref="G11:G25" si="7">HLOOKUP(Attach,$X$8:$Z$25,$W11,FALSE)</f>
        <v>0</v>
      </c>
      <c r="H11" s="547">
        <f t="shared" ref="H11:H25" si="8">HLOOKUP(Attach,$AC$8:$AE$25,$AB11,FALSE)</f>
        <v>0</v>
      </c>
      <c r="I11" s="547">
        <f t="shared" ref="I11:I25" si="9">HLOOKUP(Attach,$AH$8:$AJ$25,$AG11,FALSE)</f>
        <v>0</v>
      </c>
      <c r="J11" s="547">
        <v>0</v>
      </c>
      <c r="K11" s="547">
        <f t="shared" ref="K11:K25" si="10">-SUM(E11:J11)</f>
        <v>-143.41</v>
      </c>
      <c r="L11" s="218"/>
      <c r="M11" s="75">
        <f t="shared" si="0"/>
        <v>4</v>
      </c>
      <c r="N11" s="1168">
        <v>143.41</v>
      </c>
      <c r="O11" s="1168">
        <v>0</v>
      </c>
      <c r="P11" s="1331">
        <f t="shared" ref="P11:P23" si="11">N11+O11</f>
        <v>143.41</v>
      </c>
      <c r="R11" s="75">
        <f t="shared" si="1"/>
        <v>4</v>
      </c>
      <c r="S11" s="1168"/>
      <c r="T11" s="1168"/>
      <c r="U11" s="1331">
        <f t="shared" ref="U11:U23" si="12">S11+T11</f>
        <v>0</v>
      </c>
      <c r="W11" s="75">
        <f t="shared" si="2"/>
        <v>4</v>
      </c>
      <c r="X11" s="1168"/>
      <c r="Y11" s="1168"/>
      <c r="Z11" s="1331">
        <f t="shared" ref="Z11:Z23" si="13">X11+Y11</f>
        <v>0</v>
      </c>
      <c r="AB11" s="75">
        <f t="shared" si="3"/>
        <v>4</v>
      </c>
      <c r="AC11" s="1168"/>
      <c r="AD11" s="1168"/>
      <c r="AE11" s="1331">
        <f t="shared" ref="AE11:AE23" si="14">AC11+AD11</f>
        <v>0</v>
      </c>
      <c r="AG11" s="75">
        <f t="shared" si="4"/>
        <v>4</v>
      </c>
      <c r="AH11" s="1168"/>
      <c r="AI11" s="1168"/>
      <c r="AJ11" s="1331">
        <f t="shared" ref="AJ11:AJ26" si="15">AH11+AI11</f>
        <v>0</v>
      </c>
    </row>
    <row r="12" spans="1:36">
      <c r="A12" s="40">
        <f>A11+1</f>
        <v>2</v>
      </c>
      <c r="B12" s="233">
        <v>874</v>
      </c>
      <c r="C12" s="861" t="s">
        <v>924</v>
      </c>
      <c r="D12" s="1185"/>
      <c r="E12" s="694">
        <f t="shared" si="5"/>
        <v>4345.0599999999995</v>
      </c>
      <c r="F12" s="694">
        <f t="shared" si="6"/>
        <v>9780.4600000000009</v>
      </c>
      <c r="G12" s="694">
        <f t="shared" si="7"/>
        <v>0</v>
      </c>
      <c r="H12" s="694">
        <f t="shared" si="8"/>
        <v>0</v>
      </c>
      <c r="I12" s="694">
        <f t="shared" si="9"/>
        <v>0</v>
      </c>
      <c r="J12" s="694">
        <f>IF($J$36="Y",147841.14,0)</f>
        <v>147841.14000000001</v>
      </c>
      <c r="K12" s="694">
        <f t="shared" si="10"/>
        <v>-161966.66</v>
      </c>
      <c r="L12" s="218"/>
      <c r="M12" s="75">
        <f t="shared" si="0"/>
        <v>5</v>
      </c>
      <c r="N12" s="1168">
        <v>4345.0599999999995</v>
      </c>
      <c r="O12" s="1168">
        <v>0</v>
      </c>
      <c r="P12" s="1331">
        <f t="shared" si="11"/>
        <v>4345.0599999999995</v>
      </c>
      <c r="R12" s="75">
        <f t="shared" si="1"/>
        <v>5</v>
      </c>
      <c r="S12" s="1168">
        <v>9780.4600000000009</v>
      </c>
      <c r="T12" s="1168"/>
      <c r="U12" s="1331">
        <f t="shared" si="12"/>
        <v>9780.4600000000009</v>
      </c>
      <c r="W12" s="75">
        <f t="shared" si="2"/>
        <v>5</v>
      </c>
      <c r="X12" s="1168"/>
      <c r="Y12" s="1168"/>
      <c r="Z12" s="1331">
        <f t="shared" si="13"/>
        <v>0</v>
      </c>
      <c r="AB12" s="75">
        <f t="shared" si="3"/>
        <v>5</v>
      </c>
      <c r="AC12" s="1168"/>
      <c r="AD12" s="1168"/>
      <c r="AE12" s="1331">
        <f t="shared" si="14"/>
        <v>0</v>
      </c>
      <c r="AG12" s="75">
        <f t="shared" si="4"/>
        <v>5</v>
      </c>
      <c r="AH12" s="1168"/>
      <c r="AI12" s="1168"/>
      <c r="AJ12" s="1331">
        <f t="shared" si="15"/>
        <v>0</v>
      </c>
    </row>
    <row r="13" spans="1:36">
      <c r="A13" s="40">
        <f t="shared" ref="A13:A34" si="16">A12+1</f>
        <v>3</v>
      </c>
      <c r="B13" s="233">
        <v>875</v>
      </c>
      <c r="C13" s="861" t="s">
        <v>925</v>
      </c>
      <c r="D13" s="1185"/>
      <c r="E13" s="694">
        <f t="shared" si="5"/>
        <v>0</v>
      </c>
      <c r="F13" s="694">
        <f t="shared" si="6"/>
        <v>0</v>
      </c>
      <c r="G13" s="694">
        <f t="shared" si="7"/>
        <v>0</v>
      </c>
      <c r="H13" s="694">
        <f t="shared" si="8"/>
        <v>0</v>
      </c>
      <c r="I13" s="694">
        <f t="shared" si="9"/>
        <v>344921.89999999997</v>
      </c>
      <c r="J13" s="694">
        <v>0</v>
      </c>
      <c r="K13" s="694">
        <f t="shared" si="10"/>
        <v>-344921.89999999997</v>
      </c>
      <c r="L13" s="218"/>
      <c r="M13" s="75">
        <f t="shared" si="0"/>
        <v>6</v>
      </c>
      <c r="N13" s="1168"/>
      <c r="O13" s="1168"/>
      <c r="P13" s="1331">
        <f t="shared" si="11"/>
        <v>0</v>
      </c>
      <c r="R13" s="75">
        <f t="shared" si="1"/>
        <v>6</v>
      </c>
      <c r="S13" s="1168"/>
      <c r="T13" s="1168"/>
      <c r="U13" s="1331">
        <f t="shared" si="12"/>
        <v>0</v>
      </c>
      <c r="W13" s="75">
        <f t="shared" si="2"/>
        <v>6</v>
      </c>
      <c r="X13" s="1168"/>
      <c r="Y13" s="1168"/>
      <c r="Z13" s="1331">
        <f t="shared" si="13"/>
        <v>0</v>
      </c>
      <c r="AB13" s="75">
        <f t="shared" si="3"/>
        <v>6</v>
      </c>
      <c r="AC13" s="1168"/>
      <c r="AD13" s="1168"/>
      <c r="AE13" s="1331">
        <f t="shared" si="14"/>
        <v>0</v>
      </c>
      <c r="AG13" s="75">
        <f t="shared" si="4"/>
        <v>6</v>
      </c>
      <c r="AH13" s="1168">
        <v>198171.89999999997</v>
      </c>
      <c r="AI13" s="1168">
        <v>146750</v>
      </c>
      <c r="AJ13" s="1331">
        <f t="shared" si="15"/>
        <v>344921.89999999997</v>
      </c>
    </row>
    <row r="14" spans="1:36">
      <c r="A14" s="40">
        <f t="shared" si="16"/>
        <v>4</v>
      </c>
      <c r="B14" s="233">
        <v>878</v>
      </c>
      <c r="C14" s="861" t="s">
        <v>927</v>
      </c>
      <c r="D14" s="1185"/>
      <c r="E14" s="694">
        <f t="shared" si="5"/>
        <v>1774.1100000000001</v>
      </c>
      <c r="F14" s="694">
        <f t="shared" si="6"/>
        <v>0</v>
      </c>
      <c r="G14" s="694">
        <f t="shared" si="7"/>
        <v>0</v>
      </c>
      <c r="H14" s="694">
        <f t="shared" si="8"/>
        <v>0</v>
      </c>
      <c r="I14" s="694">
        <f t="shared" si="9"/>
        <v>0</v>
      </c>
      <c r="J14" s="694">
        <v>0</v>
      </c>
      <c r="K14" s="694">
        <f t="shared" si="10"/>
        <v>-1774.1100000000001</v>
      </c>
      <c r="L14" s="218"/>
      <c r="M14" s="75">
        <f t="shared" si="0"/>
        <v>7</v>
      </c>
      <c r="N14" s="1168">
        <v>1627.2800000000002</v>
      </c>
      <c r="O14" s="1168">
        <v>146.83000000000001</v>
      </c>
      <c r="P14" s="1331">
        <f t="shared" si="11"/>
        <v>1774.1100000000001</v>
      </c>
      <c r="R14" s="75">
        <f t="shared" si="1"/>
        <v>7</v>
      </c>
      <c r="S14" s="1168"/>
      <c r="T14" s="1168"/>
      <c r="U14" s="1331">
        <f t="shared" si="12"/>
        <v>0</v>
      </c>
      <c r="W14" s="75">
        <f t="shared" si="2"/>
        <v>7</v>
      </c>
      <c r="X14" s="1168"/>
      <c r="Y14" s="1168"/>
      <c r="Z14" s="1331">
        <f t="shared" si="13"/>
        <v>0</v>
      </c>
      <c r="AB14" s="75">
        <f t="shared" si="3"/>
        <v>7</v>
      </c>
      <c r="AC14" s="1168"/>
      <c r="AD14" s="1168"/>
      <c r="AE14" s="1331">
        <f t="shared" si="14"/>
        <v>0</v>
      </c>
      <c r="AG14" s="75">
        <f t="shared" si="4"/>
        <v>7</v>
      </c>
      <c r="AH14" s="1168"/>
      <c r="AI14" s="1168"/>
      <c r="AJ14" s="1331">
        <f t="shared" si="15"/>
        <v>0</v>
      </c>
    </row>
    <row r="15" spans="1:36">
      <c r="A15" s="40">
        <f t="shared" si="16"/>
        <v>5</v>
      </c>
      <c r="B15" s="233">
        <v>879</v>
      </c>
      <c r="C15" s="861" t="s">
        <v>928</v>
      </c>
      <c r="D15" s="1185"/>
      <c r="E15" s="694">
        <f t="shared" si="5"/>
        <v>1970.62</v>
      </c>
      <c r="F15" s="694">
        <f t="shared" si="6"/>
        <v>0</v>
      </c>
      <c r="G15" s="694">
        <f t="shared" si="7"/>
        <v>0</v>
      </c>
      <c r="H15" s="694">
        <f t="shared" si="8"/>
        <v>0</v>
      </c>
      <c r="I15" s="694">
        <f t="shared" si="9"/>
        <v>0</v>
      </c>
      <c r="J15" s="694">
        <v>0</v>
      </c>
      <c r="K15" s="694">
        <f t="shared" si="10"/>
        <v>-1970.62</v>
      </c>
      <c r="L15" s="218"/>
      <c r="M15" s="75">
        <f t="shared" si="0"/>
        <v>8</v>
      </c>
      <c r="N15" s="1168">
        <v>1931.84</v>
      </c>
      <c r="O15" s="1168">
        <v>38.78</v>
      </c>
      <c r="P15" s="1331">
        <f t="shared" si="11"/>
        <v>1970.62</v>
      </c>
      <c r="R15" s="75">
        <f t="shared" si="1"/>
        <v>8</v>
      </c>
      <c r="S15" s="1168"/>
      <c r="T15" s="1168"/>
      <c r="U15" s="1331">
        <f t="shared" si="12"/>
        <v>0</v>
      </c>
      <c r="W15" s="75">
        <f t="shared" si="2"/>
        <v>8</v>
      </c>
      <c r="X15" s="1168"/>
      <c r="Y15" s="1168"/>
      <c r="Z15" s="1331">
        <f t="shared" si="13"/>
        <v>0</v>
      </c>
      <c r="AB15" s="75">
        <f t="shared" si="3"/>
        <v>8</v>
      </c>
      <c r="AC15" s="1168"/>
      <c r="AD15" s="1168"/>
      <c r="AE15" s="1331">
        <f t="shared" si="14"/>
        <v>0</v>
      </c>
      <c r="AG15" s="75">
        <f t="shared" si="4"/>
        <v>8</v>
      </c>
      <c r="AH15" s="1168"/>
      <c r="AI15" s="1168"/>
      <c r="AJ15" s="1331">
        <f t="shared" si="15"/>
        <v>0</v>
      </c>
    </row>
    <row r="16" spans="1:36">
      <c r="A16" s="40">
        <f t="shared" si="16"/>
        <v>6</v>
      </c>
      <c r="B16" s="233">
        <v>880</v>
      </c>
      <c r="C16" s="861" t="s">
        <v>422</v>
      </c>
      <c r="D16" s="1185"/>
      <c r="E16" s="694">
        <f t="shared" si="5"/>
        <v>3931.12</v>
      </c>
      <c r="F16" s="694">
        <f t="shared" si="6"/>
        <v>0</v>
      </c>
      <c r="G16" s="694">
        <f t="shared" si="7"/>
        <v>0</v>
      </c>
      <c r="H16" s="694">
        <f t="shared" si="8"/>
        <v>0</v>
      </c>
      <c r="I16" s="694">
        <f t="shared" si="9"/>
        <v>0</v>
      </c>
      <c r="J16" s="694">
        <v>0</v>
      </c>
      <c r="K16" s="694">
        <f t="shared" si="10"/>
        <v>-3931.12</v>
      </c>
      <c r="L16" s="218"/>
      <c r="M16" s="75">
        <f t="shared" si="0"/>
        <v>9</v>
      </c>
      <c r="N16" s="1168">
        <v>1867.45</v>
      </c>
      <c r="O16" s="1168">
        <v>2063.67</v>
      </c>
      <c r="P16" s="1331">
        <f t="shared" si="11"/>
        <v>3931.12</v>
      </c>
      <c r="R16" s="75">
        <f t="shared" si="1"/>
        <v>9</v>
      </c>
      <c r="S16" s="1168"/>
      <c r="T16" s="1168"/>
      <c r="U16" s="1331">
        <f t="shared" si="12"/>
        <v>0</v>
      </c>
      <c r="W16" s="75">
        <f t="shared" si="2"/>
        <v>9</v>
      </c>
      <c r="X16" s="1168"/>
      <c r="Y16" s="1168"/>
      <c r="Z16" s="1331">
        <f t="shared" si="13"/>
        <v>0</v>
      </c>
      <c r="AB16" s="75">
        <f t="shared" si="3"/>
        <v>9</v>
      </c>
      <c r="AC16" s="1168"/>
      <c r="AD16" s="1168"/>
      <c r="AE16" s="1331">
        <f t="shared" si="14"/>
        <v>0</v>
      </c>
      <c r="AG16" s="75">
        <f t="shared" si="4"/>
        <v>9</v>
      </c>
      <c r="AH16" s="1168"/>
      <c r="AI16" s="1168"/>
      <c r="AJ16" s="1331">
        <f t="shared" si="15"/>
        <v>0</v>
      </c>
    </row>
    <row r="17" spans="1:36">
      <c r="A17" s="40">
        <f t="shared" si="16"/>
        <v>7</v>
      </c>
      <c r="B17" s="233">
        <v>887</v>
      </c>
      <c r="C17" s="861" t="s">
        <v>425</v>
      </c>
      <c r="D17" s="1185"/>
      <c r="E17" s="694">
        <f t="shared" si="5"/>
        <v>14595.289999999999</v>
      </c>
      <c r="F17" s="694">
        <f t="shared" si="6"/>
        <v>0</v>
      </c>
      <c r="G17" s="694">
        <f t="shared" si="7"/>
        <v>0</v>
      </c>
      <c r="H17" s="694">
        <f t="shared" si="8"/>
        <v>0</v>
      </c>
      <c r="I17" s="694">
        <f t="shared" si="9"/>
        <v>0</v>
      </c>
      <c r="J17" s="694">
        <v>0</v>
      </c>
      <c r="K17" s="694">
        <f t="shared" si="10"/>
        <v>-14595.289999999999</v>
      </c>
      <c r="L17" s="218"/>
      <c r="M17" s="75">
        <f t="shared" si="0"/>
        <v>10</v>
      </c>
      <c r="N17" s="1168">
        <v>1351.6599999999996</v>
      </c>
      <c r="O17" s="1168">
        <v>13243.63</v>
      </c>
      <c r="P17" s="1331">
        <f t="shared" si="11"/>
        <v>14595.289999999999</v>
      </c>
      <c r="R17" s="75">
        <f t="shared" si="1"/>
        <v>10</v>
      </c>
      <c r="S17" s="1168"/>
      <c r="T17" s="1168"/>
      <c r="U17" s="1331">
        <f t="shared" si="12"/>
        <v>0</v>
      </c>
      <c r="W17" s="75">
        <f t="shared" si="2"/>
        <v>10</v>
      </c>
      <c r="X17" s="1168"/>
      <c r="Y17" s="1168"/>
      <c r="Z17" s="1331">
        <f t="shared" si="13"/>
        <v>0</v>
      </c>
      <c r="AB17" s="75">
        <f t="shared" si="3"/>
        <v>10</v>
      </c>
      <c r="AC17" s="1168"/>
      <c r="AD17" s="1168"/>
      <c r="AE17" s="1331">
        <f t="shared" si="14"/>
        <v>0</v>
      </c>
      <c r="AG17" s="75">
        <f t="shared" si="4"/>
        <v>10</v>
      </c>
      <c r="AH17" s="1168"/>
      <c r="AI17" s="1168"/>
      <c r="AJ17" s="1331">
        <f t="shared" si="15"/>
        <v>0</v>
      </c>
    </row>
    <row r="18" spans="1:36">
      <c r="A18" s="40">
        <f t="shared" si="16"/>
        <v>8</v>
      </c>
      <c r="B18" s="233">
        <v>889</v>
      </c>
      <c r="C18" s="861" t="s">
        <v>575</v>
      </c>
      <c r="D18" s="1185"/>
      <c r="E18" s="694">
        <f t="shared" si="5"/>
        <v>174.67000000000002</v>
      </c>
      <c r="F18" s="694">
        <f t="shared" si="6"/>
        <v>0</v>
      </c>
      <c r="G18" s="694">
        <f t="shared" si="7"/>
        <v>0</v>
      </c>
      <c r="H18" s="694">
        <f t="shared" si="8"/>
        <v>0</v>
      </c>
      <c r="I18" s="694">
        <f t="shared" si="9"/>
        <v>0</v>
      </c>
      <c r="J18" s="694">
        <v>0</v>
      </c>
      <c r="K18" s="694">
        <f t="shared" si="10"/>
        <v>-174.67000000000002</v>
      </c>
      <c r="L18" s="218"/>
      <c r="M18" s="75">
        <f t="shared" si="0"/>
        <v>11</v>
      </c>
      <c r="N18" s="1168">
        <v>24.43</v>
      </c>
      <c r="O18" s="1168">
        <v>150.24</v>
      </c>
      <c r="P18" s="1331">
        <f t="shared" si="11"/>
        <v>174.67000000000002</v>
      </c>
      <c r="R18" s="75">
        <f t="shared" si="1"/>
        <v>11</v>
      </c>
      <c r="S18" s="1168"/>
      <c r="T18" s="1168"/>
      <c r="U18" s="1331">
        <f t="shared" si="12"/>
        <v>0</v>
      </c>
      <c r="W18" s="75">
        <f t="shared" si="2"/>
        <v>11</v>
      </c>
      <c r="X18" s="1168"/>
      <c r="Y18" s="1168"/>
      <c r="Z18" s="1331">
        <f t="shared" si="13"/>
        <v>0</v>
      </c>
      <c r="AB18" s="75">
        <f t="shared" si="3"/>
        <v>11</v>
      </c>
      <c r="AC18" s="1168"/>
      <c r="AD18" s="1168"/>
      <c r="AE18" s="1331">
        <f t="shared" si="14"/>
        <v>0</v>
      </c>
      <c r="AG18" s="75">
        <f t="shared" si="4"/>
        <v>11</v>
      </c>
      <c r="AH18" s="1168"/>
      <c r="AI18" s="1168"/>
      <c r="AJ18" s="1331">
        <f t="shared" si="15"/>
        <v>0</v>
      </c>
    </row>
    <row r="19" spans="1:36">
      <c r="A19" s="40">
        <f t="shared" si="16"/>
        <v>9</v>
      </c>
      <c r="B19" s="233">
        <v>890</v>
      </c>
      <c r="C19" s="861" t="s">
        <v>427</v>
      </c>
      <c r="D19" s="1185"/>
      <c r="E19" s="694">
        <f t="shared" si="5"/>
        <v>26.43</v>
      </c>
      <c r="F19" s="694">
        <f t="shared" si="6"/>
        <v>0</v>
      </c>
      <c r="G19" s="694">
        <f t="shared" si="7"/>
        <v>0</v>
      </c>
      <c r="H19" s="694">
        <f t="shared" si="8"/>
        <v>0</v>
      </c>
      <c r="I19" s="694">
        <f t="shared" si="9"/>
        <v>0</v>
      </c>
      <c r="J19" s="694">
        <v>0</v>
      </c>
      <c r="K19" s="694">
        <f t="shared" si="10"/>
        <v>-26.43</v>
      </c>
      <c r="L19" s="218"/>
      <c r="M19" s="75">
        <f t="shared" si="0"/>
        <v>12</v>
      </c>
      <c r="N19" s="1168">
        <v>26.43</v>
      </c>
      <c r="O19" s="1168">
        <v>0</v>
      </c>
      <c r="P19" s="1331">
        <f t="shared" si="11"/>
        <v>26.43</v>
      </c>
      <c r="R19" s="75">
        <f t="shared" si="1"/>
        <v>12</v>
      </c>
      <c r="S19" s="1168"/>
      <c r="T19" s="1168"/>
      <c r="U19" s="1331">
        <f t="shared" si="12"/>
        <v>0</v>
      </c>
      <c r="W19" s="75">
        <f t="shared" si="2"/>
        <v>12</v>
      </c>
      <c r="X19" s="1168"/>
      <c r="Y19" s="1168"/>
      <c r="Z19" s="1331">
        <f t="shared" si="13"/>
        <v>0</v>
      </c>
      <c r="AB19" s="75">
        <f t="shared" si="3"/>
        <v>12</v>
      </c>
      <c r="AC19" s="1168"/>
      <c r="AD19" s="1168"/>
      <c r="AE19" s="1331">
        <f t="shared" si="14"/>
        <v>0</v>
      </c>
      <c r="AG19" s="75">
        <f t="shared" si="4"/>
        <v>12</v>
      </c>
      <c r="AH19" s="1168"/>
      <c r="AI19" s="1168"/>
      <c r="AJ19" s="1331">
        <f t="shared" si="15"/>
        <v>0</v>
      </c>
    </row>
    <row r="20" spans="1:36">
      <c r="A20" s="40">
        <f t="shared" si="16"/>
        <v>10</v>
      </c>
      <c r="B20" s="233">
        <v>891</v>
      </c>
      <c r="C20" s="861" t="s">
        <v>940</v>
      </c>
      <c r="D20" s="1185"/>
      <c r="E20" s="694">
        <f t="shared" si="5"/>
        <v>1742.3200000000002</v>
      </c>
      <c r="F20" s="694">
        <f t="shared" si="6"/>
        <v>0</v>
      </c>
      <c r="G20" s="694">
        <f t="shared" si="7"/>
        <v>0</v>
      </c>
      <c r="H20" s="694">
        <f t="shared" si="8"/>
        <v>0</v>
      </c>
      <c r="I20" s="694">
        <f t="shared" si="9"/>
        <v>0</v>
      </c>
      <c r="J20" s="694">
        <v>0</v>
      </c>
      <c r="K20" s="694">
        <f t="shared" si="10"/>
        <v>-1742.3200000000002</v>
      </c>
      <c r="L20" s="218"/>
      <c r="M20" s="75">
        <f t="shared" si="0"/>
        <v>13</v>
      </c>
      <c r="N20" s="1168">
        <v>1742.3200000000002</v>
      </c>
      <c r="O20" s="1168">
        <v>0</v>
      </c>
      <c r="P20" s="1331">
        <f t="shared" si="11"/>
        <v>1742.3200000000002</v>
      </c>
      <c r="R20" s="75">
        <f t="shared" si="1"/>
        <v>13</v>
      </c>
      <c r="S20" s="1168"/>
      <c r="T20" s="1168"/>
      <c r="U20" s="1331">
        <f t="shared" si="12"/>
        <v>0</v>
      </c>
      <c r="W20" s="75">
        <f t="shared" si="2"/>
        <v>13</v>
      </c>
      <c r="X20" s="1168"/>
      <c r="Y20" s="1168"/>
      <c r="Z20" s="1331">
        <f t="shared" si="13"/>
        <v>0</v>
      </c>
      <c r="AB20" s="75">
        <f t="shared" si="3"/>
        <v>13</v>
      </c>
      <c r="AC20" s="1168"/>
      <c r="AD20" s="1168"/>
      <c r="AE20" s="1331">
        <f t="shared" si="14"/>
        <v>0</v>
      </c>
      <c r="AG20" s="75">
        <f t="shared" si="4"/>
        <v>13</v>
      </c>
      <c r="AH20" s="1168"/>
      <c r="AI20" s="1168"/>
      <c r="AJ20" s="1331">
        <f t="shared" si="15"/>
        <v>0</v>
      </c>
    </row>
    <row r="21" spans="1:36">
      <c r="A21" s="40">
        <f t="shared" si="16"/>
        <v>11</v>
      </c>
      <c r="B21" s="233">
        <v>892</v>
      </c>
      <c r="C21" s="861" t="s">
        <v>428</v>
      </c>
      <c r="D21" s="1185"/>
      <c r="E21" s="694">
        <f t="shared" si="5"/>
        <v>142.60999999999999</v>
      </c>
      <c r="F21" s="694">
        <f t="shared" si="6"/>
        <v>0</v>
      </c>
      <c r="G21" s="694">
        <f t="shared" si="7"/>
        <v>0</v>
      </c>
      <c r="H21" s="694">
        <f t="shared" si="8"/>
        <v>0</v>
      </c>
      <c r="I21" s="694">
        <f t="shared" si="9"/>
        <v>0</v>
      </c>
      <c r="J21" s="694">
        <v>0</v>
      </c>
      <c r="K21" s="694">
        <f t="shared" si="10"/>
        <v>-142.60999999999999</v>
      </c>
      <c r="L21" s="218"/>
      <c r="M21" s="75">
        <f t="shared" si="0"/>
        <v>14</v>
      </c>
      <c r="N21" s="1168">
        <v>142.60999999999999</v>
      </c>
      <c r="O21" s="1168">
        <v>0</v>
      </c>
      <c r="P21" s="1331">
        <f t="shared" si="11"/>
        <v>142.60999999999999</v>
      </c>
      <c r="R21" s="75">
        <f t="shared" si="1"/>
        <v>14</v>
      </c>
      <c r="S21" s="1168"/>
      <c r="T21" s="1168"/>
      <c r="U21" s="1331">
        <f t="shared" si="12"/>
        <v>0</v>
      </c>
      <c r="W21" s="75">
        <f t="shared" si="2"/>
        <v>14</v>
      </c>
      <c r="X21" s="1168"/>
      <c r="Y21" s="1168"/>
      <c r="Z21" s="1331">
        <f t="shared" si="13"/>
        <v>0</v>
      </c>
      <c r="AB21" s="75">
        <f t="shared" si="3"/>
        <v>14</v>
      </c>
      <c r="AC21" s="1168"/>
      <c r="AD21" s="1168"/>
      <c r="AE21" s="1331">
        <f t="shared" si="14"/>
        <v>0</v>
      </c>
      <c r="AG21" s="75">
        <f t="shared" si="4"/>
        <v>14</v>
      </c>
      <c r="AH21" s="1168"/>
      <c r="AI21" s="1168"/>
      <c r="AJ21" s="1331">
        <f t="shared" si="15"/>
        <v>0</v>
      </c>
    </row>
    <row r="22" spans="1:36">
      <c r="A22" s="40">
        <f t="shared" si="16"/>
        <v>12</v>
      </c>
      <c r="B22" s="233">
        <v>893</v>
      </c>
      <c r="C22" s="861" t="s">
        <v>429</v>
      </c>
      <c r="D22" s="1185"/>
      <c r="E22" s="694">
        <f t="shared" si="5"/>
        <v>1685.4099999999999</v>
      </c>
      <c r="F22" s="694">
        <f t="shared" si="6"/>
        <v>0</v>
      </c>
      <c r="G22" s="694">
        <f t="shared" si="7"/>
        <v>0</v>
      </c>
      <c r="H22" s="694">
        <f t="shared" si="8"/>
        <v>0</v>
      </c>
      <c r="I22" s="694">
        <f t="shared" si="9"/>
        <v>0</v>
      </c>
      <c r="J22" s="694">
        <v>0</v>
      </c>
      <c r="K22" s="694">
        <f t="shared" si="10"/>
        <v>-1685.4099999999999</v>
      </c>
      <c r="L22" s="218"/>
      <c r="M22" s="75">
        <f t="shared" si="0"/>
        <v>15</v>
      </c>
      <c r="N22" s="1168">
        <v>1287.77</v>
      </c>
      <c r="O22" s="1168">
        <v>397.64</v>
      </c>
      <c r="P22" s="1331">
        <f t="shared" si="11"/>
        <v>1685.4099999999999</v>
      </c>
      <c r="R22" s="75">
        <f t="shared" si="1"/>
        <v>15</v>
      </c>
      <c r="S22" s="1168"/>
      <c r="T22" s="1168"/>
      <c r="U22" s="1331">
        <f t="shared" si="12"/>
        <v>0</v>
      </c>
      <c r="W22" s="75">
        <f t="shared" si="2"/>
        <v>15</v>
      </c>
      <c r="X22" s="1168"/>
      <c r="Y22" s="1168"/>
      <c r="Z22" s="1331">
        <f t="shared" si="13"/>
        <v>0</v>
      </c>
      <c r="AB22" s="75">
        <f t="shared" si="3"/>
        <v>15</v>
      </c>
      <c r="AC22" s="1168"/>
      <c r="AD22" s="1168"/>
      <c r="AE22" s="1331">
        <f t="shared" si="14"/>
        <v>0</v>
      </c>
      <c r="AG22" s="75">
        <f t="shared" si="4"/>
        <v>15</v>
      </c>
      <c r="AH22" s="1168"/>
      <c r="AI22" s="1168"/>
      <c r="AJ22" s="1331">
        <f t="shared" si="15"/>
        <v>0</v>
      </c>
    </row>
    <row r="23" spans="1:36">
      <c r="A23" s="40">
        <f t="shared" si="16"/>
        <v>13</v>
      </c>
      <c r="B23" s="233">
        <v>903</v>
      </c>
      <c r="C23" s="861" t="s">
        <v>930</v>
      </c>
      <c r="D23" s="1185"/>
      <c r="E23" s="694">
        <f t="shared" si="5"/>
        <v>1639.61</v>
      </c>
      <c r="F23" s="694">
        <f t="shared" si="6"/>
        <v>0</v>
      </c>
      <c r="G23" s="694">
        <f t="shared" si="7"/>
        <v>0</v>
      </c>
      <c r="H23" s="694">
        <f t="shared" si="8"/>
        <v>0</v>
      </c>
      <c r="I23" s="694">
        <f t="shared" si="9"/>
        <v>0</v>
      </c>
      <c r="J23" s="694">
        <v>0</v>
      </c>
      <c r="K23" s="694">
        <f t="shared" si="10"/>
        <v>-1639.61</v>
      </c>
      <c r="L23" s="218"/>
      <c r="M23" s="75">
        <f t="shared" si="0"/>
        <v>16</v>
      </c>
      <c r="N23" s="1168">
        <v>1639.61</v>
      </c>
      <c r="O23" s="1168">
        <v>0</v>
      </c>
      <c r="P23" s="1331">
        <f t="shared" si="11"/>
        <v>1639.61</v>
      </c>
      <c r="R23" s="75">
        <f t="shared" si="1"/>
        <v>16</v>
      </c>
      <c r="S23" s="1168"/>
      <c r="T23" s="1168"/>
      <c r="U23" s="1331">
        <f t="shared" si="12"/>
        <v>0</v>
      </c>
      <c r="W23" s="75">
        <f t="shared" si="2"/>
        <v>16</v>
      </c>
      <c r="X23" s="1168"/>
      <c r="Y23" s="1168"/>
      <c r="Z23" s="1331">
        <f t="shared" si="13"/>
        <v>0</v>
      </c>
      <c r="AB23" s="75">
        <f t="shared" si="3"/>
        <v>16</v>
      </c>
      <c r="AC23" s="1168"/>
      <c r="AD23" s="1168"/>
      <c r="AE23" s="1331">
        <f t="shared" si="14"/>
        <v>0</v>
      </c>
      <c r="AG23" s="75">
        <f t="shared" si="4"/>
        <v>16</v>
      </c>
      <c r="AH23" s="1168"/>
      <c r="AI23" s="1168"/>
      <c r="AJ23" s="1331">
        <f t="shared" si="15"/>
        <v>0</v>
      </c>
    </row>
    <row r="24" spans="1:36">
      <c r="A24" s="40">
        <f t="shared" si="16"/>
        <v>14</v>
      </c>
      <c r="B24" s="336">
        <v>923</v>
      </c>
      <c r="C24" s="861" t="s">
        <v>222</v>
      </c>
      <c r="D24" s="1267"/>
      <c r="E24" s="694">
        <f t="shared" si="5"/>
        <v>0</v>
      </c>
      <c r="F24" s="694">
        <f t="shared" si="6"/>
        <v>0</v>
      </c>
      <c r="G24" s="694">
        <f t="shared" si="7"/>
        <v>0</v>
      </c>
      <c r="H24" s="694">
        <f t="shared" si="8"/>
        <v>411095.81</v>
      </c>
      <c r="I24" s="694">
        <f t="shared" si="9"/>
        <v>0</v>
      </c>
      <c r="J24" s="694">
        <v>0</v>
      </c>
      <c r="K24" s="694">
        <f t="shared" si="10"/>
        <v>-411095.81</v>
      </c>
      <c r="L24" s="901"/>
      <c r="M24" s="75">
        <f t="shared" si="0"/>
        <v>17</v>
      </c>
      <c r="N24" s="973"/>
      <c r="O24" s="973"/>
      <c r="P24" s="1331">
        <f>N24+O24</f>
        <v>0</v>
      </c>
      <c r="R24" s="75">
        <f t="shared" si="1"/>
        <v>17</v>
      </c>
      <c r="S24" s="973"/>
      <c r="T24" s="973"/>
      <c r="U24" s="1331">
        <f t="shared" ref="U24:U26" si="17">S24+T24</f>
        <v>0</v>
      </c>
      <c r="W24" s="75">
        <f t="shared" si="2"/>
        <v>17</v>
      </c>
      <c r="X24" s="973"/>
      <c r="Y24" s="973"/>
      <c r="Z24" s="1331">
        <f t="shared" ref="Z24:Z25" si="18">X24+Y24</f>
        <v>0</v>
      </c>
      <c r="AB24" s="75">
        <f t="shared" si="3"/>
        <v>17</v>
      </c>
      <c r="AC24" s="973">
        <v>211362</v>
      </c>
      <c r="AD24" s="973">
        <v>199733.81</v>
      </c>
      <c r="AE24" s="1331">
        <f>AC24+AD24</f>
        <v>411095.81</v>
      </c>
      <c r="AG24" s="75">
        <f t="shared" si="4"/>
        <v>17</v>
      </c>
      <c r="AH24" s="973"/>
      <c r="AI24" s="973"/>
      <c r="AJ24" s="1331">
        <f t="shared" si="15"/>
        <v>0</v>
      </c>
    </row>
    <row r="25" spans="1:36">
      <c r="A25" s="40">
        <f t="shared" si="16"/>
        <v>15</v>
      </c>
      <c r="B25" s="233">
        <v>930.2</v>
      </c>
      <c r="C25" s="861" t="s">
        <v>935</v>
      </c>
      <c r="D25" s="907"/>
      <c r="E25" s="686">
        <f t="shared" si="5"/>
        <v>0</v>
      </c>
      <c r="F25" s="686">
        <f t="shared" si="6"/>
        <v>0</v>
      </c>
      <c r="G25" s="686">
        <f t="shared" si="7"/>
        <v>56678.92</v>
      </c>
      <c r="H25" s="686">
        <f t="shared" si="8"/>
        <v>0</v>
      </c>
      <c r="I25" s="686">
        <f t="shared" si="9"/>
        <v>0</v>
      </c>
      <c r="J25" s="686">
        <v>0</v>
      </c>
      <c r="K25" s="686">
        <f t="shared" si="10"/>
        <v>-56678.92</v>
      </c>
      <c r="L25" s="41"/>
      <c r="M25" s="75">
        <f t="shared" si="0"/>
        <v>18</v>
      </c>
      <c r="N25" s="973"/>
      <c r="O25" s="973"/>
      <c r="P25" s="1331">
        <f>N25+O25</f>
        <v>0</v>
      </c>
      <c r="R25" s="75">
        <f t="shared" si="1"/>
        <v>18</v>
      </c>
      <c r="S25" s="973"/>
      <c r="T25" s="973"/>
      <c r="U25" s="1331">
        <f t="shared" si="17"/>
        <v>0</v>
      </c>
      <c r="W25" s="75">
        <f t="shared" si="2"/>
        <v>18</v>
      </c>
      <c r="X25" s="973"/>
      <c r="Y25" s="973">
        <v>56678.92</v>
      </c>
      <c r="Z25" s="1331">
        <f t="shared" si="18"/>
        <v>56678.92</v>
      </c>
      <c r="AB25" s="75">
        <f t="shared" si="3"/>
        <v>18</v>
      </c>
      <c r="AC25" s="973"/>
      <c r="AD25" s="973"/>
      <c r="AE25" s="1331">
        <f>AC25+AD25</f>
        <v>0</v>
      </c>
      <c r="AG25" s="75">
        <f t="shared" si="4"/>
        <v>18</v>
      </c>
      <c r="AH25" s="973"/>
      <c r="AI25" s="973"/>
      <c r="AJ25" s="1331">
        <f t="shared" si="15"/>
        <v>0</v>
      </c>
    </row>
    <row r="26" spans="1:36">
      <c r="A26" s="40">
        <f t="shared" si="16"/>
        <v>16</v>
      </c>
      <c r="B26" s="40"/>
      <c r="C26" s="41"/>
      <c r="D26" s="828"/>
      <c r="E26" s="209"/>
      <c r="F26" s="209"/>
      <c r="G26" s="209"/>
      <c r="H26" s="209"/>
      <c r="I26" s="209"/>
      <c r="J26" s="209"/>
      <c r="K26" s="209"/>
      <c r="L26" s="41"/>
      <c r="M26" s="75">
        <f t="shared" si="0"/>
        <v>19</v>
      </c>
      <c r="N26" s="973"/>
      <c r="O26" s="973"/>
      <c r="P26" s="1331">
        <f>N26+O26</f>
        <v>0</v>
      </c>
      <c r="R26" s="75">
        <f t="shared" si="1"/>
        <v>19</v>
      </c>
      <c r="S26" s="973"/>
      <c r="T26" s="973"/>
      <c r="U26" s="1331">
        <f t="shared" si="17"/>
        <v>0</v>
      </c>
      <c r="W26" s="75">
        <f t="shared" si="2"/>
        <v>19</v>
      </c>
      <c r="X26" s="973"/>
      <c r="Y26" s="973"/>
      <c r="Z26" s="1331">
        <f>X26+Y26</f>
        <v>0</v>
      </c>
      <c r="AB26" s="75">
        <f t="shared" si="3"/>
        <v>19</v>
      </c>
      <c r="AC26" s="973"/>
      <c r="AD26" s="973"/>
      <c r="AE26" s="1331">
        <f>AC26+AD26</f>
        <v>0</v>
      </c>
      <c r="AG26" s="75">
        <f t="shared" si="4"/>
        <v>19</v>
      </c>
      <c r="AH26" s="973"/>
      <c r="AI26" s="973"/>
      <c r="AJ26" s="1331">
        <f t="shared" si="15"/>
        <v>0</v>
      </c>
    </row>
    <row r="27" spans="1:36" ht="13.5" thickBot="1">
      <c r="A27" s="40">
        <f t="shared" si="16"/>
        <v>17</v>
      </c>
      <c r="B27" s="41"/>
      <c r="C27" s="117" t="s">
        <v>229</v>
      </c>
      <c r="D27" s="608"/>
      <c r="E27" s="358">
        <f t="shared" ref="E27:K27" si="19">SUM(E11:E25)</f>
        <v>32170.66</v>
      </c>
      <c r="F27" s="358">
        <f t="shared" si="19"/>
        <v>9780.4600000000009</v>
      </c>
      <c r="G27" s="358">
        <f t="shared" si="19"/>
        <v>56678.92</v>
      </c>
      <c r="H27" s="358">
        <f t="shared" si="19"/>
        <v>411095.81</v>
      </c>
      <c r="I27" s="358">
        <f t="shared" si="19"/>
        <v>344921.89999999997</v>
      </c>
      <c r="J27" s="358">
        <f t="shared" si="19"/>
        <v>147841.14000000001</v>
      </c>
      <c r="K27" s="358">
        <f t="shared" si="19"/>
        <v>-1002488.89</v>
      </c>
      <c r="L27" s="41"/>
      <c r="M27" s="75">
        <f t="shared" si="0"/>
        <v>20</v>
      </c>
      <c r="N27" s="1331">
        <f>SUM(N11:N26)</f>
        <v>16129.870000000003</v>
      </c>
      <c r="O27" s="1331">
        <f>SUM(O11:O26)</f>
        <v>16040.789999999999</v>
      </c>
      <c r="P27" s="1331">
        <f>N27+O27</f>
        <v>32170.660000000003</v>
      </c>
      <c r="R27" s="75">
        <f t="shared" si="1"/>
        <v>20</v>
      </c>
      <c r="S27" s="1331">
        <f>SUM(S11:S26)</f>
        <v>9780.4600000000009</v>
      </c>
      <c r="T27" s="1331">
        <f>SUM(T11:T26)</f>
        <v>0</v>
      </c>
      <c r="U27" s="1331">
        <f>S27+T27</f>
        <v>9780.4600000000009</v>
      </c>
      <c r="W27" s="75">
        <f t="shared" si="2"/>
        <v>20</v>
      </c>
      <c r="X27" s="1331">
        <f>SUM(X11:X26)</f>
        <v>0</v>
      </c>
      <c r="Y27" s="1331">
        <f>SUM(Y11:Y26)</f>
        <v>56678.92</v>
      </c>
      <c r="Z27" s="1331">
        <f>X27+Y27</f>
        <v>56678.92</v>
      </c>
      <c r="AB27" s="75">
        <f t="shared" si="3"/>
        <v>20</v>
      </c>
      <c r="AC27" s="1331">
        <f>SUM(AC11:AC26)</f>
        <v>211362</v>
      </c>
      <c r="AD27" s="1331">
        <f>SUM(AD11:AD26)</f>
        <v>199733.81</v>
      </c>
      <c r="AE27" s="1331">
        <f>AC27+AD27</f>
        <v>411095.81</v>
      </c>
      <c r="AG27" s="75">
        <f t="shared" si="4"/>
        <v>20</v>
      </c>
      <c r="AH27" s="1331">
        <f>SUM(AH11:AH26)</f>
        <v>198171.89999999997</v>
      </c>
      <c r="AI27" s="1331">
        <f>SUM(AI11:AI26)</f>
        <v>146750</v>
      </c>
      <c r="AJ27" s="1331">
        <f>AH27+AI27</f>
        <v>344921.89999999997</v>
      </c>
    </row>
    <row r="28" spans="1:36" ht="13.5" thickTop="1">
      <c r="A28" s="40">
        <f t="shared" si="16"/>
        <v>18</v>
      </c>
      <c r="B28" s="40"/>
      <c r="C28" s="41"/>
      <c r="D28" s="828"/>
      <c r="E28" s="209"/>
      <c r="F28" s="209"/>
      <c r="G28" s="209"/>
      <c r="H28" s="209"/>
      <c r="I28" s="209"/>
      <c r="J28" s="209"/>
      <c r="K28" s="209"/>
      <c r="L28" s="41"/>
      <c r="M28" s="199"/>
      <c r="N28" s="163"/>
    </row>
    <row r="29" spans="1:36">
      <c r="A29" s="40">
        <f t="shared" si="16"/>
        <v>19</v>
      </c>
      <c r="B29" s="41" t="s">
        <v>1194</v>
      </c>
      <c r="C29" s="12"/>
      <c r="D29" s="12"/>
      <c r="E29" s="331"/>
      <c r="F29" s="331"/>
      <c r="G29" s="331"/>
      <c r="H29" s="331"/>
      <c r="I29" s="331"/>
      <c r="J29" s="331"/>
      <c r="K29" s="331"/>
      <c r="L29" s="41"/>
      <c r="M29" s="199"/>
      <c r="N29" s="163"/>
    </row>
    <row r="30" spans="1:36">
      <c r="A30" s="40">
        <f t="shared" si="16"/>
        <v>20</v>
      </c>
      <c r="B30" s="41" t="s">
        <v>1275</v>
      </c>
      <c r="C30" s="62"/>
      <c r="D30" s="62"/>
      <c r="E30" s="62"/>
      <c r="F30" s="62"/>
      <c r="G30" s="62"/>
      <c r="H30" s="62"/>
      <c r="I30" s="62"/>
      <c r="J30" s="62"/>
      <c r="K30" s="62"/>
      <c r="L30" s="41"/>
      <c r="M30" s="199"/>
      <c r="N30" s="163"/>
    </row>
    <row r="31" spans="1:36">
      <c r="A31" s="40">
        <f t="shared" si="16"/>
        <v>21</v>
      </c>
      <c r="B31" s="41" t="s">
        <v>1195</v>
      </c>
      <c r="C31" s="62"/>
      <c r="D31" s="62"/>
      <c r="E31" s="62"/>
      <c r="F31" s="62"/>
      <c r="G31" s="62"/>
      <c r="H31" s="62"/>
      <c r="I31" s="62"/>
      <c r="J31" s="62"/>
      <c r="K31" s="62"/>
      <c r="L31" s="41"/>
      <c r="M31" s="199"/>
      <c r="N31" s="163"/>
    </row>
    <row r="32" spans="1:36">
      <c r="A32" s="40">
        <f t="shared" si="16"/>
        <v>22</v>
      </c>
      <c r="B32" s="41" t="s">
        <v>1196</v>
      </c>
      <c r="C32" s="62"/>
      <c r="D32" s="62"/>
      <c r="E32" s="62"/>
      <c r="F32" s="62"/>
      <c r="G32" s="62"/>
      <c r="H32" s="62"/>
      <c r="I32" s="62"/>
      <c r="J32" s="62"/>
      <c r="K32" s="62"/>
      <c r="L32" s="41"/>
      <c r="M32" s="199"/>
      <c r="N32" s="163"/>
    </row>
    <row r="33" spans="1:14">
      <c r="A33" s="40">
        <f t="shared" si="16"/>
        <v>23</v>
      </c>
      <c r="B33" s="41" t="s">
        <v>1197</v>
      </c>
      <c r="C33" s="62"/>
      <c r="D33" s="62"/>
      <c r="E33" s="62"/>
      <c r="F33" s="62"/>
      <c r="G33" s="62"/>
      <c r="H33" s="62"/>
      <c r="I33" s="62"/>
      <c r="J33" s="62"/>
      <c r="K33" s="62"/>
      <c r="L33" s="41"/>
      <c r="M33" s="199"/>
      <c r="N33" s="163"/>
    </row>
    <row r="34" spans="1:14">
      <c r="A34" s="40">
        <f t="shared" si="16"/>
        <v>24</v>
      </c>
      <c r="B34" s="41" t="s">
        <v>1561</v>
      </c>
      <c r="C34" s="62"/>
      <c r="D34" s="62"/>
      <c r="E34" s="62"/>
      <c r="F34" s="62"/>
      <c r="G34" s="62"/>
      <c r="H34" s="62"/>
      <c r="I34" s="62"/>
      <c r="J34" s="62"/>
      <c r="K34" s="62"/>
      <c r="L34" s="41"/>
      <c r="M34" s="199"/>
      <c r="N34" s="163"/>
    </row>
    <row r="35" spans="1:14">
      <c r="A35" s="40"/>
      <c r="B35" s="41"/>
      <c r="C35" s="41"/>
      <c r="D35" s="906"/>
      <c r="E35" s="472"/>
      <c r="F35" s="472"/>
      <c r="G35" s="472"/>
      <c r="H35" s="472"/>
      <c r="I35" s="472"/>
      <c r="J35" s="472"/>
      <c r="K35" s="199"/>
      <c r="L35" s="41"/>
      <c r="M35" s="199"/>
      <c r="N35" s="163"/>
    </row>
    <row r="36" spans="1:14">
      <c r="A36" s="40"/>
      <c r="B36" s="41"/>
      <c r="C36" s="41"/>
      <c r="D36" s="40"/>
      <c r="E36" s="41"/>
      <c r="F36" s="41"/>
      <c r="G36" s="41" t="s">
        <v>1562</v>
      </c>
      <c r="H36" s="41"/>
      <c r="I36" s="41"/>
      <c r="J36" s="41" t="str">
        <f>'Stmt N'!AK1</f>
        <v>Y</v>
      </c>
      <c r="K36" s="199"/>
      <c r="L36" s="41"/>
      <c r="M36" s="199"/>
      <c r="N36" s="163"/>
    </row>
    <row r="37" spans="1:14">
      <c r="A37" s="40"/>
      <c r="B37" s="41"/>
      <c r="C37" s="41"/>
      <c r="D37" s="40"/>
      <c r="E37" s="41"/>
      <c r="F37" s="41"/>
      <c r="G37" s="41"/>
      <c r="H37" s="41"/>
      <c r="I37" s="41"/>
      <c r="J37" s="41"/>
      <c r="K37" s="199"/>
      <c r="L37" s="41"/>
      <c r="M37" s="199"/>
      <c r="N37" s="163"/>
    </row>
    <row r="38" spans="1:14">
      <c r="A38" s="40"/>
      <c r="B38" s="41"/>
      <c r="C38" s="41"/>
      <c r="D38" s="40"/>
      <c r="E38" s="41"/>
      <c r="F38" s="41"/>
      <c r="G38" s="41"/>
      <c r="H38" s="41"/>
      <c r="I38" s="41"/>
      <c r="J38" s="41"/>
      <c r="K38" s="199"/>
      <c r="L38" s="41"/>
      <c r="M38" s="199"/>
      <c r="N38" s="163"/>
    </row>
    <row r="39" spans="1:14">
      <c r="A39" s="40"/>
      <c r="B39" s="41"/>
      <c r="C39" s="41"/>
      <c r="D39" s="40"/>
      <c r="E39" s="41"/>
      <c r="F39" s="41"/>
      <c r="G39" s="41"/>
      <c r="H39" s="41"/>
      <c r="I39" s="41"/>
      <c r="J39" s="41"/>
      <c r="K39" s="199"/>
      <c r="L39" s="41"/>
      <c r="M39" s="199"/>
      <c r="N39" s="163"/>
    </row>
    <row r="40" spans="1:14">
      <c r="A40" s="40"/>
      <c r="B40" s="41"/>
      <c r="C40" s="41"/>
      <c r="D40" s="40"/>
      <c r="E40" s="41"/>
      <c r="F40" s="41"/>
      <c r="G40" s="41"/>
      <c r="H40" s="41"/>
      <c r="I40" s="41"/>
      <c r="J40" s="41"/>
      <c r="K40" s="199"/>
      <c r="L40" s="41"/>
      <c r="M40" s="199"/>
      <c r="N40" s="163"/>
    </row>
    <row r="41" spans="1:14">
      <c r="A41" s="40"/>
      <c r="B41" s="41"/>
      <c r="C41" s="41"/>
      <c r="D41" s="40"/>
      <c r="E41" s="41"/>
      <c r="F41" s="41"/>
      <c r="G41" s="41"/>
      <c r="H41" s="41"/>
      <c r="I41" s="41"/>
      <c r="J41" s="41"/>
      <c r="K41" s="199"/>
      <c r="L41" s="41"/>
      <c r="M41" s="199"/>
      <c r="N41" s="163"/>
    </row>
    <row r="42" spans="1:14">
      <c r="A42" s="40"/>
      <c r="B42" s="41"/>
      <c r="C42" s="41"/>
      <c r="D42" s="40"/>
      <c r="E42" s="41"/>
      <c r="F42" s="41"/>
      <c r="G42" s="41"/>
      <c r="H42" s="41"/>
      <c r="I42" s="41"/>
      <c r="J42" s="41"/>
      <c r="K42" s="199"/>
      <c r="L42" s="41"/>
      <c r="M42" s="199"/>
      <c r="N42" s="163"/>
    </row>
    <row r="43" spans="1:14">
      <c r="A43" s="40"/>
      <c r="B43" s="41"/>
      <c r="C43" s="41"/>
      <c r="D43" s="40"/>
      <c r="E43" s="41"/>
      <c r="F43" s="41"/>
      <c r="G43" s="41"/>
      <c r="H43" s="41"/>
      <c r="I43" s="41"/>
      <c r="J43" s="41"/>
      <c r="K43" s="199"/>
      <c r="L43" s="41"/>
      <c r="M43" s="199"/>
      <c r="N43" s="163"/>
    </row>
    <row r="44" spans="1:14">
      <c r="A44" s="40"/>
      <c r="B44" s="41"/>
      <c r="C44" s="41"/>
      <c r="D44" s="40"/>
      <c r="E44" s="41"/>
      <c r="F44" s="41"/>
      <c r="G44" s="41"/>
      <c r="H44" s="41"/>
      <c r="I44" s="41"/>
      <c r="J44" s="41"/>
      <c r="K44" s="199"/>
      <c r="L44" s="41"/>
      <c r="M44" s="199"/>
      <c r="N44" s="163"/>
    </row>
    <row r="45" spans="1:14">
      <c r="A45" s="40"/>
      <c r="B45" s="41"/>
      <c r="C45" s="41"/>
      <c r="D45" s="40"/>
      <c r="E45" s="41"/>
      <c r="F45" s="41"/>
      <c r="G45" s="41"/>
      <c r="H45" s="41"/>
      <c r="I45" s="41"/>
      <c r="J45" s="41"/>
      <c r="K45" s="199"/>
      <c r="L45" s="41"/>
      <c r="M45" s="199"/>
      <c r="N45" s="163"/>
    </row>
    <row r="46" spans="1:14">
      <c r="A46" s="40"/>
      <c r="B46" s="41"/>
      <c r="C46" s="41"/>
      <c r="D46" s="40"/>
      <c r="E46" s="41"/>
      <c r="F46" s="41"/>
      <c r="G46" s="41"/>
      <c r="H46" s="41"/>
      <c r="I46" s="41"/>
      <c r="J46" s="41"/>
      <c r="K46" s="199"/>
      <c r="L46" s="41"/>
      <c r="M46" s="199"/>
      <c r="N46" s="163"/>
    </row>
    <row r="47" spans="1:14">
      <c r="A47" s="40"/>
      <c r="B47" s="41"/>
      <c r="C47" s="41"/>
      <c r="D47" s="40"/>
      <c r="E47" s="41"/>
      <c r="F47" s="41"/>
      <c r="G47" s="41"/>
      <c r="H47" s="41"/>
      <c r="I47" s="41"/>
      <c r="J47" s="41"/>
      <c r="K47" s="199"/>
      <c r="L47" s="41"/>
      <c r="M47" s="199"/>
      <c r="N47" s="163"/>
    </row>
    <row r="48" spans="1:14">
      <c r="A48" s="40"/>
      <c r="B48" s="41"/>
      <c r="C48" s="41"/>
      <c r="D48" s="40"/>
      <c r="E48" s="41"/>
      <c r="F48" s="41"/>
      <c r="G48" s="41"/>
      <c r="H48" s="41"/>
      <c r="I48" s="41"/>
      <c r="J48" s="41"/>
      <c r="K48" s="199"/>
      <c r="L48" s="41"/>
      <c r="M48" s="199"/>
      <c r="N48" s="163"/>
    </row>
    <row r="49" spans="1:14">
      <c r="A49" s="40"/>
      <c r="B49" s="41"/>
      <c r="C49" s="41"/>
      <c r="D49" s="40"/>
      <c r="E49" s="41"/>
      <c r="F49" s="41"/>
      <c r="G49" s="41"/>
      <c r="H49" s="41"/>
      <c r="I49" s="41"/>
      <c r="J49" s="41"/>
      <c r="K49" s="199"/>
      <c r="L49" s="41"/>
      <c r="M49" s="199"/>
      <c r="N49" s="163"/>
    </row>
    <row r="50" spans="1:14">
      <c r="A50" s="40"/>
      <c r="B50" s="41"/>
      <c r="C50" s="41"/>
      <c r="D50" s="40"/>
      <c r="E50" s="41"/>
      <c r="F50" s="41"/>
      <c r="G50" s="41"/>
      <c r="H50" s="41"/>
      <c r="I50" s="41"/>
      <c r="J50" s="41"/>
      <c r="K50" s="199"/>
      <c r="L50" s="41"/>
      <c r="M50" s="199"/>
      <c r="N50" s="163"/>
    </row>
    <row r="51" spans="1:14">
      <c r="A51" s="40"/>
      <c r="B51" s="41"/>
      <c r="C51" s="41"/>
      <c r="D51" s="40"/>
      <c r="E51" s="41"/>
      <c r="F51" s="41"/>
      <c r="G51" s="41"/>
      <c r="H51" s="41"/>
      <c r="I51" s="41"/>
      <c r="J51" s="41"/>
      <c r="K51" s="199"/>
      <c r="L51" s="41"/>
      <c r="M51" s="199"/>
      <c r="N51" s="163"/>
    </row>
    <row r="52" spans="1:14">
      <c r="A52" s="40"/>
      <c r="B52" s="41"/>
      <c r="C52" s="41"/>
      <c r="D52" s="40"/>
      <c r="E52" s="41"/>
      <c r="F52" s="41"/>
      <c r="G52" s="41"/>
      <c r="H52" s="41"/>
      <c r="I52" s="41"/>
      <c r="J52" s="41"/>
      <c r="K52" s="199"/>
      <c r="L52" s="41"/>
      <c r="M52" s="199"/>
      <c r="N52" s="163"/>
    </row>
    <row r="53" spans="1:14">
      <c r="A53" s="40"/>
      <c r="B53" s="41"/>
      <c r="C53" s="41"/>
      <c r="D53" s="40"/>
      <c r="E53" s="41"/>
      <c r="F53" s="41"/>
      <c r="G53" s="41"/>
      <c r="H53" s="41"/>
      <c r="I53" s="41"/>
      <c r="J53" s="41"/>
      <c r="K53" s="199"/>
      <c r="L53" s="41"/>
      <c r="M53" s="199"/>
      <c r="N53" s="163"/>
    </row>
    <row r="54" spans="1:14">
      <c r="A54" s="40"/>
      <c r="B54" s="41"/>
      <c r="C54" s="41"/>
      <c r="D54" s="40"/>
      <c r="E54" s="41"/>
      <c r="F54" s="41"/>
      <c r="G54" s="41"/>
      <c r="H54" s="41"/>
      <c r="I54" s="41"/>
      <c r="J54" s="41"/>
      <c r="K54" s="199"/>
      <c r="L54" s="41"/>
      <c r="M54" s="199"/>
      <c r="N54" s="163"/>
    </row>
    <row r="55" spans="1:14">
      <c r="A55" s="40"/>
      <c r="B55" s="41"/>
      <c r="C55" s="41"/>
      <c r="D55" s="40"/>
      <c r="E55" s="41"/>
      <c r="F55" s="41"/>
      <c r="G55" s="41"/>
      <c r="H55" s="41"/>
      <c r="I55" s="41"/>
      <c r="J55" s="41"/>
      <c r="K55" s="199"/>
      <c r="L55" s="41"/>
      <c r="M55" s="199"/>
      <c r="N55" s="163"/>
    </row>
    <row r="56" spans="1:14">
      <c r="A56" s="40"/>
      <c r="B56" s="41"/>
      <c r="C56" s="41"/>
      <c r="D56" s="40"/>
      <c r="E56" s="41"/>
      <c r="F56" s="41"/>
      <c r="G56" s="41"/>
      <c r="H56" s="41"/>
      <c r="I56" s="41"/>
      <c r="J56" s="41"/>
      <c r="K56" s="199"/>
      <c r="L56" s="41"/>
      <c r="M56" s="199"/>
      <c r="N56" s="163"/>
    </row>
    <row r="57" spans="1:14">
      <c r="A57" s="40"/>
      <c r="B57" s="41"/>
      <c r="C57" s="41"/>
      <c r="D57" s="40"/>
      <c r="E57" s="41"/>
      <c r="F57" s="41"/>
      <c r="G57" s="41"/>
      <c r="H57" s="41"/>
      <c r="I57" s="41"/>
      <c r="J57" s="41"/>
      <c r="K57" s="199"/>
      <c r="L57" s="41"/>
      <c r="M57" s="199"/>
      <c r="N57" s="163"/>
    </row>
    <row r="58" spans="1:14">
      <c r="A58" s="40"/>
      <c r="B58" s="41"/>
      <c r="C58" s="41"/>
      <c r="D58" s="40"/>
      <c r="E58" s="41"/>
      <c r="F58" s="41"/>
      <c r="G58" s="41"/>
      <c r="H58" s="41"/>
      <c r="I58" s="41"/>
      <c r="J58" s="41"/>
      <c r="K58" s="199"/>
      <c r="L58" s="41"/>
      <c r="M58" s="199"/>
      <c r="N58" s="163"/>
    </row>
    <row r="59" spans="1:14">
      <c r="A59" s="40"/>
      <c r="B59" s="41"/>
      <c r="C59" s="41"/>
      <c r="D59" s="40"/>
      <c r="E59" s="41"/>
      <c r="F59" s="41"/>
      <c r="G59" s="41"/>
      <c r="H59" s="41"/>
      <c r="I59" s="41"/>
      <c r="J59" s="41"/>
      <c r="K59" s="199"/>
      <c r="L59" s="41"/>
      <c r="M59" s="199"/>
      <c r="N59" s="163"/>
    </row>
    <row r="60" spans="1:14">
      <c r="A60" s="40"/>
      <c r="B60" s="41"/>
      <c r="C60" s="41"/>
      <c r="D60" s="40"/>
      <c r="E60" s="41"/>
      <c r="F60" s="41"/>
      <c r="G60" s="41"/>
      <c r="H60" s="41"/>
      <c r="I60" s="41"/>
      <c r="J60" s="41"/>
      <c r="K60" s="199"/>
      <c r="L60" s="41"/>
      <c r="M60" s="199"/>
      <c r="N60" s="163"/>
    </row>
    <row r="61" spans="1:14">
      <c r="A61" s="40"/>
      <c r="B61" s="41"/>
      <c r="C61" s="41"/>
      <c r="D61" s="40"/>
      <c r="E61" s="41"/>
      <c r="F61" s="41"/>
      <c r="G61" s="41"/>
      <c r="H61" s="41"/>
      <c r="I61" s="41"/>
      <c r="J61" s="41"/>
      <c r="K61" s="199"/>
      <c r="L61" s="41"/>
      <c r="M61" s="199"/>
      <c r="N61" s="163"/>
    </row>
    <row r="62" spans="1:14">
      <c r="A62" s="40"/>
      <c r="B62" s="41"/>
      <c r="C62" s="41"/>
      <c r="D62" s="40"/>
      <c r="E62" s="41"/>
      <c r="F62" s="41"/>
      <c r="G62" s="41"/>
      <c r="H62" s="41"/>
      <c r="I62" s="41"/>
      <c r="J62" s="41"/>
      <c r="K62" s="199"/>
      <c r="L62" s="41"/>
      <c r="M62" s="199"/>
      <c r="N62" s="163"/>
    </row>
    <row r="63" spans="1:14">
      <c r="A63" s="40"/>
      <c r="B63" s="41"/>
      <c r="C63" s="41"/>
      <c r="D63" s="40"/>
      <c r="E63" s="41"/>
      <c r="F63" s="41"/>
      <c r="G63" s="41"/>
      <c r="H63" s="41"/>
      <c r="I63" s="41"/>
      <c r="J63" s="41"/>
      <c r="K63" s="199"/>
      <c r="L63" s="41"/>
      <c r="M63" s="199"/>
      <c r="N63" s="163"/>
    </row>
    <row r="64" spans="1:14">
      <c r="A64" s="40"/>
      <c r="B64" s="41"/>
      <c r="C64" s="41"/>
      <c r="D64" s="40"/>
      <c r="E64" s="41"/>
      <c r="F64" s="41"/>
      <c r="G64" s="41"/>
      <c r="H64" s="41"/>
      <c r="I64" s="41"/>
      <c r="J64" s="41"/>
      <c r="K64" s="199"/>
      <c r="L64" s="41"/>
      <c r="M64" s="199"/>
      <c r="N64" s="163"/>
    </row>
    <row r="65" spans="1:14">
      <c r="A65" s="40"/>
      <c r="B65" s="41"/>
      <c r="C65" s="41"/>
      <c r="D65" s="40"/>
      <c r="E65" s="41"/>
      <c r="F65" s="41"/>
      <c r="G65" s="41"/>
      <c r="H65" s="41"/>
      <c r="I65" s="41"/>
      <c r="J65" s="41"/>
      <c r="K65" s="199"/>
      <c r="L65" s="41"/>
      <c r="M65" s="199"/>
      <c r="N65" s="163"/>
    </row>
    <row r="66" spans="1:14">
      <c r="A66" s="40"/>
      <c r="B66" s="41"/>
      <c r="C66" s="41"/>
      <c r="D66" s="40"/>
      <c r="E66" s="41"/>
      <c r="F66" s="41"/>
      <c r="G66" s="41"/>
      <c r="H66" s="41"/>
      <c r="I66" s="41"/>
      <c r="J66" s="41"/>
      <c r="K66" s="199"/>
      <c r="L66" s="41"/>
      <c r="M66" s="199"/>
      <c r="N66" s="163"/>
    </row>
    <row r="67" spans="1:14">
      <c r="A67" s="40"/>
      <c r="B67" s="41"/>
      <c r="C67" s="41"/>
      <c r="D67" s="40"/>
      <c r="E67" s="41"/>
      <c r="F67" s="41"/>
      <c r="G67" s="41"/>
      <c r="H67" s="41"/>
      <c r="I67" s="41"/>
      <c r="J67" s="41"/>
      <c r="K67" s="199"/>
      <c r="L67" s="41"/>
      <c r="M67" s="199"/>
      <c r="N67" s="163"/>
    </row>
    <row r="68" spans="1:14">
      <c r="A68" s="40"/>
      <c r="B68" s="41"/>
      <c r="C68" s="41"/>
      <c r="D68" s="40"/>
      <c r="E68" s="41"/>
      <c r="F68" s="41"/>
      <c r="G68" s="41"/>
      <c r="H68" s="41"/>
      <c r="I68" s="41"/>
      <c r="J68" s="41"/>
      <c r="K68" s="199"/>
      <c r="L68" s="41"/>
      <c r="M68" s="199"/>
    </row>
    <row r="69" spans="1:14">
      <c r="A69" s="40"/>
      <c r="B69" s="41"/>
      <c r="C69" s="41"/>
      <c r="D69" s="40"/>
      <c r="E69" s="41"/>
      <c r="F69" s="41"/>
      <c r="G69" s="41"/>
      <c r="H69" s="41"/>
      <c r="I69" s="41"/>
      <c r="J69" s="41"/>
      <c r="K69" s="199"/>
      <c r="L69" s="41"/>
      <c r="M69" s="199"/>
    </row>
    <row r="70" spans="1:14">
      <c r="A70" s="40"/>
      <c r="B70" s="41"/>
      <c r="C70" s="41"/>
      <c r="D70" s="40"/>
      <c r="E70" s="41"/>
      <c r="F70" s="41"/>
      <c r="G70" s="41"/>
      <c r="H70" s="41"/>
      <c r="I70" s="41"/>
      <c r="J70" s="41"/>
      <c r="K70" s="41"/>
      <c r="L70" s="41"/>
      <c r="M70" s="41"/>
    </row>
    <row r="71" spans="1:14">
      <c r="A71" s="40"/>
      <c r="B71" s="41"/>
      <c r="C71" s="41"/>
      <c r="D71" s="40"/>
      <c r="E71" s="41"/>
      <c r="F71" s="41"/>
      <c r="G71" s="41"/>
      <c r="H71" s="41"/>
      <c r="I71" s="41"/>
      <c r="J71" s="41"/>
      <c r="K71" s="41"/>
      <c r="L71" s="41"/>
      <c r="M71" s="156"/>
    </row>
    <row r="72" spans="1:14">
      <c r="A72" s="40"/>
      <c r="B72" s="41"/>
      <c r="C72" s="41"/>
      <c r="D72" s="40"/>
      <c r="E72" s="41"/>
      <c r="F72" s="41"/>
      <c r="G72" s="41"/>
      <c r="H72" s="41"/>
      <c r="I72" s="41"/>
      <c r="J72" s="41"/>
      <c r="K72" s="41"/>
      <c r="L72" s="41"/>
      <c r="M72" s="199"/>
    </row>
    <row r="73" spans="1:14">
      <c r="A73" s="40"/>
      <c r="B73" s="41"/>
      <c r="C73" s="41"/>
      <c r="D73" s="40"/>
      <c r="E73" s="41"/>
      <c r="F73" s="41"/>
      <c r="G73" s="41"/>
      <c r="H73" s="41"/>
      <c r="I73" s="41"/>
      <c r="J73" s="41"/>
      <c r="K73" s="41"/>
      <c r="L73" s="41"/>
      <c r="M73" s="161"/>
    </row>
    <row r="74" spans="1:14">
      <c r="A74" s="40"/>
      <c r="B74" s="41"/>
      <c r="C74" s="41"/>
      <c r="D74" s="40"/>
      <c r="E74" s="41"/>
      <c r="F74" s="41"/>
      <c r="G74" s="41"/>
      <c r="H74" s="41"/>
      <c r="I74" s="41"/>
      <c r="J74" s="41"/>
      <c r="K74" s="41"/>
      <c r="L74" s="41"/>
      <c r="M74" s="156"/>
    </row>
  </sheetData>
  <printOptions horizontalCentered="1"/>
  <pageMargins left="0.25" right="0.25" top="1" bottom="0.5" header="1" footer="0.5"/>
  <pageSetup scale="7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F87"/>
  <sheetViews>
    <sheetView workbookViewId="0"/>
  </sheetViews>
  <sheetFormatPr defaultColWidth="10.6640625" defaultRowHeight="12.75"/>
  <cols>
    <col min="1" max="1" width="6.83203125" style="8" customWidth="1"/>
    <col min="2" max="2" width="9.6640625" style="8" bestFit="1" customWidth="1"/>
    <col min="3" max="3" width="39.33203125" style="8" bestFit="1" customWidth="1"/>
    <col min="4" max="4" width="0.83203125" style="8" customWidth="1"/>
    <col min="5" max="10" width="15.83203125" style="8" customWidth="1"/>
    <col min="11" max="11" width="26.83203125" style="8" customWidth="1"/>
    <col min="12" max="12" width="8.33203125" style="8" customWidth="1"/>
    <col min="13" max="13" width="3.1640625" style="8" customWidth="1"/>
    <col min="14" max="16" width="12.83203125" style="162" customWidth="1"/>
    <col min="17" max="17" width="3.6640625" style="162" customWidth="1"/>
    <col min="18" max="20" width="12.83203125" style="162" customWidth="1"/>
    <col min="21" max="21" width="3.33203125" style="162" customWidth="1"/>
    <col min="22" max="24" width="10.83203125" style="162" customWidth="1"/>
    <col min="25" max="25" width="3.33203125" style="162" customWidth="1"/>
    <col min="26" max="27" width="10.83203125" style="162" customWidth="1"/>
    <col min="28" max="28" width="11.33203125" style="162" customWidth="1"/>
    <col min="29" max="29" width="4.33203125" style="162" customWidth="1"/>
    <col min="30" max="30" width="11.6640625" style="162" customWidth="1"/>
    <col min="31" max="31" width="11" style="162" customWidth="1"/>
    <col min="32" max="32" width="11.33203125" style="162" customWidth="1"/>
    <col min="33" max="33" width="2.33203125" style="162" customWidth="1"/>
    <col min="34" max="34" width="10.6640625" style="162" customWidth="1"/>
    <col min="35" max="16384" width="10.6640625" style="162"/>
  </cols>
  <sheetData>
    <row r="1" spans="1:32" ht="12.75" customHeight="1">
      <c r="A1" s="69" t="str">
        <f>Company</f>
        <v>BLACK HILLS NEBRASKA GAS, LLC</v>
      </c>
      <c r="B1" s="119"/>
      <c r="C1" s="119"/>
      <c r="D1" s="119"/>
      <c r="E1" s="119"/>
      <c r="F1" s="119"/>
      <c r="G1" s="119"/>
      <c r="H1" s="119"/>
      <c r="I1" s="119"/>
      <c r="J1" s="119"/>
      <c r="K1" s="615" t="s">
        <v>1318</v>
      </c>
      <c r="L1" s="119"/>
      <c r="M1" s="56"/>
    </row>
    <row r="2" spans="1:32" ht="12.75" customHeight="1">
      <c r="A2" s="70" t="s">
        <v>1276</v>
      </c>
      <c r="B2" s="119"/>
      <c r="C2" s="119"/>
      <c r="D2" s="119"/>
      <c r="E2" s="119"/>
      <c r="F2" s="119"/>
      <c r="G2" s="119"/>
      <c r="H2" s="119"/>
      <c r="I2" s="119"/>
      <c r="J2" s="119"/>
      <c r="K2" s="72" t="str">
        <f>Attach</f>
        <v>FINAL - BH January 15, 2021 Rev. Req. Model</v>
      </c>
      <c r="L2" s="119"/>
      <c r="M2" s="56"/>
    </row>
    <row r="3" spans="1:32" ht="12.75" customHeight="1">
      <c r="A3" s="70" t="str">
        <f>TYEnded</f>
        <v>FOR THE TEST YEAR ENDING DECEMBER 31, 2020</v>
      </c>
      <c r="B3" s="119"/>
      <c r="C3" s="119"/>
      <c r="D3" s="119"/>
      <c r="E3" s="119"/>
      <c r="F3" s="119"/>
      <c r="G3" s="119"/>
      <c r="H3" s="119"/>
      <c r="I3" s="119"/>
      <c r="J3" s="119"/>
      <c r="K3" s="56" t="s">
        <v>774</v>
      </c>
      <c r="L3" s="119"/>
      <c r="M3" s="119"/>
    </row>
    <row r="4" spans="1:32" ht="12.75" customHeight="1">
      <c r="A4" s="70"/>
      <c r="B4" s="119"/>
      <c r="C4" s="119"/>
      <c r="D4" s="119"/>
      <c r="E4" s="119"/>
      <c r="F4" s="119"/>
      <c r="G4" s="119"/>
      <c r="H4" s="119"/>
      <c r="I4" s="119"/>
      <c r="J4" s="119"/>
      <c r="L4" s="119"/>
      <c r="M4" s="119"/>
    </row>
    <row r="5" spans="1:32" ht="12.75" customHeight="1">
      <c r="A5" s="70"/>
      <c r="B5" s="119"/>
      <c r="C5" s="119"/>
      <c r="D5" s="119"/>
      <c r="E5" s="119"/>
      <c r="F5" s="119"/>
      <c r="G5" s="119"/>
      <c r="H5" s="119"/>
      <c r="I5" s="119"/>
      <c r="J5" s="119"/>
      <c r="L5" s="119"/>
      <c r="M5" s="119"/>
      <c r="N5" s="393"/>
    </row>
    <row r="6" spans="1:32" ht="12.75" customHeight="1">
      <c r="A6" s="70"/>
      <c r="B6" s="119"/>
      <c r="C6" s="119"/>
      <c r="D6" s="119"/>
      <c r="E6" s="119"/>
      <c r="F6" s="119"/>
      <c r="G6" s="119"/>
      <c r="H6" s="119"/>
      <c r="I6" s="119"/>
      <c r="J6" s="119"/>
      <c r="L6" s="119"/>
      <c r="M6" s="119"/>
      <c r="N6" s="162" t="s">
        <v>1208</v>
      </c>
      <c r="R6" s="162" t="s">
        <v>1209</v>
      </c>
      <c r="V6" s="162" t="s">
        <v>1210</v>
      </c>
      <c r="Z6" s="162" t="s">
        <v>1211</v>
      </c>
      <c r="AD6" s="162" t="s">
        <v>1212</v>
      </c>
    </row>
    <row r="7" spans="1:32" ht="12.75" customHeight="1">
      <c r="A7" s="70"/>
      <c r="B7" s="119"/>
      <c r="C7" s="119"/>
      <c r="D7" s="119"/>
      <c r="E7" s="375" t="s">
        <v>199</v>
      </c>
      <c r="F7" s="375" t="s">
        <v>200</v>
      </c>
      <c r="G7" s="375" t="s">
        <v>41</v>
      </c>
      <c r="H7" s="375" t="s">
        <v>202</v>
      </c>
      <c r="I7" s="375" t="s">
        <v>203</v>
      </c>
      <c r="J7" s="375"/>
      <c r="K7" s="375" t="s">
        <v>204</v>
      </c>
      <c r="L7" s="119"/>
      <c r="M7" s="119"/>
    </row>
    <row r="8" spans="1:32">
      <c r="A8" s="216"/>
      <c r="B8" s="213"/>
      <c r="C8" s="689"/>
      <c r="D8" s="689"/>
      <c r="E8" s="512" t="s">
        <v>1432</v>
      </c>
      <c r="F8" s="512" t="s">
        <v>22</v>
      </c>
      <c r="G8" s="512" t="s">
        <v>22</v>
      </c>
      <c r="H8" s="512" t="s">
        <v>22</v>
      </c>
      <c r="I8" s="512" t="s">
        <v>22</v>
      </c>
      <c r="J8" s="512"/>
      <c r="K8" s="1616" t="s">
        <v>1495</v>
      </c>
      <c r="L8" s="217"/>
      <c r="M8" s="75">
        <v>1</v>
      </c>
      <c r="N8" s="75" t="str">
        <f>References!$C$17</f>
        <v>Exhibit No. MCC-2 NEG</v>
      </c>
      <c r="O8" s="75" t="str">
        <f>References!$D$17</f>
        <v>Exhibit No. MCC-2 NEGD</v>
      </c>
      <c r="P8" s="75" t="str">
        <f>References!$E$17</f>
        <v>FINAL - BH January 15, 2021 Rev. Req. Model</v>
      </c>
      <c r="R8" s="75" t="str">
        <f>References!$C$17</f>
        <v>Exhibit No. MCC-2 NEG</v>
      </c>
      <c r="S8" s="75" t="str">
        <f>References!$D$17</f>
        <v>Exhibit No. MCC-2 NEGD</v>
      </c>
      <c r="T8" s="75" t="str">
        <f>References!$E$17</f>
        <v>FINAL - BH January 15, 2021 Rev. Req. Model</v>
      </c>
      <c r="V8" s="75" t="str">
        <f>References!$C$17</f>
        <v>Exhibit No. MCC-2 NEG</v>
      </c>
      <c r="W8" s="75" t="str">
        <f>References!$D$17</f>
        <v>Exhibit No. MCC-2 NEGD</v>
      </c>
      <c r="X8" s="75" t="str">
        <f>References!$E$17</f>
        <v>FINAL - BH January 15, 2021 Rev. Req. Model</v>
      </c>
      <c r="Z8" s="75" t="str">
        <f>References!$C$17</f>
        <v>Exhibit No. MCC-2 NEG</v>
      </c>
      <c r="AA8" s="75" t="str">
        <f>References!$D$17</f>
        <v>Exhibit No. MCC-2 NEGD</v>
      </c>
      <c r="AB8" s="75" t="str">
        <f>References!$E$17</f>
        <v>FINAL - BH January 15, 2021 Rev. Req. Model</v>
      </c>
      <c r="AD8" s="75" t="str">
        <f>References!$C$17</f>
        <v>Exhibit No. MCC-2 NEG</v>
      </c>
      <c r="AE8" s="75" t="str">
        <f>References!$D$17</f>
        <v>Exhibit No. MCC-2 NEGD</v>
      </c>
      <c r="AF8" s="75" t="str">
        <f>References!$E$17</f>
        <v>FINAL - BH January 15, 2021 Rev. Req. Model</v>
      </c>
    </row>
    <row r="9" spans="1:32" ht="51">
      <c r="A9" s="397" t="s">
        <v>117</v>
      </c>
      <c r="B9" s="398" t="s">
        <v>517</v>
      </c>
      <c r="C9" s="399" t="s">
        <v>124</v>
      </c>
      <c r="D9" s="691"/>
      <c r="E9" s="1362" t="s">
        <v>1501</v>
      </c>
      <c r="F9" s="1362" t="s">
        <v>1502</v>
      </c>
      <c r="G9" s="1362" t="s">
        <v>1503</v>
      </c>
      <c r="H9" s="1362" t="s">
        <v>1504</v>
      </c>
      <c r="I9" s="1362" t="s">
        <v>1505</v>
      </c>
      <c r="J9" s="1362" t="s">
        <v>1609</v>
      </c>
      <c r="K9" s="1362" t="s">
        <v>1207</v>
      </c>
      <c r="L9" s="218"/>
      <c r="M9" s="75">
        <f>M8+1</f>
        <v>2</v>
      </c>
      <c r="N9" s="75" t="str">
        <f>References!$C$18</f>
        <v>NEG</v>
      </c>
      <c r="O9" s="75" t="str">
        <f>References!$D$18</f>
        <v>NEGD</v>
      </c>
      <c r="P9" s="75" t="str">
        <f>References!$E$18</f>
        <v>Tot Co</v>
      </c>
      <c r="R9" s="75" t="str">
        <f>References!$C$18</f>
        <v>NEG</v>
      </c>
      <c r="S9" s="75" t="str">
        <f>References!$D$18</f>
        <v>NEGD</v>
      </c>
      <c r="T9" s="75" t="str">
        <f>References!$E$18</f>
        <v>Tot Co</v>
      </c>
      <c r="V9" s="75" t="str">
        <f>References!$C$18</f>
        <v>NEG</v>
      </c>
      <c r="W9" s="75" t="str">
        <f>References!$D$18</f>
        <v>NEGD</v>
      </c>
      <c r="X9" s="75" t="str">
        <f>References!$E$18</f>
        <v>Tot Co</v>
      </c>
      <c r="Z9" s="75" t="str">
        <f>References!$C$18</f>
        <v>NEG</v>
      </c>
      <c r="AA9" s="75" t="str">
        <f>References!$D$18</f>
        <v>NEGD</v>
      </c>
      <c r="AB9" s="75" t="str">
        <f>References!$E$18</f>
        <v>Tot Co</v>
      </c>
      <c r="AD9" s="75" t="str">
        <f>References!$C$18</f>
        <v>NEG</v>
      </c>
      <c r="AE9" s="75" t="str">
        <f>References!$D$18</f>
        <v>NEGD</v>
      </c>
      <c r="AF9" s="75" t="str">
        <f>References!$E$18</f>
        <v>Tot Co</v>
      </c>
    </row>
    <row r="10" spans="1:32">
      <c r="A10" s="337"/>
      <c r="B10" s="233"/>
      <c r="C10" s="338"/>
      <c r="D10" s="640"/>
      <c r="E10" s="690"/>
      <c r="F10" s="690"/>
      <c r="G10" s="690"/>
      <c r="H10" s="690"/>
      <c r="I10" s="690"/>
      <c r="J10" s="690"/>
      <c r="K10" s="690"/>
      <c r="L10" s="218"/>
      <c r="M10" s="75">
        <f t="shared" ref="M10:M28" si="0">M9+1</f>
        <v>3</v>
      </c>
      <c r="N10" s="75"/>
      <c r="O10" s="75"/>
      <c r="P10" s="75"/>
      <c r="R10" s="75"/>
      <c r="S10" s="75"/>
      <c r="T10" s="75"/>
      <c r="V10" s="75"/>
      <c r="W10" s="75"/>
      <c r="X10" s="75"/>
      <c r="Z10" s="75"/>
      <c r="AA10" s="75"/>
      <c r="AB10" s="75"/>
      <c r="AD10" s="75"/>
      <c r="AE10" s="75"/>
      <c r="AF10" s="75"/>
    </row>
    <row r="11" spans="1:32">
      <c r="A11" s="337">
        <v>1</v>
      </c>
      <c r="B11" s="40" t="s">
        <v>1259</v>
      </c>
      <c r="C11" s="98" t="s">
        <v>131</v>
      </c>
      <c r="D11" s="640"/>
      <c r="E11" s="547">
        <f>HLOOKUP(Attach,$N$8:$P$43,$M11,FALSE)</f>
        <v>0</v>
      </c>
      <c r="F11" s="547">
        <f>HLOOKUP(Attach,$R$8:$T$43,$M11,FALSE)</f>
        <v>1843.3000000000002</v>
      </c>
      <c r="G11" s="547">
        <f>HLOOKUP(Attach,$V$8:$X$43,$M11,FALSE)</f>
        <v>0</v>
      </c>
      <c r="H11" s="547">
        <f>HLOOKUP(Attach,$Z$8:$AB$43,$M11,FALSE)</f>
        <v>0</v>
      </c>
      <c r="I11" s="547">
        <f>HLOOKUP(Attach,$AD$8:$AF$43,$M11,FALSE)</f>
        <v>0</v>
      </c>
      <c r="J11" s="547"/>
      <c r="K11" s="547">
        <f>-SUM(E11:J11)</f>
        <v>-1843.3000000000002</v>
      </c>
      <c r="L11" s="218"/>
      <c r="M11" s="75">
        <f t="shared" si="0"/>
        <v>4</v>
      </c>
      <c r="N11" s="973">
        <v>0</v>
      </c>
      <c r="O11" s="973">
        <v>0</v>
      </c>
      <c r="P11" s="1331">
        <f>N11+O11</f>
        <v>0</v>
      </c>
      <c r="R11" s="973">
        <v>1843.3000000000002</v>
      </c>
      <c r="S11" s="973">
        <v>0</v>
      </c>
      <c r="T11" s="1331">
        <f>R11+S11</f>
        <v>1843.3000000000002</v>
      </c>
      <c r="U11" s="1339"/>
      <c r="V11" s="973">
        <v>0</v>
      </c>
      <c r="W11" s="973">
        <v>0</v>
      </c>
      <c r="X11" s="1331">
        <f>V11+W11</f>
        <v>0</v>
      </c>
      <c r="Y11" s="1339"/>
      <c r="Z11" s="973"/>
      <c r="AA11" s="973"/>
      <c r="AB11" s="1331">
        <f>Z11+AA11</f>
        <v>0</v>
      </c>
      <c r="AD11" s="973"/>
      <c r="AE11" s="973"/>
      <c r="AF11" s="1331">
        <f>AD11+AE11</f>
        <v>0</v>
      </c>
    </row>
    <row r="12" spans="1:32">
      <c r="A12" s="337">
        <f>A11+1</f>
        <v>2</v>
      </c>
      <c r="B12" s="40"/>
      <c r="C12" s="338"/>
      <c r="D12" s="640"/>
      <c r="E12" s="690"/>
      <c r="F12" s="690"/>
      <c r="G12" s="690"/>
      <c r="H12" s="690"/>
      <c r="I12" s="690"/>
      <c r="J12" s="690"/>
      <c r="K12" s="690"/>
      <c r="L12" s="218"/>
      <c r="M12" s="75">
        <f t="shared" si="0"/>
        <v>5</v>
      </c>
      <c r="N12" s="75"/>
      <c r="O12" s="75"/>
      <c r="P12" s="75"/>
      <c r="R12" s="75"/>
      <c r="S12" s="75"/>
      <c r="T12" s="75"/>
      <c r="V12" s="75"/>
      <c r="W12" s="75"/>
      <c r="X12" s="75"/>
      <c r="Z12" s="75"/>
      <c r="AA12" s="75"/>
      <c r="AB12" s="75"/>
      <c r="AD12" s="75"/>
      <c r="AE12" s="75"/>
      <c r="AF12" s="75"/>
    </row>
    <row r="13" spans="1:32">
      <c r="A13" s="337">
        <f t="shared" ref="A13:A20" si="1">A12+1</f>
        <v>3</v>
      </c>
      <c r="B13" s="40" t="s">
        <v>1258</v>
      </c>
      <c r="C13" s="98" t="s">
        <v>733</v>
      </c>
      <c r="D13" s="640"/>
      <c r="E13" s="835">
        <f>HLOOKUP(Attach,$N$8:$P$43,$M13,FALSE)</f>
        <v>0</v>
      </c>
      <c r="F13" s="835">
        <f>HLOOKUP(Attach,$R$8:$T$43,$M13,FALSE)</f>
        <v>63.95</v>
      </c>
      <c r="G13" s="835">
        <f>HLOOKUP(Attach,$V$8:$X$43,$M13,FALSE)</f>
        <v>0</v>
      </c>
      <c r="H13" s="835">
        <f>HLOOKUP(Attach,$Z$8:$AB$43,$M13,FALSE)</f>
        <v>0</v>
      </c>
      <c r="I13" s="835">
        <f>HLOOKUP(Attach,$AD$8:$AF$43,$M13,FALSE)</f>
        <v>0</v>
      </c>
      <c r="J13" s="835"/>
      <c r="K13" s="835">
        <f>-SUM(E13:J13)</f>
        <v>-63.95</v>
      </c>
      <c r="L13" s="218"/>
      <c r="M13" s="75">
        <f t="shared" si="0"/>
        <v>6</v>
      </c>
      <c r="N13" s="973">
        <v>0</v>
      </c>
      <c r="O13" s="973">
        <v>0</v>
      </c>
      <c r="P13" s="1331">
        <f>N13+O13</f>
        <v>0</v>
      </c>
      <c r="R13" s="973">
        <v>63.95</v>
      </c>
      <c r="S13" s="973">
        <v>0</v>
      </c>
      <c r="T13" s="1331">
        <f>R13+S13</f>
        <v>63.95</v>
      </c>
      <c r="U13" s="1339"/>
      <c r="V13" s="973">
        <v>0</v>
      </c>
      <c r="W13" s="973">
        <v>0</v>
      </c>
      <c r="X13" s="1331">
        <f>V13+W13</f>
        <v>0</v>
      </c>
      <c r="Y13" s="1339"/>
      <c r="Z13" s="973"/>
      <c r="AA13" s="973"/>
      <c r="AB13" s="1331">
        <f>Z13+AA13</f>
        <v>0</v>
      </c>
      <c r="AD13" s="973"/>
      <c r="AE13" s="973"/>
      <c r="AF13" s="1331">
        <f>AD13+AE13</f>
        <v>0</v>
      </c>
    </row>
    <row r="14" spans="1:32">
      <c r="A14" s="337">
        <f t="shared" si="1"/>
        <v>4</v>
      </c>
      <c r="B14" s="40"/>
      <c r="C14" s="338"/>
      <c r="D14" s="640"/>
      <c r="E14" s="690"/>
      <c r="F14" s="690"/>
      <c r="G14" s="690"/>
      <c r="H14" s="690"/>
      <c r="I14" s="690"/>
      <c r="J14" s="690"/>
      <c r="K14" s="1597"/>
      <c r="L14" s="218"/>
      <c r="M14" s="75">
        <f t="shared" si="0"/>
        <v>7</v>
      </c>
      <c r="N14" s="75"/>
      <c r="O14" s="75"/>
      <c r="P14" s="75"/>
      <c r="R14" s="75"/>
      <c r="S14" s="75"/>
      <c r="T14" s="75"/>
      <c r="V14" s="75"/>
      <c r="W14" s="75"/>
      <c r="X14" s="75"/>
      <c r="Z14" s="75"/>
      <c r="AA14" s="75"/>
      <c r="AB14" s="75"/>
      <c r="AD14" s="75"/>
      <c r="AE14" s="75"/>
      <c r="AF14" s="75"/>
    </row>
    <row r="15" spans="1:32">
      <c r="A15" s="337">
        <f t="shared" si="1"/>
        <v>5</v>
      </c>
      <c r="B15" s="40" t="s">
        <v>1257</v>
      </c>
      <c r="C15" s="98" t="s">
        <v>416</v>
      </c>
      <c r="D15" s="640"/>
      <c r="E15" s="835">
        <f>HLOOKUP(Attach,$N$8:$P$43,$M15,FALSE)</f>
        <v>2612.09</v>
      </c>
      <c r="F15" s="835">
        <f>HLOOKUP(Attach,$R$8:$T$43,$M15,FALSE)</f>
        <v>1352.8700000000001</v>
      </c>
      <c r="G15" s="835">
        <f>HLOOKUP(Attach,$V$8:$X$43,$M15,FALSE)</f>
        <v>0</v>
      </c>
      <c r="H15" s="835">
        <f>HLOOKUP(Attach,$Z$8:$AB$43,$M15,FALSE)</f>
        <v>0</v>
      </c>
      <c r="I15" s="835">
        <f>HLOOKUP(Attach,$AD$8:$AF$43,$M15,FALSE)</f>
        <v>0</v>
      </c>
      <c r="J15" s="835"/>
      <c r="K15" s="835">
        <f>-SUM(E15:J15)</f>
        <v>-3964.96</v>
      </c>
      <c r="L15" s="218"/>
      <c r="M15" s="75">
        <f t="shared" si="0"/>
        <v>8</v>
      </c>
      <c r="N15" s="973">
        <v>2545.6600000000003</v>
      </c>
      <c r="O15" s="973">
        <v>66.430000000000007</v>
      </c>
      <c r="P15" s="1331">
        <f>N15+O15</f>
        <v>2612.09</v>
      </c>
      <c r="R15" s="973">
        <v>768.19</v>
      </c>
      <c r="S15" s="973">
        <v>584.68000000000006</v>
      </c>
      <c r="T15" s="1331">
        <f>R15+S15</f>
        <v>1352.8700000000001</v>
      </c>
      <c r="U15" s="1339"/>
      <c r="V15" s="973">
        <v>0</v>
      </c>
      <c r="W15" s="973">
        <v>0</v>
      </c>
      <c r="X15" s="1331">
        <f>V15+W15</f>
        <v>0</v>
      </c>
      <c r="Y15" s="1339"/>
      <c r="Z15" s="973"/>
      <c r="AA15" s="973"/>
      <c r="AB15" s="1331">
        <f>Z15+AA15</f>
        <v>0</v>
      </c>
      <c r="AD15" s="973"/>
      <c r="AE15" s="973"/>
      <c r="AF15" s="1331">
        <f>AD15+AE15</f>
        <v>0</v>
      </c>
    </row>
    <row r="16" spans="1:32">
      <c r="A16" s="337">
        <f t="shared" si="1"/>
        <v>6</v>
      </c>
      <c r="B16" s="40"/>
      <c r="C16" s="338"/>
      <c r="D16" s="640"/>
      <c r="E16" s="690"/>
      <c r="F16" s="690"/>
      <c r="G16" s="690"/>
      <c r="H16" s="690"/>
      <c r="I16" s="690"/>
      <c r="J16" s="690"/>
      <c r="K16" s="1597"/>
      <c r="L16" s="218"/>
      <c r="M16" s="75">
        <f t="shared" si="0"/>
        <v>9</v>
      </c>
      <c r="N16" s="75"/>
      <c r="O16" s="75"/>
      <c r="P16" s="75"/>
      <c r="R16" s="75"/>
      <c r="S16" s="75"/>
      <c r="T16" s="75"/>
      <c r="V16" s="75"/>
      <c r="W16" s="75"/>
      <c r="X16" s="75"/>
      <c r="Z16" s="75"/>
      <c r="AA16" s="75"/>
      <c r="AB16" s="75"/>
      <c r="AD16" s="75"/>
      <c r="AE16" s="75"/>
      <c r="AF16" s="75"/>
    </row>
    <row r="17" spans="1:32">
      <c r="A17" s="337">
        <f t="shared" si="1"/>
        <v>7</v>
      </c>
      <c r="B17" s="40" t="s">
        <v>1221</v>
      </c>
      <c r="C17" s="98" t="s">
        <v>1088</v>
      </c>
      <c r="D17" s="640"/>
      <c r="E17" s="835">
        <f>HLOOKUP(Attach,$N$8:$P$43,$M17,FALSE)</f>
        <v>1415.04</v>
      </c>
      <c r="F17" s="835">
        <f>HLOOKUP(Attach,$R$8:$T$43,$M17,FALSE)</f>
        <v>171.06</v>
      </c>
      <c r="G17" s="835">
        <f>HLOOKUP(Attach,$V$8:$X$43,$M17,FALSE)</f>
        <v>0</v>
      </c>
      <c r="H17" s="835">
        <f>HLOOKUP(Attach,$Z$8:$AB$43,$M17,FALSE)</f>
        <v>0</v>
      </c>
      <c r="I17" s="835">
        <f>HLOOKUP(Attach,$AD$8:$AF$43,$M17,FALSE)</f>
        <v>500</v>
      </c>
      <c r="J17" s="835"/>
      <c r="K17" s="835">
        <f>-SUM(E17:J17)</f>
        <v>-2086.1</v>
      </c>
      <c r="L17" s="218"/>
      <c r="M17" s="75">
        <f t="shared" si="0"/>
        <v>10</v>
      </c>
      <c r="N17" s="973">
        <v>847.37999999999988</v>
      </c>
      <c r="O17" s="973">
        <v>567.66</v>
      </c>
      <c r="P17" s="1331">
        <f>N17+O17</f>
        <v>1415.04</v>
      </c>
      <c r="Q17" s="1339"/>
      <c r="R17" s="973">
        <v>97.13</v>
      </c>
      <c r="S17" s="973">
        <v>73.930000000000007</v>
      </c>
      <c r="T17" s="1331">
        <f>R17+S17</f>
        <v>171.06</v>
      </c>
      <c r="U17" s="1339"/>
      <c r="V17" s="973">
        <v>0</v>
      </c>
      <c r="W17" s="973">
        <v>0</v>
      </c>
      <c r="X17" s="1331">
        <f>V17+W17</f>
        <v>0</v>
      </c>
      <c r="Y17" s="1339"/>
      <c r="Z17" s="973">
        <v>0</v>
      </c>
      <c r="AA17" s="973">
        <v>0</v>
      </c>
      <c r="AB17" s="1331">
        <f>Z17+AA17</f>
        <v>0</v>
      </c>
      <c r="AC17" s="1339"/>
      <c r="AD17" s="973">
        <v>0</v>
      </c>
      <c r="AE17" s="973">
        <v>500</v>
      </c>
      <c r="AF17" s="1331">
        <f>AD17+AE17</f>
        <v>500</v>
      </c>
    </row>
    <row r="18" spans="1:32">
      <c r="A18" s="337">
        <f t="shared" si="1"/>
        <v>8</v>
      </c>
      <c r="B18" s="40"/>
      <c r="C18" s="98"/>
      <c r="D18" s="640"/>
      <c r="E18" s="835"/>
      <c r="F18" s="835"/>
      <c r="G18" s="835"/>
      <c r="H18" s="835"/>
      <c r="I18" s="835"/>
      <c r="J18" s="835"/>
      <c r="K18" s="835"/>
      <c r="L18" s="690"/>
      <c r="M18" s="82">
        <f t="shared" si="0"/>
        <v>11</v>
      </c>
      <c r="N18" s="642"/>
      <c r="O18" s="642"/>
      <c r="P18" s="642"/>
      <c r="Q18" s="1339"/>
      <c r="R18" s="642"/>
      <c r="S18" s="642"/>
      <c r="T18" s="642"/>
      <c r="U18" s="1339"/>
      <c r="V18" s="642"/>
      <c r="W18" s="642"/>
      <c r="X18" s="642"/>
      <c r="Y18" s="1339"/>
      <c r="Z18" s="642"/>
      <c r="AA18" s="642"/>
      <c r="AB18" s="642"/>
      <c r="AC18" s="1339"/>
      <c r="AD18" s="642"/>
      <c r="AE18" s="642"/>
      <c r="AF18" s="642"/>
    </row>
    <row r="19" spans="1:32">
      <c r="A19" s="337">
        <f t="shared" si="1"/>
        <v>9</v>
      </c>
      <c r="B19" s="40" t="s">
        <v>1261</v>
      </c>
      <c r="C19" s="98" t="s">
        <v>429</v>
      </c>
      <c r="D19" s="640"/>
      <c r="E19" s="835">
        <f>IF($E$51="Y",47+(HLOOKUP(Attach,$N$8:$P$43,$M19,FALSE)),HLOOKUP(Attach,$N$8:$P$43,$M19,FALSE))</f>
        <v>47</v>
      </c>
      <c r="F19" s="835">
        <f>HLOOKUP(Attach,$R$8:$T$43,$M19,FALSE)</f>
        <v>0</v>
      </c>
      <c r="G19" s="835">
        <f>HLOOKUP(Attach,$V$8:$X$43,$M19,FALSE)</f>
        <v>0</v>
      </c>
      <c r="H19" s="835">
        <f>HLOOKUP(Attach,$Z$8:$AB$43,$M19,FALSE)</f>
        <v>0</v>
      </c>
      <c r="I19" s="835">
        <f>HLOOKUP(Attach,$AD$8:$AF$43,$M19,FALSE)</f>
        <v>0</v>
      </c>
      <c r="J19" s="835"/>
      <c r="K19" s="835">
        <f>-SUM(E19:J19)</f>
        <v>-47</v>
      </c>
      <c r="L19" s="218"/>
      <c r="M19" s="75">
        <f t="shared" si="0"/>
        <v>12</v>
      </c>
      <c r="N19" s="973"/>
      <c r="O19" s="973"/>
      <c r="P19" s="1331">
        <f>N19+O19</f>
        <v>0</v>
      </c>
      <c r="Q19" s="1339"/>
      <c r="R19" s="973"/>
      <c r="S19" s="973"/>
      <c r="T19" s="1331">
        <f>R19+S19</f>
        <v>0</v>
      </c>
      <c r="U19" s="1339"/>
      <c r="V19" s="973">
        <v>0</v>
      </c>
      <c r="W19" s="973">
        <v>0</v>
      </c>
      <c r="X19" s="1331">
        <f>V19+W19</f>
        <v>0</v>
      </c>
      <c r="Y19" s="1339"/>
      <c r="Z19" s="973"/>
      <c r="AA19" s="973"/>
      <c r="AB19" s="1331">
        <f>Z19+AA19</f>
        <v>0</v>
      </c>
      <c r="AC19" s="1339"/>
      <c r="AD19" s="973"/>
      <c r="AE19" s="973"/>
      <c r="AF19" s="1331">
        <f>AD19+AE19</f>
        <v>0</v>
      </c>
    </row>
    <row r="20" spans="1:32">
      <c r="A20" s="337">
        <f t="shared" si="1"/>
        <v>10</v>
      </c>
      <c r="B20" s="40"/>
      <c r="C20" s="338"/>
      <c r="D20" s="640"/>
      <c r="E20" s="690"/>
      <c r="F20" s="690"/>
      <c r="G20" s="690"/>
      <c r="H20" s="690"/>
      <c r="I20" s="690"/>
      <c r="J20" s="690"/>
      <c r="K20" s="1597"/>
      <c r="L20" s="218"/>
      <c r="M20" s="75">
        <f t="shared" si="0"/>
        <v>13</v>
      </c>
      <c r="N20" s="1175"/>
      <c r="O20" s="1175"/>
      <c r="P20" s="1175"/>
      <c r="Q20" s="1339"/>
      <c r="R20" s="1175"/>
      <c r="S20" s="1175"/>
      <c r="T20" s="1175"/>
      <c r="U20" s="1339"/>
      <c r="V20" s="1175"/>
      <c r="W20" s="1175"/>
      <c r="X20" s="1175"/>
      <c r="Y20" s="1339"/>
      <c r="Z20" s="1175"/>
      <c r="AA20" s="1175"/>
      <c r="AB20" s="1175"/>
      <c r="AC20" s="1339"/>
      <c r="AD20" s="1175"/>
      <c r="AE20" s="1175"/>
      <c r="AF20" s="1175"/>
    </row>
    <row r="21" spans="1:32">
      <c r="A21" s="337">
        <f t="shared" ref="A21:A25" si="2">A20+1</f>
        <v>11</v>
      </c>
      <c r="B21" s="40" t="s">
        <v>1256</v>
      </c>
      <c r="C21" s="98" t="s">
        <v>930</v>
      </c>
      <c r="D21" s="640"/>
      <c r="E21" s="835">
        <f>IF($E$51="Y",(33996+HLOOKUP(Attach,$N$8:$P$43,$M21,FALSE)),HLOOKUP(Attach,$N$8:$P$43,$M21,FALSE))</f>
        <v>33996</v>
      </c>
      <c r="F21" s="835">
        <f>HLOOKUP(Attach,$R$8:$T$43,$M21,FALSE)</f>
        <v>0</v>
      </c>
      <c r="G21" s="835">
        <f>HLOOKUP(Attach,$V$8:$X$43,$M21,FALSE)</f>
        <v>0</v>
      </c>
      <c r="H21" s="835">
        <f>HLOOKUP(Attach,$Z$8:$AB$43,$M21,FALSE)</f>
        <v>0</v>
      </c>
      <c r="I21" s="835">
        <f>HLOOKUP(Attach,$AD$8:$AF$43,$M21,FALSE)</f>
        <v>0</v>
      </c>
      <c r="J21" s="835"/>
      <c r="K21" s="835">
        <f>-SUM(E21:J21)</f>
        <v>-33996</v>
      </c>
      <c r="L21" s="218"/>
      <c r="M21" s="75">
        <f t="shared" si="0"/>
        <v>14</v>
      </c>
      <c r="N21" s="973"/>
      <c r="O21" s="973"/>
      <c r="P21" s="1331">
        <f>N21+O21</f>
        <v>0</v>
      </c>
      <c r="Q21" s="1339"/>
      <c r="R21" s="973"/>
      <c r="S21" s="973"/>
      <c r="T21" s="1331">
        <f>R21+S21</f>
        <v>0</v>
      </c>
      <c r="U21" s="1339"/>
      <c r="V21" s="973">
        <v>0</v>
      </c>
      <c r="W21" s="973">
        <v>0</v>
      </c>
      <c r="X21" s="1331">
        <f>V21+W21</f>
        <v>0</v>
      </c>
      <c r="Y21" s="1339"/>
      <c r="Z21" s="973"/>
      <c r="AA21" s="973"/>
      <c r="AB21" s="1331">
        <f>Z21+AA21</f>
        <v>0</v>
      </c>
      <c r="AC21" s="1339"/>
      <c r="AD21" s="973"/>
      <c r="AE21" s="973"/>
      <c r="AF21" s="1331">
        <f>AD21+AE21</f>
        <v>0</v>
      </c>
    </row>
    <row r="22" spans="1:32">
      <c r="A22" s="337">
        <f t="shared" si="2"/>
        <v>12</v>
      </c>
      <c r="B22" s="40"/>
      <c r="C22" s="98"/>
      <c r="D22" s="640"/>
      <c r="E22" s="835"/>
      <c r="F22" s="835"/>
      <c r="G22" s="835"/>
      <c r="H22" s="835"/>
      <c r="I22" s="835"/>
      <c r="J22" s="835"/>
      <c r="K22" s="835"/>
      <c r="L22" s="690"/>
      <c r="M22" s="75">
        <f t="shared" si="0"/>
        <v>15</v>
      </c>
      <c r="N22" s="642"/>
      <c r="O22" s="642"/>
      <c r="P22" s="642"/>
      <c r="Q22" s="1339"/>
      <c r="R22" s="642"/>
      <c r="S22" s="642"/>
      <c r="T22" s="642"/>
      <c r="U22" s="1339"/>
      <c r="V22" s="642"/>
      <c r="W22" s="642"/>
      <c r="X22" s="642"/>
      <c r="Y22" s="1339"/>
      <c r="Z22" s="642"/>
      <c r="AA22" s="642"/>
      <c r="AB22" s="642"/>
      <c r="AC22" s="1339"/>
      <c r="AD22" s="642"/>
      <c r="AE22" s="642"/>
      <c r="AF22" s="642"/>
    </row>
    <row r="23" spans="1:32">
      <c r="A23" s="337">
        <f t="shared" si="2"/>
        <v>13</v>
      </c>
      <c r="B23" s="40" t="s">
        <v>1260</v>
      </c>
      <c r="C23" s="98" t="s">
        <v>932</v>
      </c>
      <c r="D23" s="640"/>
      <c r="E23" s="835">
        <f>HLOOKUP(Attach,$N$8:$P$43,$M23,FALSE)</f>
        <v>0</v>
      </c>
      <c r="F23" s="835">
        <f>HLOOKUP(Attach,$R$8:$T$43,$M23,FALSE)</f>
        <v>409.04999999999995</v>
      </c>
      <c r="G23" s="835">
        <f>HLOOKUP(Attach,$V$8:$X$43,$M23,FALSE)</f>
        <v>0</v>
      </c>
      <c r="H23" s="835">
        <f>HLOOKUP(Attach,$Z$8:$AB$43,$M23,FALSE)</f>
        <v>0</v>
      </c>
      <c r="I23" s="835">
        <f>HLOOKUP(Attach,$AD$8:$AF$43,$M23,FALSE)</f>
        <v>0</v>
      </c>
      <c r="J23" s="835"/>
      <c r="K23" s="835">
        <f>-SUM(E23:J23)</f>
        <v>-409.04999999999995</v>
      </c>
      <c r="L23" s="218"/>
      <c r="M23" s="75">
        <f t="shared" si="0"/>
        <v>16</v>
      </c>
      <c r="N23" s="973"/>
      <c r="O23" s="973"/>
      <c r="P23" s="1331">
        <f>N23+O23</f>
        <v>0</v>
      </c>
      <c r="Q23" s="1339"/>
      <c r="R23" s="973">
        <v>232.2</v>
      </c>
      <c r="S23" s="973">
        <v>176.85</v>
      </c>
      <c r="T23" s="1331">
        <f>R23+S23</f>
        <v>409.04999999999995</v>
      </c>
      <c r="U23" s="1339"/>
      <c r="V23" s="973">
        <v>0</v>
      </c>
      <c r="W23" s="973">
        <v>0</v>
      </c>
      <c r="X23" s="1331">
        <f>V23+W23</f>
        <v>0</v>
      </c>
      <c r="Y23" s="1339"/>
      <c r="Z23" s="973"/>
      <c r="AA23" s="973"/>
      <c r="AB23" s="1331">
        <f>Z23+AA23</f>
        <v>0</v>
      </c>
      <c r="AC23" s="1339"/>
      <c r="AD23" s="973"/>
      <c r="AE23" s="973"/>
      <c r="AF23" s="1331">
        <f>AD23+AE23</f>
        <v>0</v>
      </c>
    </row>
    <row r="24" spans="1:32">
      <c r="A24" s="337">
        <f t="shared" si="2"/>
        <v>14</v>
      </c>
      <c r="B24" s="40"/>
      <c r="C24" s="338"/>
      <c r="D24" s="640"/>
      <c r="E24" s="690"/>
      <c r="F24" s="690"/>
      <c r="G24" s="690"/>
      <c r="H24" s="690"/>
      <c r="I24" s="690"/>
      <c r="J24" s="690"/>
      <c r="K24" s="1597"/>
      <c r="L24" s="218"/>
      <c r="M24" s="75">
        <f t="shared" si="0"/>
        <v>17</v>
      </c>
      <c r="N24" s="1175"/>
      <c r="O24" s="1175"/>
      <c r="P24" s="1175"/>
      <c r="Q24" s="1339"/>
      <c r="R24" s="1175"/>
      <c r="S24" s="1175"/>
      <c r="T24" s="1175"/>
      <c r="U24" s="1339"/>
      <c r="V24" s="1175"/>
      <c r="W24" s="1175"/>
      <c r="X24" s="1175"/>
      <c r="Y24" s="1339"/>
      <c r="Z24" s="1175"/>
      <c r="AA24" s="1175"/>
      <c r="AB24" s="1175"/>
      <c r="AC24" s="1339"/>
      <c r="AD24" s="1175"/>
      <c r="AE24" s="1175"/>
      <c r="AF24" s="1175"/>
    </row>
    <row r="25" spans="1:32">
      <c r="A25" s="337">
        <f t="shared" si="2"/>
        <v>15</v>
      </c>
      <c r="B25" s="40">
        <v>909</v>
      </c>
      <c r="C25" s="41" t="s">
        <v>462</v>
      </c>
      <c r="D25" s="41"/>
      <c r="E25" s="835">
        <f>HLOOKUP(Attach,$N$8:$P$43,$M25,FALSE)</f>
        <v>17192.93</v>
      </c>
      <c r="F25" s="835">
        <f>HLOOKUP(Attach,$R$8:$T$43,$M25,FALSE)</f>
        <v>0</v>
      </c>
      <c r="G25" s="835">
        <f>HLOOKUP(Attach,$V$8:$X$43,$M25,FALSE)</f>
        <v>0</v>
      </c>
      <c r="H25" s="835">
        <f>HLOOKUP(Attach,$Z$8:$AB$43,$M25,FALSE)</f>
        <v>0</v>
      </c>
      <c r="I25" s="835">
        <f>HLOOKUP(Attach,$AD$8:$AF$43,$M25,FALSE)</f>
        <v>0</v>
      </c>
      <c r="J25" s="835"/>
      <c r="K25" s="835">
        <f>-SUM(E25:J25)</f>
        <v>-17192.93</v>
      </c>
      <c r="L25" s="41"/>
      <c r="M25" s="75">
        <f t="shared" si="0"/>
        <v>18</v>
      </c>
      <c r="N25" s="973">
        <v>14424.769999999999</v>
      </c>
      <c r="O25" s="973">
        <v>2768.1600000000003</v>
      </c>
      <c r="P25" s="1331">
        <f>N25+O25</f>
        <v>17192.93</v>
      </c>
      <c r="Q25" s="1339"/>
      <c r="R25" s="973">
        <v>0</v>
      </c>
      <c r="S25" s="973">
        <v>0</v>
      </c>
      <c r="T25" s="1331">
        <f>R25+S25</f>
        <v>0</v>
      </c>
      <c r="U25" s="1339"/>
      <c r="V25" s="973">
        <v>0</v>
      </c>
      <c r="W25" s="973">
        <v>0</v>
      </c>
      <c r="X25" s="1331">
        <f>V25+W25</f>
        <v>0</v>
      </c>
      <c r="Y25" s="1339"/>
      <c r="Z25" s="973">
        <v>0</v>
      </c>
      <c r="AA25" s="973">
        <v>0</v>
      </c>
      <c r="AB25" s="1331">
        <f>Z25+AA25</f>
        <v>0</v>
      </c>
      <c r="AC25" s="1339"/>
      <c r="AD25" s="973">
        <v>0</v>
      </c>
      <c r="AE25" s="973">
        <v>0</v>
      </c>
      <c r="AF25" s="1331">
        <f>AD25+AE25</f>
        <v>0</v>
      </c>
    </row>
    <row r="26" spans="1:32">
      <c r="A26" s="40">
        <f t="shared" ref="A26:A44" si="3">A25+1</f>
        <v>16</v>
      </c>
      <c r="B26" s="40"/>
      <c r="C26" s="41"/>
      <c r="D26" s="41"/>
      <c r="E26" s="835"/>
      <c r="F26" s="835"/>
      <c r="G26" s="835"/>
      <c r="H26" s="835"/>
      <c r="I26" s="835"/>
      <c r="J26" s="835"/>
      <c r="K26" s="835"/>
      <c r="L26" s="41"/>
      <c r="M26" s="75">
        <f t="shared" si="0"/>
        <v>19</v>
      </c>
      <c r="N26" s="1175"/>
      <c r="O26" s="1175"/>
      <c r="P26" s="1175"/>
      <c r="Q26" s="1339"/>
      <c r="R26" s="1175"/>
      <c r="S26" s="1175"/>
      <c r="T26" s="1175"/>
      <c r="U26" s="1339"/>
      <c r="V26" s="1175"/>
      <c r="W26" s="1175"/>
      <c r="X26" s="1175"/>
      <c r="Y26" s="1339"/>
      <c r="Z26" s="1175"/>
      <c r="AA26" s="1175"/>
      <c r="AB26" s="1175"/>
      <c r="AC26" s="1339"/>
      <c r="AD26" s="1175"/>
      <c r="AE26" s="1175"/>
      <c r="AF26" s="1175"/>
    </row>
    <row r="27" spans="1:32">
      <c r="A27" s="40">
        <f t="shared" si="3"/>
        <v>17</v>
      </c>
      <c r="B27" s="40">
        <v>910</v>
      </c>
      <c r="C27" s="41" t="s">
        <v>174</v>
      </c>
      <c r="D27" s="41"/>
      <c r="E27" s="835">
        <f>HLOOKUP(Attach,$N$8:$P$43,$M27,FALSE)</f>
        <v>16.23</v>
      </c>
      <c r="F27" s="835">
        <f>HLOOKUP(Attach,$R$8:$T$43,$M27,FALSE)</f>
        <v>0</v>
      </c>
      <c r="G27" s="835">
        <f>HLOOKUP(Attach,$V$8:$X$43,$M27,FALSE)</f>
        <v>0</v>
      </c>
      <c r="H27" s="835">
        <f>HLOOKUP(Attach,$Z$8:$AB$43,$M27,FALSE)</f>
        <v>0</v>
      </c>
      <c r="I27" s="835">
        <f>HLOOKUP(Attach,$AD$8:$AF$43,$M27,FALSE)</f>
        <v>0</v>
      </c>
      <c r="J27" s="835"/>
      <c r="K27" s="835">
        <f>-SUM(E27:J27)</f>
        <v>-16.23</v>
      </c>
      <c r="L27" s="41"/>
      <c r="M27" s="75">
        <f t="shared" si="0"/>
        <v>20</v>
      </c>
      <c r="N27" s="973">
        <v>9.2100000000000009</v>
      </c>
      <c r="O27" s="973">
        <v>7.02</v>
      </c>
      <c r="P27" s="1331">
        <f>N27+O27</f>
        <v>16.23</v>
      </c>
      <c r="Q27" s="1339"/>
      <c r="R27" s="973">
        <v>0</v>
      </c>
      <c r="S27" s="973">
        <v>0</v>
      </c>
      <c r="T27" s="1331">
        <f>R27+S27</f>
        <v>0</v>
      </c>
      <c r="U27" s="1339"/>
      <c r="V27" s="973">
        <v>0</v>
      </c>
      <c r="W27" s="973">
        <v>0</v>
      </c>
      <c r="X27" s="1331">
        <f>V27+W27</f>
        <v>0</v>
      </c>
      <c r="Y27" s="1339"/>
      <c r="Z27" s="973">
        <v>0</v>
      </c>
      <c r="AA27" s="973">
        <v>0</v>
      </c>
      <c r="AB27" s="1331">
        <f>Z27+AA27</f>
        <v>0</v>
      </c>
      <c r="AC27" s="1339"/>
      <c r="AD27" s="973">
        <v>0</v>
      </c>
      <c r="AE27" s="973">
        <v>0</v>
      </c>
      <c r="AF27" s="1331">
        <f>AD27+AE27</f>
        <v>0</v>
      </c>
    </row>
    <row r="28" spans="1:32">
      <c r="A28" s="40">
        <f t="shared" si="3"/>
        <v>18</v>
      </c>
      <c r="B28" s="40"/>
      <c r="C28" s="41"/>
      <c r="D28" s="41"/>
      <c r="E28" s="835"/>
      <c r="F28" s="835"/>
      <c r="G28" s="835"/>
      <c r="H28" s="835"/>
      <c r="I28" s="835"/>
      <c r="J28" s="835"/>
      <c r="K28" s="835"/>
      <c r="L28" s="41"/>
      <c r="M28" s="75">
        <f t="shared" si="0"/>
        <v>21</v>
      </c>
      <c r="N28" s="1175"/>
      <c r="O28" s="1175"/>
      <c r="P28" s="1175"/>
      <c r="Q28" s="1339"/>
      <c r="R28" s="1175"/>
      <c r="S28" s="1175"/>
      <c r="T28" s="1175"/>
      <c r="U28" s="1339"/>
      <c r="V28" s="1175"/>
      <c r="W28" s="1175"/>
      <c r="X28" s="1175"/>
      <c r="Y28" s="1339"/>
      <c r="Z28" s="1175"/>
      <c r="AA28" s="1175"/>
      <c r="AB28" s="1175"/>
      <c r="AC28" s="1339"/>
      <c r="AD28" s="1175"/>
      <c r="AE28" s="1175"/>
      <c r="AF28" s="1175"/>
    </row>
    <row r="29" spans="1:32">
      <c r="A29" s="40">
        <f t="shared" si="3"/>
        <v>19</v>
      </c>
      <c r="B29" s="40">
        <v>912</v>
      </c>
      <c r="C29" s="41" t="s">
        <v>493</v>
      </c>
      <c r="D29" s="41"/>
      <c r="E29" s="835">
        <f>HLOOKUP(Attach,$N$8:$P$43,$M29,FALSE)</f>
        <v>4912.7199999999993</v>
      </c>
      <c r="F29" s="835">
        <f>HLOOKUP(Attach,$R$8:$T$43,$M29,FALSE)</f>
        <v>2402.3799999999997</v>
      </c>
      <c r="G29" s="835">
        <f>HLOOKUP(Attach,$V$8:$X$43,$M29,FALSE)</f>
        <v>1223</v>
      </c>
      <c r="H29" s="835">
        <f>HLOOKUP(Attach,$Z$8:$AB$43,$M29,FALSE)</f>
        <v>0</v>
      </c>
      <c r="I29" s="835">
        <f>HLOOKUP(Attach,$AD$8:$AF$43,$M29,FALSE)</f>
        <v>0</v>
      </c>
      <c r="J29" s="835"/>
      <c r="K29" s="835">
        <f>-SUM(E29:J29)</f>
        <v>-8538.0999999999985</v>
      </c>
      <c r="L29" s="41"/>
      <c r="M29" s="75">
        <f t="shared" ref="M29:M43" si="4">M28+1</f>
        <v>22</v>
      </c>
      <c r="N29" s="973">
        <v>4546.24</v>
      </c>
      <c r="O29" s="973">
        <v>366.47999999999996</v>
      </c>
      <c r="P29" s="1331">
        <f>N29+O29</f>
        <v>4912.7199999999993</v>
      </c>
      <c r="Q29" s="1339"/>
      <c r="R29" s="973">
        <v>1968.1999999999998</v>
      </c>
      <c r="S29" s="973">
        <v>434.18</v>
      </c>
      <c r="T29" s="1331">
        <f>R29+S29</f>
        <v>2402.3799999999997</v>
      </c>
      <c r="U29" s="1339"/>
      <c r="V29" s="973">
        <v>1223</v>
      </c>
      <c r="W29" s="973">
        <v>0</v>
      </c>
      <c r="X29" s="1331">
        <f>V29+W29</f>
        <v>1223</v>
      </c>
      <c r="Y29" s="1339"/>
      <c r="Z29" s="973">
        <v>0</v>
      </c>
      <c r="AA29" s="973">
        <v>0</v>
      </c>
      <c r="AB29" s="1331">
        <f>Z29+AA29</f>
        <v>0</v>
      </c>
      <c r="AC29" s="1339"/>
      <c r="AD29" s="973">
        <v>0</v>
      </c>
      <c r="AE29" s="973">
        <v>0</v>
      </c>
      <c r="AF29" s="1331">
        <f>AD29+AE29</f>
        <v>0</v>
      </c>
    </row>
    <row r="30" spans="1:32">
      <c r="A30" s="40">
        <f t="shared" si="3"/>
        <v>20</v>
      </c>
      <c r="B30" s="40"/>
      <c r="C30" s="41"/>
      <c r="D30" s="41"/>
      <c r="E30" s="835"/>
      <c r="F30" s="835"/>
      <c r="G30" s="835"/>
      <c r="H30" s="835"/>
      <c r="I30" s="835"/>
      <c r="J30" s="835"/>
      <c r="K30" s="835"/>
      <c r="L30" s="41"/>
      <c r="M30" s="75">
        <f t="shared" si="4"/>
        <v>23</v>
      </c>
      <c r="N30" s="1175"/>
      <c r="O30" s="1175"/>
      <c r="P30" s="1175"/>
      <c r="Q30" s="1339"/>
      <c r="R30" s="1175"/>
      <c r="S30" s="1175"/>
      <c r="T30" s="1175"/>
      <c r="U30" s="1339"/>
      <c r="V30" s="1175"/>
      <c r="W30" s="1175"/>
      <c r="X30" s="1175"/>
      <c r="Y30" s="1339"/>
      <c r="Z30" s="1175"/>
      <c r="AA30" s="1175"/>
      <c r="AB30" s="1175"/>
      <c r="AC30" s="1339"/>
      <c r="AD30" s="1175"/>
      <c r="AE30" s="1175"/>
      <c r="AF30" s="1175"/>
    </row>
    <row r="31" spans="1:32">
      <c r="A31" s="40">
        <f t="shared" si="3"/>
        <v>21</v>
      </c>
      <c r="B31" s="40">
        <v>913</v>
      </c>
      <c r="C31" s="41" t="s">
        <v>494</v>
      </c>
      <c r="D31" s="41"/>
      <c r="E31" s="835">
        <f>HLOOKUP(Attach,$N$8:$P$43,$M31,FALSE)</f>
        <v>89482.660000000018</v>
      </c>
      <c r="F31" s="835">
        <f>HLOOKUP(Attach,$R$8:$T$43,$M31,FALSE)</f>
        <v>0</v>
      </c>
      <c r="G31" s="835">
        <f>HLOOKUP(Attach,$V$8:$X$43,$M31,FALSE)</f>
        <v>0</v>
      </c>
      <c r="H31" s="835">
        <f>HLOOKUP(Attach,$Z$8:$AB$43,$M31,FALSE)</f>
        <v>114751.92</v>
      </c>
      <c r="I31" s="835">
        <f>HLOOKUP(Attach,$AD$8:$AF$43,$M31,FALSE)</f>
        <v>2740.92</v>
      </c>
      <c r="J31" s="835"/>
      <c r="K31" s="835">
        <f>-SUM(E31:J31)</f>
        <v>-206975.50000000003</v>
      </c>
      <c r="L31" s="41"/>
      <c r="M31" s="75">
        <f t="shared" si="4"/>
        <v>24</v>
      </c>
      <c r="N31" s="973">
        <v>56907.310000000019</v>
      </c>
      <c r="O31" s="973">
        <v>32575.35</v>
      </c>
      <c r="P31" s="1331">
        <f>N31+O31</f>
        <v>89482.660000000018</v>
      </c>
      <c r="Q31" s="1339"/>
      <c r="R31" s="973">
        <v>0</v>
      </c>
      <c r="S31" s="973">
        <v>0</v>
      </c>
      <c r="T31" s="1331">
        <f>R31+S31</f>
        <v>0</v>
      </c>
      <c r="U31" s="1339"/>
      <c r="V31" s="973">
        <v>0</v>
      </c>
      <c r="W31" s="973">
        <v>0</v>
      </c>
      <c r="X31" s="1331">
        <f>V31+W31</f>
        <v>0</v>
      </c>
      <c r="Y31" s="1339"/>
      <c r="Z31" s="973">
        <v>43214.180000000008</v>
      </c>
      <c r="AA31" s="973">
        <v>71537.739999999991</v>
      </c>
      <c r="AB31" s="1331">
        <f>Z31+AA31</f>
        <v>114751.92</v>
      </c>
      <c r="AC31" s="1339"/>
      <c r="AD31" s="973">
        <v>892</v>
      </c>
      <c r="AE31" s="973">
        <v>1848.92</v>
      </c>
      <c r="AF31" s="1331">
        <f>AD31+AE31</f>
        <v>2740.92</v>
      </c>
    </row>
    <row r="32" spans="1:32">
      <c r="A32" s="40">
        <f t="shared" si="3"/>
        <v>22</v>
      </c>
      <c r="B32" s="40"/>
      <c r="C32" s="41"/>
      <c r="D32" s="41"/>
      <c r="E32" s="835"/>
      <c r="F32" s="835"/>
      <c r="G32" s="835"/>
      <c r="H32" s="835"/>
      <c r="I32" s="835"/>
      <c r="J32" s="835"/>
      <c r="K32" s="835"/>
      <c r="L32" s="41"/>
      <c r="M32" s="75">
        <f t="shared" si="4"/>
        <v>25</v>
      </c>
      <c r="N32" s="1175"/>
      <c r="O32" s="1175"/>
      <c r="P32" s="1175"/>
      <c r="Q32" s="1339"/>
      <c r="R32" s="1175"/>
      <c r="S32" s="1175"/>
      <c r="T32" s="1175"/>
      <c r="U32" s="1339"/>
      <c r="V32" s="1175"/>
      <c r="W32" s="1175"/>
      <c r="X32" s="1175"/>
      <c r="Y32" s="1339"/>
      <c r="Z32" s="1175"/>
      <c r="AA32" s="1175"/>
      <c r="AB32" s="1175"/>
      <c r="AC32" s="1339"/>
      <c r="AD32" s="1175"/>
      <c r="AE32" s="1175"/>
      <c r="AF32" s="1175"/>
    </row>
    <row r="33" spans="1:32">
      <c r="A33" s="40">
        <f t="shared" si="3"/>
        <v>23</v>
      </c>
      <c r="B33" s="40">
        <v>916</v>
      </c>
      <c r="C33" s="41" t="s">
        <v>463</v>
      </c>
      <c r="D33" s="41"/>
      <c r="E33" s="835">
        <f>HLOOKUP(Attach,$N$8:$P$43,$M33,FALSE)</f>
        <v>0</v>
      </c>
      <c r="F33" s="835">
        <f>HLOOKUP(Attach,$R$8:$T$43,$M33,FALSE)</f>
        <v>0</v>
      </c>
      <c r="G33" s="835">
        <f>HLOOKUP(Attach,$V$8:$X$43,$M33,FALSE)</f>
        <v>0</v>
      </c>
      <c r="H33" s="835">
        <f>HLOOKUP(Attach,$Z$8:$AB$43,$M33,FALSE)</f>
        <v>0</v>
      </c>
      <c r="I33" s="835">
        <f>HLOOKUP(Attach,$AD$8:$AF$43,$M33,FALSE)</f>
        <v>0</v>
      </c>
      <c r="J33" s="835"/>
      <c r="K33" s="835">
        <f>-SUM(E33:J33)</f>
        <v>0</v>
      </c>
      <c r="L33" s="41"/>
      <c r="M33" s="75">
        <f t="shared" si="4"/>
        <v>26</v>
      </c>
      <c r="N33" s="973">
        <v>0</v>
      </c>
      <c r="O33" s="973">
        <v>0</v>
      </c>
      <c r="P33" s="1331">
        <f>N33+O33</f>
        <v>0</v>
      </c>
      <c r="Q33" s="1339"/>
      <c r="R33" s="973">
        <v>0</v>
      </c>
      <c r="S33" s="973">
        <v>0</v>
      </c>
      <c r="T33" s="1331">
        <f>R33+S33</f>
        <v>0</v>
      </c>
      <c r="U33" s="1339"/>
      <c r="V33" s="973">
        <v>0</v>
      </c>
      <c r="W33" s="973">
        <v>0</v>
      </c>
      <c r="X33" s="1331">
        <f>V33+W33</f>
        <v>0</v>
      </c>
      <c r="Y33" s="1339"/>
      <c r="Z33" s="973">
        <v>0</v>
      </c>
      <c r="AA33" s="973">
        <v>0</v>
      </c>
      <c r="AB33" s="1331">
        <f>Z33+AA33</f>
        <v>0</v>
      </c>
      <c r="AC33" s="1339"/>
      <c r="AD33" s="973">
        <v>0</v>
      </c>
      <c r="AE33" s="973">
        <v>0</v>
      </c>
      <c r="AF33" s="1331">
        <f>AD33+AE33</f>
        <v>0</v>
      </c>
    </row>
    <row r="34" spans="1:32">
      <c r="A34" s="40">
        <f t="shared" si="3"/>
        <v>24</v>
      </c>
      <c r="B34" s="40"/>
      <c r="C34" s="41"/>
      <c r="D34" s="41"/>
      <c r="E34" s="835"/>
      <c r="F34" s="835"/>
      <c r="G34" s="835"/>
      <c r="H34" s="835"/>
      <c r="I34" s="835"/>
      <c r="J34" s="835"/>
      <c r="K34" s="835"/>
      <c r="L34" s="41"/>
      <c r="M34" s="75">
        <f t="shared" si="4"/>
        <v>27</v>
      </c>
      <c r="N34" s="1175"/>
      <c r="O34" s="1175"/>
      <c r="P34" s="1175"/>
      <c r="Q34" s="1339"/>
      <c r="R34" s="1175"/>
      <c r="S34" s="1175"/>
      <c r="T34" s="1175"/>
      <c r="U34" s="1339"/>
      <c r="V34" s="1175"/>
      <c r="W34" s="1175"/>
      <c r="X34" s="1175"/>
      <c r="Y34" s="1339"/>
      <c r="Z34" s="1175"/>
      <c r="AA34" s="1175"/>
      <c r="AB34" s="1175"/>
      <c r="AC34" s="1339"/>
      <c r="AD34" s="1175"/>
      <c r="AE34" s="1175"/>
      <c r="AF34" s="1175"/>
    </row>
    <row r="35" spans="1:32">
      <c r="A35" s="40">
        <f t="shared" si="3"/>
        <v>25</v>
      </c>
      <c r="B35" s="40">
        <v>921</v>
      </c>
      <c r="C35" s="41" t="s">
        <v>464</v>
      </c>
      <c r="D35" s="41"/>
      <c r="E35" s="835">
        <f>HLOOKUP(Attach,$N$8:$P$43,$M35,FALSE)</f>
        <v>1450.06</v>
      </c>
      <c r="F35" s="835">
        <f>IF($E$52="Y",(31514+HLOOKUP(Attach,$R$8:$T$43,$M35,FALSE)),HLOOKUP(Attach,$R$8:$T$43,$M35,FALSE))</f>
        <v>135377.87</v>
      </c>
      <c r="G35" s="835">
        <f>HLOOKUP(Attach,$V$8:$X$43,$M35,FALSE)</f>
        <v>0</v>
      </c>
      <c r="H35" s="835">
        <f>HLOOKUP(Attach,$Z$8:$AB$43,$M35,FALSE)</f>
        <v>0</v>
      </c>
      <c r="I35" s="835">
        <f>HLOOKUP(Attach,$AD$8:$AF$43,$M35,FALSE)</f>
        <v>540</v>
      </c>
      <c r="J35" s="835"/>
      <c r="K35" s="835">
        <f>-SUM(E35:J35)</f>
        <v>-137367.93</v>
      </c>
      <c r="L35" s="41"/>
      <c r="M35" s="75">
        <f t="shared" si="4"/>
        <v>28</v>
      </c>
      <c r="N35" s="973">
        <v>428.39000000000004</v>
      </c>
      <c r="O35" s="973">
        <v>1021.67</v>
      </c>
      <c r="P35" s="1331">
        <f>N35+O35</f>
        <v>1450.06</v>
      </c>
      <c r="Q35" s="1339"/>
      <c r="R35" s="973">
        <v>56052.890000000014</v>
      </c>
      <c r="S35" s="973">
        <v>47810.979999999996</v>
      </c>
      <c r="T35" s="1331">
        <f>R35+S35</f>
        <v>103863.87000000001</v>
      </c>
      <c r="U35" s="1339"/>
      <c r="V35" s="973">
        <v>0</v>
      </c>
      <c r="W35" s="973">
        <v>0</v>
      </c>
      <c r="X35" s="1331">
        <f>V35+W35</f>
        <v>0</v>
      </c>
      <c r="Y35" s="1339"/>
      <c r="Z35" s="973">
        <v>0</v>
      </c>
      <c r="AA35" s="973">
        <v>0</v>
      </c>
      <c r="AB35" s="1331">
        <f>Z35+AA35</f>
        <v>0</v>
      </c>
      <c r="AC35" s="1339"/>
      <c r="AD35" s="973">
        <v>540</v>
      </c>
      <c r="AE35" s="973">
        <v>0</v>
      </c>
      <c r="AF35" s="1331">
        <f>AD35+AE35</f>
        <v>540</v>
      </c>
    </row>
    <row r="36" spans="1:32">
      <c r="A36" s="40"/>
      <c r="B36" s="40"/>
      <c r="C36" s="41"/>
      <c r="D36" s="41"/>
      <c r="E36" s="835"/>
      <c r="F36" s="835"/>
      <c r="G36" s="835"/>
      <c r="H36" s="835"/>
      <c r="I36" s="835"/>
      <c r="J36" s="835"/>
      <c r="K36" s="835"/>
      <c r="L36" s="41"/>
      <c r="M36" s="75">
        <f t="shared" si="4"/>
        <v>29</v>
      </c>
      <c r="N36" s="973"/>
      <c r="O36" s="973"/>
      <c r="P36" s="1331"/>
      <c r="Q36" s="1339"/>
      <c r="R36" s="973"/>
      <c r="S36" s="973"/>
      <c r="T36" s="1331"/>
      <c r="U36" s="1339"/>
      <c r="V36" s="973"/>
      <c r="W36" s="973"/>
      <c r="X36" s="1331"/>
      <c r="Y36" s="1339"/>
      <c r="Z36" s="973"/>
      <c r="AA36" s="973"/>
      <c r="AB36" s="1331"/>
      <c r="AC36" s="1339"/>
      <c r="AD36" s="973"/>
      <c r="AE36" s="973"/>
      <c r="AF36" s="1331"/>
    </row>
    <row r="37" spans="1:32">
      <c r="A37" s="40"/>
      <c r="B37" s="40">
        <v>925</v>
      </c>
      <c r="C37" s="98" t="s">
        <v>158</v>
      </c>
      <c r="D37" s="41"/>
      <c r="E37" s="835"/>
      <c r="F37" s="835"/>
      <c r="G37" s="835"/>
      <c r="H37" s="835"/>
      <c r="I37" s="835"/>
      <c r="J37" s="835">
        <f>IF(E53="Y",77390,0)</f>
        <v>77390</v>
      </c>
      <c r="K37" s="835">
        <f>-SUM(E37:J37)</f>
        <v>-77390</v>
      </c>
      <c r="L37" s="41"/>
      <c r="M37" s="75">
        <f t="shared" si="4"/>
        <v>30</v>
      </c>
      <c r="N37" s="973"/>
      <c r="O37" s="973"/>
      <c r="P37" s="1331"/>
      <c r="Q37" s="1339"/>
      <c r="R37" s="973"/>
      <c r="S37" s="973"/>
      <c r="T37" s="1331"/>
      <c r="U37" s="1339"/>
      <c r="V37" s="973"/>
      <c r="W37" s="973"/>
      <c r="X37" s="1331"/>
      <c r="Y37" s="1339"/>
      <c r="Z37" s="973"/>
      <c r="AA37" s="973"/>
      <c r="AB37" s="1331"/>
      <c r="AC37" s="1339"/>
      <c r="AD37" s="973"/>
      <c r="AE37" s="973"/>
      <c r="AF37" s="1331"/>
    </row>
    <row r="38" spans="1:32">
      <c r="A38" s="40">
        <f>A35+1</f>
        <v>26</v>
      </c>
      <c r="B38" s="40"/>
      <c r="C38" s="41"/>
      <c r="D38" s="41"/>
      <c r="E38" s="835"/>
      <c r="F38" s="835"/>
      <c r="G38" s="835"/>
      <c r="H38" s="835"/>
      <c r="I38" s="835"/>
      <c r="J38" s="835"/>
      <c r="K38" s="835"/>
      <c r="L38" s="361"/>
      <c r="M38" s="75">
        <f t="shared" si="4"/>
        <v>31</v>
      </c>
      <c r="N38" s="1175"/>
      <c r="O38" s="1175"/>
      <c r="P38" s="1175"/>
      <c r="Q38" s="1339"/>
      <c r="R38" s="1175"/>
      <c r="S38" s="1175"/>
      <c r="T38" s="1175"/>
      <c r="U38" s="1339"/>
      <c r="V38" s="1175"/>
      <c r="W38" s="1175"/>
      <c r="X38" s="1175"/>
      <c r="Y38" s="1339"/>
      <c r="Z38" s="1175"/>
      <c r="AA38" s="1175"/>
      <c r="AB38" s="1175"/>
      <c r="AC38" s="1339"/>
      <c r="AD38" s="1175"/>
      <c r="AE38" s="1175"/>
      <c r="AF38" s="1175"/>
    </row>
    <row r="39" spans="1:32">
      <c r="A39" s="40">
        <f t="shared" si="3"/>
        <v>27</v>
      </c>
      <c r="B39" s="40">
        <v>928</v>
      </c>
      <c r="C39" s="41" t="str">
        <f>'Stmt H'!D162</f>
        <v>Regulatory Commission Expense</v>
      </c>
      <c r="D39" s="41"/>
      <c r="E39" s="835">
        <f>HLOOKUP(Attach,$N$8:$P$43,$M39,FALSE)</f>
        <v>0</v>
      </c>
      <c r="F39" s="835">
        <f>HLOOKUP(Attach,$R$8:$T$43,$M39,FALSE)</f>
        <v>0</v>
      </c>
      <c r="G39" s="835">
        <f>HLOOKUP(Attach,$V$8:$X$43,$M39,FALSE)</f>
        <v>0</v>
      </c>
      <c r="H39" s="835">
        <f>HLOOKUP(Attach,$Z$8:$AB$43,$M39,FALSE)</f>
        <v>0</v>
      </c>
      <c r="I39" s="835">
        <f>HLOOKUP(Attach,$AD$8:$AF$43,$M39,FALSE)</f>
        <v>0</v>
      </c>
      <c r="J39" s="835"/>
      <c r="K39" s="835">
        <f>-SUM(E39:I39)</f>
        <v>0</v>
      </c>
      <c r="L39" s="361"/>
      <c r="M39" s="75">
        <f t="shared" si="4"/>
        <v>32</v>
      </c>
      <c r="N39" s="973">
        <v>0</v>
      </c>
      <c r="O39" s="973">
        <v>0</v>
      </c>
      <c r="P39" s="1331">
        <f>N39+O39</f>
        <v>0</v>
      </c>
      <c r="Q39" s="1339"/>
      <c r="R39" s="973">
        <v>0</v>
      </c>
      <c r="S39" s="973">
        <v>0</v>
      </c>
      <c r="T39" s="1331">
        <f>R39+S39</f>
        <v>0</v>
      </c>
      <c r="U39" s="1339"/>
      <c r="V39" s="973">
        <v>0</v>
      </c>
      <c r="W39" s="973">
        <v>0</v>
      </c>
      <c r="X39" s="1331">
        <f>V39+W39</f>
        <v>0</v>
      </c>
      <c r="Y39" s="1339"/>
      <c r="Z39" s="973">
        <v>0</v>
      </c>
      <c r="AA39" s="973">
        <v>0</v>
      </c>
      <c r="AB39" s="1331">
        <f>Z39+AA39</f>
        <v>0</v>
      </c>
      <c r="AC39" s="1339"/>
      <c r="AD39" s="973">
        <v>0</v>
      </c>
      <c r="AE39" s="973">
        <v>0</v>
      </c>
      <c r="AF39" s="1331">
        <f>AD39+AE39</f>
        <v>0</v>
      </c>
    </row>
    <row r="40" spans="1:32">
      <c r="A40" s="40">
        <f t="shared" si="3"/>
        <v>28</v>
      </c>
      <c r="B40" s="40"/>
      <c r="C40" s="41"/>
      <c r="D40" s="41"/>
      <c r="E40" s="835"/>
      <c r="F40" s="835"/>
      <c r="G40" s="835"/>
      <c r="H40" s="835"/>
      <c r="I40" s="835"/>
      <c r="J40" s="835"/>
      <c r="K40" s="835"/>
      <c r="L40" s="361"/>
      <c r="M40" s="75">
        <f t="shared" si="4"/>
        <v>33</v>
      </c>
      <c r="N40" s="1175"/>
      <c r="O40" s="1175"/>
      <c r="P40" s="1175"/>
      <c r="Q40" s="1339"/>
      <c r="R40" s="1175"/>
      <c r="S40" s="1175"/>
      <c r="T40" s="1175"/>
      <c r="U40" s="1339"/>
      <c r="V40" s="1175"/>
      <c r="W40" s="1175"/>
      <c r="X40" s="1175"/>
      <c r="Y40" s="1339"/>
      <c r="Z40" s="1175"/>
      <c r="AA40" s="1175"/>
      <c r="AB40" s="1175"/>
      <c r="AC40" s="1339"/>
      <c r="AD40" s="1175"/>
      <c r="AE40" s="1175"/>
      <c r="AF40" s="1175"/>
    </row>
    <row r="41" spans="1:32">
      <c r="A41" s="40">
        <f t="shared" si="3"/>
        <v>29</v>
      </c>
      <c r="B41" s="40">
        <v>930.1</v>
      </c>
      <c r="C41" s="41" t="s">
        <v>465</v>
      </c>
      <c r="D41" s="41"/>
      <c r="E41" s="835">
        <f>HLOOKUP(Attach,$N$8:$P$43,$M41,FALSE)</f>
        <v>281409.68</v>
      </c>
      <c r="F41" s="835">
        <f>HLOOKUP(Attach,$R$8:$T$43,$M41,FALSE)</f>
        <v>0</v>
      </c>
      <c r="G41" s="835">
        <f>HLOOKUP(Attach,$V$8:$X$43,$M41,FALSE)</f>
        <v>0</v>
      </c>
      <c r="H41" s="835">
        <f>HLOOKUP(Attach,$Z$8:$AB$43,$M41,FALSE)</f>
        <v>0</v>
      </c>
      <c r="I41" s="835">
        <f>HLOOKUP(Attach,$AD$8:$AF$43,$M41,FALSE)</f>
        <v>130746.75</v>
      </c>
      <c r="J41" s="835"/>
      <c r="K41" s="835">
        <f>-SUM(E41:J41)</f>
        <v>-412156.43</v>
      </c>
      <c r="L41" s="41"/>
      <c r="M41" s="75">
        <f t="shared" si="4"/>
        <v>34</v>
      </c>
      <c r="N41" s="973">
        <v>189629.21999999997</v>
      </c>
      <c r="O41" s="973">
        <v>91780.460000000021</v>
      </c>
      <c r="P41" s="1331">
        <f>N41+O41</f>
        <v>281409.68</v>
      </c>
      <c r="Q41" s="1339"/>
      <c r="R41" s="973">
        <v>0</v>
      </c>
      <c r="S41" s="973">
        <v>0</v>
      </c>
      <c r="T41" s="1331">
        <f>R41+S41</f>
        <v>0</v>
      </c>
      <c r="U41" s="1339"/>
      <c r="V41" s="973">
        <v>0</v>
      </c>
      <c r="W41" s="973">
        <v>0</v>
      </c>
      <c r="X41" s="1331">
        <f>V41+W41</f>
        <v>0</v>
      </c>
      <c r="Y41" s="1339"/>
      <c r="Z41" s="973">
        <v>0</v>
      </c>
      <c r="AA41" s="973">
        <v>0</v>
      </c>
      <c r="AB41" s="1331">
        <f>Z41+AA41</f>
        <v>0</v>
      </c>
      <c r="AC41" s="1339"/>
      <c r="AD41" s="973">
        <v>107763.25</v>
      </c>
      <c r="AE41" s="973">
        <v>22983.5</v>
      </c>
      <c r="AF41" s="1331">
        <f>AD41+AE41</f>
        <v>130746.75</v>
      </c>
    </row>
    <row r="42" spans="1:32">
      <c r="A42" s="40">
        <f t="shared" si="3"/>
        <v>30</v>
      </c>
      <c r="B42" s="40"/>
      <c r="C42" s="41"/>
      <c r="D42" s="41"/>
      <c r="E42" s="835"/>
      <c r="F42" s="835"/>
      <c r="G42" s="835"/>
      <c r="H42" s="835"/>
      <c r="I42" s="835"/>
      <c r="J42" s="835"/>
      <c r="K42" s="835"/>
      <c r="L42" s="41"/>
      <c r="M42" s="75">
        <f t="shared" si="4"/>
        <v>35</v>
      </c>
      <c r="N42" s="1175"/>
      <c r="O42" s="1175"/>
      <c r="P42" s="1175"/>
      <c r="Q42" s="1339"/>
      <c r="R42" s="1175"/>
      <c r="S42" s="1175"/>
      <c r="T42" s="1175"/>
      <c r="U42" s="1339"/>
      <c r="V42" s="1175"/>
      <c r="W42" s="1175"/>
      <c r="X42" s="1175"/>
      <c r="Y42" s="1339"/>
      <c r="Z42" s="1175"/>
      <c r="AA42" s="1175"/>
      <c r="AB42" s="1175"/>
      <c r="AC42" s="1339"/>
      <c r="AD42" s="1175"/>
      <c r="AE42" s="1175"/>
      <c r="AF42" s="1175"/>
    </row>
    <row r="43" spans="1:32">
      <c r="A43" s="40">
        <f t="shared" si="3"/>
        <v>31</v>
      </c>
      <c r="B43" s="40">
        <v>930.2</v>
      </c>
      <c r="C43" s="41" t="s">
        <v>466</v>
      </c>
      <c r="D43" s="41"/>
      <c r="E43" s="856">
        <f>HLOOKUP(Attach,$N$8:$P$43,$M43,FALSE)</f>
        <v>14647.54</v>
      </c>
      <c r="F43" s="856">
        <f>HLOOKUP(Attach,$R$8:$T$43,$M43,FALSE)</f>
        <v>3085.88</v>
      </c>
      <c r="G43" s="856">
        <f>HLOOKUP(Attach,$V$8:$X$43,$M43,FALSE)</f>
        <v>0</v>
      </c>
      <c r="H43" s="856">
        <f>HLOOKUP(Attach,$Z$8:$AB$43,$M43,FALSE)</f>
        <v>0</v>
      </c>
      <c r="I43" s="856">
        <f>HLOOKUP(Attach,$AD$8:$AF$43,$M43,FALSE)</f>
        <v>0</v>
      </c>
      <c r="J43" s="856"/>
      <c r="K43" s="835">
        <f>-SUM(E43:J43)</f>
        <v>-17733.420000000002</v>
      </c>
      <c r="L43" s="41"/>
      <c r="M43" s="75">
        <f t="shared" si="4"/>
        <v>36</v>
      </c>
      <c r="N43" s="973">
        <v>8232.3300000000017</v>
      </c>
      <c r="O43" s="973">
        <v>6415.21</v>
      </c>
      <c r="P43" s="1331">
        <f>N43+O43</f>
        <v>14647.54</v>
      </c>
      <c r="Q43" s="1339"/>
      <c r="R43" s="973">
        <v>2121.21</v>
      </c>
      <c r="S43" s="973">
        <v>964.66999999999985</v>
      </c>
      <c r="T43" s="1331">
        <f>R43+S43</f>
        <v>3085.88</v>
      </c>
      <c r="U43" s="1339"/>
      <c r="V43" s="973">
        <v>0</v>
      </c>
      <c r="W43" s="973">
        <v>0</v>
      </c>
      <c r="X43" s="1331">
        <f>V43+W43</f>
        <v>0</v>
      </c>
      <c r="Y43" s="1339"/>
      <c r="Z43" s="973">
        <v>0</v>
      </c>
      <c r="AA43" s="973">
        <v>0</v>
      </c>
      <c r="AB43" s="1331">
        <f>Z43+AA43</f>
        <v>0</v>
      </c>
      <c r="AC43" s="1339"/>
      <c r="AD43" s="973">
        <v>0</v>
      </c>
      <c r="AE43" s="973">
        <v>0</v>
      </c>
      <c r="AF43" s="1331">
        <f>AD43+AE43</f>
        <v>0</v>
      </c>
    </row>
    <row r="44" spans="1:32">
      <c r="A44" s="40">
        <f t="shared" si="3"/>
        <v>32</v>
      </c>
      <c r="B44" s="40"/>
      <c r="C44" s="41"/>
      <c r="D44" s="41"/>
      <c r="E44" s="566"/>
      <c r="F44" s="566"/>
      <c r="G44" s="566"/>
      <c r="H44" s="566"/>
      <c r="I44" s="566"/>
      <c r="J44" s="566"/>
      <c r="K44" s="566"/>
      <c r="L44" s="41"/>
      <c r="M44" s="199"/>
      <c r="N44" s="163"/>
    </row>
    <row r="45" spans="1:32" ht="13.5" thickBot="1">
      <c r="A45" s="40">
        <f>A44+1</f>
        <v>33</v>
      </c>
      <c r="B45" s="41"/>
      <c r="C45" s="117" t="s">
        <v>229</v>
      </c>
      <c r="D45" s="41"/>
      <c r="E45" s="358">
        <f t="shared" ref="E45:K45" si="5">SUM(E11:E43)</f>
        <v>447181.95</v>
      </c>
      <c r="F45" s="358">
        <f t="shared" si="5"/>
        <v>144706.35999999999</v>
      </c>
      <c r="G45" s="358">
        <f t="shared" si="5"/>
        <v>1223</v>
      </c>
      <c r="H45" s="358">
        <f t="shared" si="5"/>
        <v>114751.92</v>
      </c>
      <c r="I45" s="358">
        <f t="shared" si="5"/>
        <v>134527.67000000001</v>
      </c>
      <c r="J45" s="358">
        <f t="shared" si="5"/>
        <v>77390</v>
      </c>
      <c r="K45" s="358">
        <f t="shared" si="5"/>
        <v>-919780.9</v>
      </c>
      <c r="L45" s="41"/>
      <c r="M45" s="199"/>
      <c r="N45" s="1331">
        <f>SUM(N11:N43)</f>
        <v>277570.51</v>
      </c>
      <c r="O45" s="1331">
        <f>SUM(O11:O43)</f>
        <v>135568.44</v>
      </c>
      <c r="P45" s="1331">
        <f>SUM(P11:P43)</f>
        <v>413138.95</v>
      </c>
      <c r="R45" s="1331">
        <f>SUM(R11:R43)</f>
        <v>63147.070000000014</v>
      </c>
      <c r="S45" s="1331">
        <f>SUM(S11:S43)</f>
        <v>50045.289999999994</v>
      </c>
      <c r="T45" s="1331">
        <f>SUM(T11:T43)</f>
        <v>113192.36000000002</v>
      </c>
      <c r="V45" s="1331">
        <f>SUM(V11:V43)</f>
        <v>1223</v>
      </c>
      <c r="W45" s="1331">
        <f>SUM(W11:W43)</f>
        <v>0</v>
      </c>
      <c r="X45" s="1331">
        <f>SUM(X11:X43)</f>
        <v>1223</v>
      </c>
      <c r="Z45" s="1331">
        <f>SUM(Z11:Z43)</f>
        <v>43214.180000000008</v>
      </c>
      <c r="AA45" s="1331">
        <f>SUM(AA11:AA43)</f>
        <v>71537.739999999991</v>
      </c>
      <c r="AB45" s="1331">
        <f>SUM(AB11:AB43)</f>
        <v>114751.92</v>
      </c>
      <c r="AD45" s="1331">
        <f>SUM(AD11:AD43)</f>
        <v>109195.25</v>
      </c>
      <c r="AE45" s="1331">
        <f>SUM(AE11:AE43)</f>
        <v>25332.42</v>
      </c>
      <c r="AF45" s="1331">
        <f>SUM(AF11:AF43)</f>
        <v>134527.67000000001</v>
      </c>
    </row>
    <row r="46" spans="1:32" ht="13.5" thickTop="1">
      <c r="A46" s="40">
        <f t="shared" ref="A46:A48" si="6">A45+1</f>
        <v>34</v>
      </c>
      <c r="B46" s="1367"/>
      <c r="C46" s="117"/>
      <c r="D46" s="41"/>
      <c r="E46" s="361"/>
      <c r="F46" s="361"/>
      <c r="G46" s="361"/>
      <c r="H46" s="361"/>
      <c r="I46" s="361"/>
      <c r="J46" s="361"/>
      <c r="K46" s="361">
        <v>-842390.9</v>
      </c>
      <c r="L46" s="41"/>
      <c r="M46" s="199"/>
      <c r="N46" s="163"/>
    </row>
    <row r="47" spans="1:32">
      <c r="A47" s="40">
        <f t="shared" si="6"/>
        <v>35</v>
      </c>
      <c r="B47" s="41" t="s">
        <v>1433</v>
      </c>
      <c r="C47" s="117"/>
      <c r="D47" s="41"/>
      <c r="E47" s="361"/>
      <c r="F47" s="361"/>
      <c r="G47" s="361"/>
      <c r="H47" s="361"/>
      <c r="I47" s="361"/>
      <c r="J47" s="361"/>
      <c r="K47" s="361"/>
      <c r="L47" s="41"/>
      <c r="M47" s="199"/>
      <c r="N47" s="163"/>
    </row>
    <row r="48" spans="1:32">
      <c r="A48" s="40">
        <f t="shared" si="6"/>
        <v>36</v>
      </c>
      <c r="B48" s="41" t="s">
        <v>1514</v>
      </c>
      <c r="C48" s="41"/>
      <c r="D48" s="41"/>
      <c r="E48" s="209"/>
      <c r="F48" s="209"/>
      <c r="G48" s="209"/>
      <c r="H48" s="209"/>
      <c r="I48" s="209"/>
      <c r="J48" s="209"/>
      <c r="K48" s="209"/>
      <c r="L48" s="41"/>
      <c r="M48" s="199"/>
      <c r="N48" s="163"/>
      <c r="P48" s="642"/>
      <c r="T48" s="642"/>
      <c r="X48" s="642"/>
    </row>
    <row r="49" spans="1:14">
      <c r="A49" s="40"/>
      <c r="B49" s="41"/>
      <c r="C49" s="41"/>
      <c r="D49" s="41"/>
      <c r="E49" s="41"/>
      <c r="F49" s="41"/>
      <c r="G49" s="41"/>
      <c r="H49" s="41"/>
      <c r="I49" s="41"/>
      <c r="J49" s="41"/>
      <c r="K49" s="199"/>
      <c r="L49" s="41"/>
      <c r="M49" s="199"/>
      <c r="N49" s="163"/>
    </row>
    <row r="50" spans="1:14">
      <c r="A50" s="40"/>
      <c r="B50" s="41"/>
      <c r="C50" s="41"/>
      <c r="D50" s="41"/>
      <c r="E50" s="41"/>
      <c r="F50" s="41"/>
      <c r="G50" s="41"/>
      <c r="H50" s="41"/>
      <c r="I50" s="41"/>
      <c r="J50" s="41"/>
      <c r="K50" s="199"/>
      <c r="L50" s="41"/>
      <c r="M50" s="199"/>
      <c r="N50" s="163"/>
    </row>
    <row r="51" spans="1:14">
      <c r="A51" s="40"/>
      <c r="B51" s="41"/>
      <c r="C51" s="41" t="s">
        <v>1555</v>
      </c>
      <c r="D51" s="41"/>
      <c r="E51" s="41" t="str">
        <f>'Stmt N'!AB1</f>
        <v>Y</v>
      </c>
      <c r="F51" s="41"/>
      <c r="G51" s="41"/>
      <c r="H51" s="41"/>
      <c r="I51" s="41"/>
      <c r="J51" s="41"/>
      <c r="K51" s="199"/>
      <c r="L51" s="41"/>
      <c r="M51" s="199"/>
      <c r="N51" s="163"/>
    </row>
    <row r="52" spans="1:14">
      <c r="A52" s="40"/>
      <c r="B52" s="41"/>
      <c r="C52" s="41" t="s">
        <v>1556</v>
      </c>
      <c r="D52" s="41"/>
      <c r="E52" s="41" t="str">
        <f>'Stmt N'!AE1</f>
        <v>Y</v>
      </c>
      <c r="F52" s="41"/>
      <c r="G52" s="41"/>
      <c r="H52" s="41"/>
      <c r="I52" s="41"/>
      <c r="J52" s="41"/>
      <c r="K52" s="199"/>
      <c r="L52" s="41"/>
      <c r="M52" s="199"/>
      <c r="N52" s="163"/>
    </row>
    <row r="53" spans="1:14">
      <c r="A53" s="40"/>
      <c r="B53" s="41"/>
      <c r="C53" s="41" t="s">
        <v>1613</v>
      </c>
      <c r="D53" s="41"/>
      <c r="E53" s="41" t="str">
        <f>'MCC Testimony Table'!F19</f>
        <v>Y</v>
      </c>
      <c r="F53" s="41"/>
      <c r="G53" s="41"/>
      <c r="H53" s="41"/>
      <c r="I53" s="41"/>
      <c r="J53" s="41"/>
      <c r="K53" s="199"/>
      <c r="L53" s="41"/>
      <c r="M53" s="199"/>
      <c r="N53" s="163"/>
    </row>
    <row r="54" spans="1:14">
      <c r="A54" s="40"/>
      <c r="B54" s="41"/>
      <c r="C54" s="41"/>
      <c r="D54" s="41"/>
      <c r="E54" s="41"/>
      <c r="F54" s="41"/>
      <c r="G54" s="41"/>
      <c r="H54" s="41"/>
      <c r="I54" s="41"/>
      <c r="J54" s="41"/>
      <c r="K54" s="199"/>
      <c r="L54" s="41"/>
      <c r="M54" s="199"/>
      <c r="N54" s="163"/>
    </row>
    <row r="55" spans="1:14">
      <c r="A55" s="40"/>
      <c r="B55" s="41"/>
      <c r="C55" s="41"/>
      <c r="D55" s="41"/>
      <c r="E55" s="41"/>
      <c r="F55" s="41"/>
      <c r="G55" s="41"/>
      <c r="H55" s="41"/>
      <c r="I55" s="41"/>
      <c r="J55" s="41"/>
      <c r="K55" s="199"/>
      <c r="L55" s="41"/>
      <c r="M55" s="199"/>
      <c r="N55" s="163"/>
    </row>
    <row r="56" spans="1:14">
      <c r="A56" s="40"/>
      <c r="B56" s="41"/>
      <c r="C56" s="41"/>
      <c r="D56" s="41"/>
      <c r="E56" s="41"/>
      <c r="F56" s="41"/>
      <c r="G56" s="41"/>
      <c r="H56" s="41"/>
      <c r="I56" s="41"/>
      <c r="J56" s="41"/>
      <c r="K56" s="199"/>
      <c r="L56" s="41"/>
      <c r="M56" s="199"/>
      <c r="N56" s="163"/>
    </row>
    <row r="57" spans="1:14">
      <c r="A57" s="40"/>
      <c r="B57" s="41"/>
      <c r="C57" s="41"/>
      <c r="D57" s="41"/>
      <c r="E57" s="41"/>
      <c r="F57" s="41"/>
      <c r="G57" s="41"/>
      <c r="H57" s="41"/>
      <c r="I57" s="41"/>
      <c r="J57" s="41"/>
      <c r="K57" s="199"/>
      <c r="L57" s="41"/>
      <c r="M57" s="199"/>
      <c r="N57" s="163"/>
    </row>
    <row r="58" spans="1:14">
      <c r="A58" s="40"/>
      <c r="B58" s="41"/>
      <c r="C58" s="41"/>
      <c r="D58" s="41"/>
      <c r="E58" s="41"/>
      <c r="F58" s="41"/>
      <c r="G58" s="41"/>
      <c r="H58" s="41"/>
      <c r="I58" s="41"/>
      <c r="J58" s="41"/>
      <c r="K58" s="199"/>
      <c r="L58" s="41"/>
      <c r="M58" s="199"/>
      <c r="N58" s="163"/>
    </row>
    <row r="59" spans="1:14">
      <c r="A59" s="40"/>
      <c r="B59" s="41"/>
      <c r="C59" s="41"/>
      <c r="D59" s="41"/>
      <c r="E59" s="41"/>
      <c r="F59" s="41"/>
      <c r="G59" s="41"/>
      <c r="H59" s="41"/>
      <c r="I59" s="41"/>
      <c r="J59" s="41"/>
      <c r="K59" s="199"/>
      <c r="L59" s="41"/>
      <c r="M59" s="199"/>
      <c r="N59" s="163"/>
    </row>
    <row r="60" spans="1:14">
      <c r="A60" s="40"/>
      <c r="B60" s="41"/>
      <c r="C60" s="41"/>
      <c r="D60" s="41"/>
      <c r="E60" s="41"/>
      <c r="F60" s="41"/>
      <c r="G60" s="41"/>
      <c r="H60" s="41"/>
      <c r="I60" s="41"/>
      <c r="J60" s="41"/>
      <c r="K60" s="199"/>
      <c r="L60" s="41"/>
      <c r="M60" s="199"/>
      <c r="N60" s="163"/>
    </row>
    <row r="61" spans="1:14">
      <c r="A61" s="40"/>
      <c r="B61" s="41"/>
      <c r="C61" s="41"/>
      <c r="D61" s="41"/>
      <c r="E61" s="41"/>
      <c r="F61" s="41"/>
      <c r="G61" s="41"/>
      <c r="H61" s="41"/>
      <c r="I61" s="41"/>
      <c r="J61" s="41"/>
      <c r="K61" s="199"/>
      <c r="L61" s="41"/>
      <c r="M61" s="199"/>
      <c r="N61" s="163"/>
    </row>
    <row r="62" spans="1:14">
      <c r="A62" s="40"/>
      <c r="B62" s="41"/>
      <c r="C62" s="41"/>
      <c r="D62" s="41"/>
      <c r="E62" s="41"/>
      <c r="F62" s="41"/>
      <c r="G62" s="41"/>
      <c r="H62" s="41"/>
      <c r="I62" s="41"/>
      <c r="J62" s="41"/>
      <c r="K62" s="199"/>
      <c r="L62" s="41"/>
      <c r="M62" s="199"/>
      <c r="N62" s="163"/>
    </row>
    <row r="63" spans="1:14">
      <c r="A63" s="40"/>
      <c r="B63" s="41"/>
      <c r="C63" s="41"/>
      <c r="D63" s="41"/>
      <c r="E63" s="41"/>
      <c r="F63" s="41"/>
      <c r="G63" s="41"/>
      <c r="H63" s="41"/>
      <c r="I63" s="41"/>
      <c r="J63" s="41"/>
      <c r="K63" s="199"/>
      <c r="L63" s="41"/>
      <c r="M63" s="199"/>
      <c r="N63" s="163"/>
    </row>
    <row r="64" spans="1:14">
      <c r="A64" s="40"/>
      <c r="B64" s="41"/>
      <c r="C64" s="41"/>
      <c r="D64" s="41"/>
      <c r="E64" s="41"/>
      <c r="F64" s="41"/>
      <c r="G64" s="41"/>
      <c r="H64" s="41"/>
      <c r="I64" s="41"/>
      <c r="J64" s="41"/>
      <c r="K64" s="199"/>
      <c r="L64" s="41"/>
      <c r="M64" s="199"/>
      <c r="N64" s="163"/>
    </row>
    <row r="65" spans="1:14">
      <c r="A65" s="40"/>
      <c r="B65" s="41"/>
      <c r="C65" s="41"/>
      <c r="D65" s="41"/>
      <c r="E65" s="41"/>
      <c r="F65" s="41"/>
      <c r="G65" s="41"/>
      <c r="H65" s="41"/>
      <c r="I65" s="41"/>
      <c r="J65" s="41"/>
      <c r="K65" s="199"/>
      <c r="L65" s="41"/>
      <c r="M65" s="199"/>
      <c r="N65" s="163"/>
    </row>
    <row r="66" spans="1:14">
      <c r="A66" s="40"/>
      <c r="B66" s="41"/>
      <c r="C66" s="41"/>
      <c r="D66" s="41"/>
      <c r="E66" s="41"/>
      <c r="F66" s="41"/>
      <c r="G66" s="41"/>
      <c r="H66" s="41"/>
      <c r="I66" s="41"/>
      <c r="J66" s="41"/>
      <c r="K66" s="199"/>
      <c r="L66" s="41"/>
      <c r="M66" s="199"/>
      <c r="N66" s="163"/>
    </row>
    <row r="67" spans="1:14">
      <c r="A67" s="40"/>
      <c r="B67" s="41"/>
      <c r="C67" s="41"/>
      <c r="D67" s="41"/>
      <c r="E67" s="41"/>
      <c r="F67" s="41"/>
      <c r="G67" s="41"/>
      <c r="H67" s="41"/>
      <c r="I67" s="41"/>
      <c r="J67" s="41"/>
      <c r="K67" s="199"/>
      <c r="L67" s="41"/>
      <c r="M67" s="199"/>
      <c r="N67" s="163"/>
    </row>
    <row r="68" spans="1:14">
      <c r="A68" s="40"/>
      <c r="B68" s="41"/>
      <c r="C68" s="41"/>
      <c r="D68" s="41"/>
      <c r="E68" s="41"/>
      <c r="F68" s="41"/>
      <c r="G68" s="41"/>
      <c r="H68" s="41"/>
      <c r="I68" s="41"/>
      <c r="J68" s="41"/>
      <c r="K68" s="199"/>
      <c r="L68" s="41"/>
      <c r="M68" s="199"/>
      <c r="N68" s="163"/>
    </row>
    <row r="69" spans="1:14">
      <c r="A69" s="40"/>
      <c r="B69" s="41"/>
      <c r="C69" s="41"/>
      <c r="D69" s="41"/>
      <c r="E69" s="41"/>
      <c r="F69" s="41"/>
      <c r="G69" s="41"/>
      <c r="H69" s="41"/>
      <c r="I69" s="41"/>
      <c r="J69" s="41"/>
      <c r="K69" s="199"/>
      <c r="L69" s="41"/>
      <c r="M69" s="199"/>
      <c r="N69" s="163"/>
    </row>
    <row r="70" spans="1:14">
      <c r="A70" s="40"/>
      <c r="B70" s="41"/>
      <c r="C70" s="41"/>
      <c r="D70" s="41"/>
      <c r="E70" s="41"/>
      <c r="F70" s="41"/>
      <c r="G70" s="41"/>
      <c r="H70" s="41"/>
      <c r="I70" s="41"/>
      <c r="J70" s="41"/>
      <c r="K70" s="199"/>
      <c r="L70" s="41"/>
      <c r="M70" s="199"/>
      <c r="N70" s="163"/>
    </row>
    <row r="71" spans="1:14">
      <c r="A71" s="40"/>
      <c r="B71" s="41"/>
      <c r="C71" s="41"/>
      <c r="D71" s="41"/>
      <c r="E71" s="41"/>
      <c r="F71" s="41"/>
      <c r="G71" s="41"/>
      <c r="H71" s="41"/>
      <c r="I71" s="41"/>
      <c r="J71" s="41"/>
      <c r="K71" s="199"/>
      <c r="L71" s="41"/>
      <c r="M71" s="199"/>
      <c r="N71" s="163"/>
    </row>
    <row r="72" spans="1:14">
      <c r="A72" s="40"/>
      <c r="B72" s="41"/>
      <c r="C72" s="41"/>
      <c r="D72" s="41"/>
      <c r="E72" s="41"/>
      <c r="F72" s="41"/>
      <c r="G72" s="41"/>
      <c r="H72" s="41"/>
      <c r="I72" s="41"/>
      <c r="J72" s="41"/>
      <c r="K72" s="199"/>
      <c r="L72" s="41"/>
      <c r="M72" s="199"/>
      <c r="N72" s="163"/>
    </row>
    <row r="73" spans="1:14">
      <c r="A73" s="40"/>
      <c r="B73" s="41"/>
      <c r="C73" s="41"/>
      <c r="D73" s="41"/>
      <c r="E73" s="41"/>
      <c r="F73" s="41"/>
      <c r="G73" s="41"/>
      <c r="H73" s="41"/>
      <c r="I73" s="41"/>
      <c r="J73" s="41"/>
      <c r="K73" s="199"/>
      <c r="L73" s="41"/>
      <c r="M73" s="199"/>
      <c r="N73" s="163"/>
    </row>
    <row r="74" spans="1:14">
      <c r="A74" s="40"/>
      <c r="B74" s="41"/>
      <c r="C74" s="41"/>
      <c r="D74" s="41"/>
      <c r="E74" s="41"/>
      <c r="F74" s="41"/>
      <c r="G74" s="41"/>
      <c r="H74" s="41"/>
      <c r="I74" s="41"/>
      <c r="J74" s="41"/>
      <c r="K74" s="199"/>
      <c r="L74" s="41"/>
      <c r="M74" s="199"/>
      <c r="N74" s="163"/>
    </row>
    <row r="75" spans="1:14">
      <c r="A75" s="40"/>
      <c r="B75" s="41"/>
      <c r="C75" s="41"/>
      <c r="D75" s="41"/>
      <c r="E75" s="41"/>
      <c r="F75" s="41"/>
      <c r="G75" s="41"/>
      <c r="H75" s="41"/>
      <c r="I75" s="41"/>
      <c r="J75" s="41"/>
      <c r="K75" s="199"/>
      <c r="L75" s="41"/>
      <c r="M75" s="199"/>
      <c r="N75" s="163"/>
    </row>
    <row r="76" spans="1:14">
      <c r="A76" s="40"/>
      <c r="B76" s="41"/>
      <c r="C76" s="41"/>
      <c r="D76" s="41"/>
      <c r="E76" s="41"/>
      <c r="F76" s="41"/>
      <c r="G76" s="41"/>
      <c r="H76" s="41"/>
      <c r="I76" s="41"/>
      <c r="J76" s="41"/>
      <c r="K76" s="199"/>
      <c r="L76" s="41"/>
      <c r="M76" s="199"/>
      <c r="N76" s="163"/>
    </row>
    <row r="77" spans="1:14">
      <c r="A77" s="40"/>
      <c r="B77" s="41"/>
      <c r="C77" s="41"/>
      <c r="D77" s="41"/>
      <c r="E77" s="41"/>
      <c r="F77" s="41"/>
      <c r="G77" s="41"/>
      <c r="H77" s="41"/>
      <c r="I77" s="41"/>
      <c r="J77" s="41"/>
      <c r="K77" s="199"/>
      <c r="L77" s="41"/>
      <c r="M77" s="199"/>
      <c r="N77" s="163"/>
    </row>
    <row r="78" spans="1:14">
      <c r="A78" s="40"/>
      <c r="B78" s="41"/>
      <c r="C78" s="41"/>
      <c r="D78" s="41"/>
      <c r="E78" s="41"/>
      <c r="F78" s="41"/>
      <c r="G78" s="41"/>
      <c r="H78" s="41"/>
      <c r="I78" s="41"/>
      <c r="J78" s="41"/>
      <c r="K78" s="199"/>
      <c r="L78" s="41"/>
      <c r="M78" s="199"/>
      <c r="N78" s="163"/>
    </row>
    <row r="79" spans="1:14">
      <c r="A79" s="40"/>
      <c r="B79" s="41"/>
      <c r="C79" s="41"/>
      <c r="D79" s="41"/>
      <c r="E79" s="41"/>
      <c r="F79" s="41"/>
      <c r="G79" s="41"/>
      <c r="H79" s="41"/>
      <c r="I79" s="41"/>
      <c r="J79" s="41"/>
      <c r="K79" s="199"/>
      <c r="L79" s="41"/>
      <c r="M79" s="199"/>
      <c r="N79" s="163"/>
    </row>
    <row r="80" spans="1:14">
      <c r="A80" s="40"/>
      <c r="B80" s="41"/>
      <c r="C80" s="41"/>
      <c r="D80" s="41"/>
      <c r="E80" s="41"/>
      <c r="F80" s="41"/>
      <c r="G80" s="41"/>
      <c r="H80" s="41"/>
      <c r="I80" s="41"/>
      <c r="J80" s="41"/>
      <c r="K80" s="199"/>
      <c r="L80" s="41"/>
      <c r="M80" s="199"/>
      <c r="N80" s="163"/>
    </row>
    <row r="81" spans="1:13">
      <c r="A81" s="40"/>
      <c r="B81" s="41"/>
      <c r="C81" s="41"/>
      <c r="D81" s="41"/>
      <c r="E81" s="41"/>
      <c r="F81" s="41"/>
      <c r="G81" s="41"/>
      <c r="H81" s="41"/>
      <c r="I81" s="41"/>
      <c r="J81" s="41"/>
      <c r="K81" s="199"/>
      <c r="L81" s="41"/>
      <c r="M81" s="199"/>
    </row>
    <row r="82" spans="1:13">
      <c r="A82" s="40"/>
      <c r="B82" s="41"/>
      <c r="C82" s="41"/>
      <c r="D82" s="41"/>
      <c r="E82" s="41"/>
      <c r="F82" s="41"/>
      <c r="G82" s="41"/>
      <c r="H82" s="41"/>
      <c r="I82" s="41"/>
      <c r="J82" s="41"/>
      <c r="K82" s="199"/>
      <c r="L82" s="41"/>
      <c r="M82" s="199"/>
    </row>
    <row r="83" spans="1:13">
      <c r="A83" s="40"/>
      <c r="B83" s="41"/>
      <c r="C83" s="41"/>
      <c r="D83" s="41"/>
      <c r="E83" s="41"/>
      <c r="F83" s="41"/>
      <c r="G83" s="41"/>
      <c r="H83" s="41"/>
      <c r="I83" s="41"/>
      <c r="J83" s="41"/>
      <c r="K83" s="41"/>
      <c r="L83" s="41"/>
      <c r="M83" s="41"/>
    </row>
    <row r="84" spans="1:13">
      <c r="A84" s="40"/>
      <c r="B84" s="41"/>
      <c r="C84" s="41"/>
      <c r="D84" s="41"/>
      <c r="E84" s="41"/>
      <c r="F84" s="41"/>
      <c r="G84" s="41"/>
      <c r="H84" s="41"/>
      <c r="I84" s="41"/>
      <c r="J84" s="41"/>
      <c r="K84" s="41"/>
      <c r="L84" s="41"/>
      <c r="M84" s="156"/>
    </row>
    <row r="85" spans="1:13">
      <c r="A85" s="40"/>
      <c r="B85" s="41"/>
      <c r="C85" s="41"/>
      <c r="D85" s="41"/>
      <c r="E85" s="41"/>
      <c r="F85" s="41"/>
      <c r="G85" s="41"/>
      <c r="H85" s="41"/>
      <c r="I85" s="41"/>
      <c r="J85" s="41"/>
      <c r="K85" s="41"/>
      <c r="L85" s="41"/>
      <c r="M85" s="199"/>
    </row>
    <row r="86" spans="1:13">
      <c r="A86" s="40"/>
      <c r="B86" s="41"/>
      <c r="C86" s="41"/>
      <c r="D86" s="41"/>
      <c r="E86" s="41"/>
      <c r="F86" s="41"/>
      <c r="G86" s="41"/>
      <c r="H86" s="41"/>
      <c r="I86" s="41"/>
      <c r="J86" s="41"/>
      <c r="K86" s="41"/>
      <c r="L86" s="41"/>
      <c r="M86" s="161"/>
    </row>
    <row r="87" spans="1:13">
      <c r="A87" s="40"/>
      <c r="B87" s="41"/>
      <c r="C87" s="41"/>
      <c r="D87" s="41"/>
      <c r="E87" s="41"/>
      <c r="F87" s="41"/>
      <c r="G87" s="41"/>
      <c r="H87" s="41"/>
      <c r="I87" s="41"/>
      <c r="J87" s="41"/>
      <c r="K87" s="41"/>
      <c r="L87" s="41"/>
      <c r="M87" s="156"/>
    </row>
  </sheetData>
  <printOptions horizontalCentered="1"/>
  <pageMargins left="0.25" right="0.25" top="1" bottom="0.5" header="1" footer="0.5"/>
  <pageSetup scale="7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36"/>
  <sheetViews>
    <sheetView workbookViewId="0"/>
  </sheetViews>
  <sheetFormatPr defaultRowHeight="12.75"/>
  <cols>
    <col min="1" max="1" width="6.83203125" customWidth="1"/>
    <col min="2" max="2" width="11.33203125" style="62" bestFit="1" customWidth="1"/>
    <col min="3" max="3" width="3.33203125" style="62" customWidth="1"/>
    <col min="4" max="4" width="34.33203125" bestFit="1" customWidth="1"/>
    <col min="5" max="5" width="3.33203125" customWidth="1"/>
    <col min="6" max="6" width="16" customWidth="1"/>
    <col min="7" max="7" width="3.33203125" customWidth="1"/>
    <col min="8" max="8" width="31.33203125" customWidth="1"/>
    <col min="9" max="9" width="11.33203125" bestFit="1" customWidth="1"/>
    <col min="10" max="10" width="3.33203125" bestFit="1" customWidth="1"/>
    <col min="11" max="13" width="19.83203125" bestFit="1" customWidth="1"/>
  </cols>
  <sheetData>
    <row r="1" spans="1:13">
      <c r="A1" s="69" t="str">
        <f>Company</f>
        <v>BLACK HILLS NEBRASKA GAS, LLC</v>
      </c>
      <c r="H1" s="72" t="str">
        <f>Attach</f>
        <v>FINAL - BH January 15, 2021 Rev. Req. Model</v>
      </c>
    </row>
    <row r="2" spans="1:13">
      <c r="A2" s="128" t="s">
        <v>467</v>
      </c>
      <c r="H2" s="56" t="s">
        <v>773</v>
      </c>
    </row>
    <row r="3" spans="1:13">
      <c r="A3" s="70" t="str">
        <f>TYEnded</f>
        <v>FOR THE TEST YEAR ENDING DECEMBER 31, 2020</v>
      </c>
    </row>
    <row r="4" spans="1:13">
      <c r="H4" s="5"/>
    </row>
    <row r="5" spans="1:13">
      <c r="A5" s="394" t="s">
        <v>59</v>
      </c>
      <c r="B5" s="221" t="s">
        <v>66</v>
      </c>
      <c r="C5" s="395"/>
      <c r="D5" s="395"/>
      <c r="E5" s="395"/>
      <c r="F5" s="395"/>
      <c r="G5" s="395"/>
      <c r="H5" s="221" t="s">
        <v>1273</v>
      </c>
      <c r="J5" s="75">
        <v>1</v>
      </c>
      <c r="K5" s="75" t="str">
        <f>References!$C$17</f>
        <v>Exhibit No. MCC-2 NEG</v>
      </c>
      <c r="L5" s="75" t="str">
        <f>References!$D$17</f>
        <v>Exhibit No. MCC-2 NEGD</v>
      </c>
      <c r="M5" s="75" t="str">
        <f>References!$E$17</f>
        <v>FINAL - BH January 15, 2021 Rev. Req. Model</v>
      </c>
    </row>
    <row r="6" spans="1:13">
      <c r="A6" s="396" t="s">
        <v>195</v>
      </c>
      <c r="B6" s="396" t="s">
        <v>516</v>
      </c>
      <c r="C6" s="396"/>
      <c r="D6" s="396" t="s">
        <v>196</v>
      </c>
      <c r="E6" s="396"/>
      <c r="F6" s="396" t="s">
        <v>285</v>
      </c>
      <c r="G6" s="396"/>
      <c r="H6" s="396" t="s">
        <v>1274</v>
      </c>
      <c r="J6" s="75">
        <f>J5+1</f>
        <v>2</v>
      </c>
      <c r="K6" s="75" t="str">
        <f>References!$C$18</f>
        <v>NEG</v>
      </c>
      <c r="L6" s="75" t="str">
        <f>References!$D$18</f>
        <v>NEGD</v>
      </c>
      <c r="M6" s="75" t="str">
        <f>References!$E$18</f>
        <v>Tot Co</v>
      </c>
    </row>
    <row r="7" spans="1:13">
      <c r="A7" s="222"/>
      <c r="B7" s="224"/>
      <c r="C7" s="223"/>
      <c r="D7" s="222"/>
      <c r="E7" s="222"/>
      <c r="F7" s="222"/>
      <c r="G7" s="222"/>
      <c r="H7" s="222"/>
      <c r="J7" s="75">
        <f t="shared" ref="J7:J21" si="0">J6+1</f>
        <v>3</v>
      </c>
      <c r="M7" s="75"/>
    </row>
    <row r="8" spans="1:13" ht="13.5">
      <c r="A8" s="227">
        <v>1</v>
      </c>
      <c r="B8" s="243">
        <v>804</v>
      </c>
      <c r="C8" s="223"/>
      <c r="D8" s="245" t="s">
        <v>480</v>
      </c>
      <c r="E8" s="228"/>
      <c r="F8" s="222" t="s">
        <v>1410</v>
      </c>
      <c r="G8" s="222"/>
      <c r="H8" s="498">
        <f>HLOOKUP(Attach,$K$5:$S$29,$J8,FALSE)</f>
        <v>70953809.859999999</v>
      </c>
      <c r="J8" s="75">
        <f t="shared" si="0"/>
        <v>4</v>
      </c>
      <c r="K8" s="971">
        <f>'Stmt H'!X38</f>
        <v>70953809.870000005</v>
      </c>
      <c r="L8" s="971">
        <f>'Stmt H'!Y38</f>
        <v>-0.01</v>
      </c>
      <c r="M8" s="937">
        <f>+K8+L8</f>
        <v>70953809.859999999</v>
      </c>
    </row>
    <row r="9" spans="1:13">
      <c r="A9" s="227">
        <f>1+A8</f>
        <v>2</v>
      </c>
      <c r="B9" s="224"/>
      <c r="C9" s="223"/>
      <c r="D9" s="239"/>
      <c r="E9" s="226"/>
      <c r="F9" s="229"/>
      <c r="G9" s="229"/>
      <c r="H9" s="498"/>
      <c r="J9" s="75">
        <f t="shared" si="0"/>
        <v>5</v>
      </c>
      <c r="K9" s="489"/>
      <c r="L9" s="489"/>
      <c r="M9" s="75"/>
    </row>
    <row r="10" spans="1:13">
      <c r="A10" s="227">
        <f t="shared" ref="A10:A25" si="1">1+A9</f>
        <v>3</v>
      </c>
      <c r="B10" s="243">
        <v>805</v>
      </c>
      <c r="C10" s="223"/>
      <c r="D10" s="246" t="s">
        <v>382</v>
      </c>
      <c r="E10" s="226"/>
      <c r="F10" s="222" t="s">
        <v>1411</v>
      </c>
      <c r="G10" s="229"/>
      <c r="H10" s="685">
        <f>HLOOKUP(Attach,$K$5:$S$29,$J10,FALSE)</f>
        <v>-2419037.3400000003</v>
      </c>
      <c r="I10" s="8"/>
      <c r="J10" s="75">
        <f t="shared" si="0"/>
        <v>6</v>
      </c>
      <c r="K10" s="971">
        <f>'Stmt H'!X39</f>
        <v>-2419037.3400000003</v>
      </c>
      <c r="L10" s="971">
        <f>'Stmt H'!Y39</f>
        <v>0</v>
      </c>
      <c r="M10" s="937">
        <f>+K10+L10</f>
        <v>-2419037.3400000003</v>
      </c>
    </row>
    <row r="11" spans="1:13" ht="13.5">
      <c r="A11" s="227">
        <f t="shared" si="1"/>
        <v>4</v>
      </c>
      <c r="B11" s="224"/>
      <c r="C11" s="223"/>
      <c r="D11" s="241"/>
      <c r="E11" s="228"/>
      <c r="F11" s="222"/>
      <c r="G11" s="225"/>
      <c r="H11" s="685"/>
      <c r="J11" s="75">
        <f t="shared" si="0"/>
        <v>7</v>
      </c>
      <c r="K11" s="489"/>
      <c r="L11" s="489"/>
      <c r="M11" s="75"/>
    </row>
    <row r="12" spans="1:13">
      <c r="A12" s="227">
        <f t="shared" si="1"/>
        <v>5</v>
      </c>
      <c r="B12" s="455">
        <v>805.1</v>
      </c>
      <c r="C12" s="223"/>
      <c r="D12" s="246" t="s">
        <v>415</v>
      </c>
      <c r="E12" s="223"/>
      <c r="F12" s="222" t="s">
        <v>1412</v>
      </c>
      <c r="G12" s="225"/>
      <c r="H12" s="685">
        <f>HLOOKUP(Attach,$K$5:$S$29,$J12,FALSE)</f>
        <v>5499379.8300000001</v>
      </c>
      <c r="J12" s="75">
        <f t="shared" si="0"/>
        <v>8</v>
      </c>
      <c r="K12" s="971">
        <f>'Stmt H'!X40</f>
        <v>5499379.8300000001</v>
      </c>
      <c r="L12" s="971">
        <f>'Stmt H'!Y40</f>
        <v>0</v>
      </c>
      <c r="M12" s="937">
        <f>+K12+L12</f>
        <v>5499379.8300000001</v>
      </c>
    </row>
    <row r="13" spans="1:13" s="62" customFormat="1">
      <c r="A13" s="227">
        <f t="shared" si="1"/>
        <v>6</v>
      </c>
      <c r="B13" s="455"/>
      <c r="C13" s="223"/>
      <c r="D13" s="246"/>
      <c r="E13" s="223"/>
      <c r="F13" s="222"/>
      <c r="G13" s="225"/>
      <c r="H13" s="685"/>
      <c r="J13" s="75">
        <f t="shared" si="0"/>
        <v>9</v>
      </c>
      <c r="K13" s="489"/>
      <c r="L13" s="489"/>
      <c r="M13" s="75"/>
    </row>
    <row r="14" spans="1:13" s="62" customFormat="1">
      <c r="A14" s="227">
        <f t="shared" si="1"/>
        <v>7</v>
      </c>
      <c r="B14" s="243">
        <v>806</v>
      </c>
      <c r="C14" s="223"/>
      <c r="D14" s="246" t="s">
        <v>382</v>
      </c>
      <c r="E14" s="226"/>
      <c r="F14" s="222" t="s">
        <v>1413</v>
      </c>
      <c r="G14" s="229"/>
      <c r="H14" s="685">
        <f>HLOOKUP(Attach,$K$5:$S$29,$J14,FALSE)</f>
        <v>0</v>
      </c>
      <c r="I14" s="8"/>
      <c r="J14" s="75">
        <f t="shared" si="0"/>
        <v>10</v>
      </c>
      <c r="K14" s="971">
        <f>'Stmt H'!X41</f>
        <v>0</v>
      </c>
      <c r="L14" s="971">
        <f>'Stmt H'!Y41</f>
        <v>0</v>
      </c>
      <c r="M14" s="937">
        <f>+K14+L14</f>
        <v>0</v>
      </c>
    </row>
    <row r="15" spans="1:13" s="62" customFormat="1">
      <c r="A15" s="227">
        <f t="shared" si="1"/>
        <v>8</v>
      </c>
      <c r="B15" s="455"/>
      <c r="C15" s="223"/>
      <c r="D15" s="246"/>
      <c r="E15" s="223"/>
      <c r="F15" s="222"/>
      <c r="G15" s="225"/>
      <c r="H15" s="685"/>
      <c r="J15" s="75">
        <f t="shared" si="0"/>
        <v>11</v>
      </c>
      <c r="K15" s="489"/>
      <c r="L15" s="489"/>
      <c r="M15" s="75"/>
    </row>
    <row r="16" spans="1:13" s="62" customFormat="1">
      <c r="A16" s="227">
        <f t="shared" si="1"/>
        <v>9</v>
      </c>
      <c r="B16" s="455">
        <v>808.1</v>
      </c>
      <c r="C16" s="223"/>
      <c r="D16" s="246" t="s">
        <v>577</v>
      </c>
      <c r="E16" s="223"/>
      <c r="F16" s="222" t="s">
        <v>1414</v>
      </c>
      <c r="G16" s="225"/>
      <c r="H16" s="685">
        <f>HLOOKUP(Attach,$K$5:$S$29,$J16,FALSE)</f>
        <v>10881933.35</v>
      </c>
      <c r="J16" s="75">
        <f t="shared" si="0"/>
        <v>12</v>
      </c>
      <c r="K16" s="971">
        <f>'Stmt H'!X43</f>
        <v>10881933.35</v>
      </c>
      <c r="L16" s="971">
        <f>'Stmt H'!Y43</f>
        <v>0</v>
      </c>
      <c r="M16" s="937">
        <f>+K16+L16</f>
        <v>10881933.35</v>
      </c>
    </row>
    <row r="17" spans="1:13" s="62" customFormat="1">
      <c r="A17" s="227">
        <f t="shared" si="1"/>
        <v>10</v>
      </c>
      <c r="B17" s="455"/>
      <c r="C17" s="223"/>
      <c r="D17" s="246"/>
      <c r="E17" s="223"/>
      <c r="F17" s="222"/>
      <c r="G17" s="225"/>
      <c r="H17" s="685"/>
      <c r="J17" s="75">
        <f t="shared" si="0"/>
        <v>13</v>
      </c>
      <c r="K17" s="489"/>
      <c r="L17" s="489"/>
      <c r="M17" s="75"/>
    </row>
    <row r="18" spans="1:13" s="62" customFormat="1">
      <c r="A18" s="227">
        <f t="shared" si="1"/>
        <v>11</v>
      </c>
      <c r="B18" s="455">
        <v>808.2</v>
      </c>
      <c r="C18" s="223"/>
      <c r="D18" s="246" t="s">
        <v>578</v>
      </c>
      <c r="E18" s="223"/>
      <c r="F18" s="222" t="s">
        <v>1415</v>
      </c>
      <c r="G18" s="225"/>
      <c r="H18" s="685">
        <f>HLOOKUP(Attach,$K$5:$S$29,$J18,FALSE)</f>
        <v>-9373034.5299999975</v>
      </c>
      <c r="J18" s="75">
        <f t="shared" si="0"/>
        <v>14</v>
      </c>
      <c r="K18" s="971">
        <f>'Stmt H'!X44</f>
        <v>-9373034.5299999975</v>
      </c>
      <c r="L18" s="971">
        <f>'Stmt H'!Y44</f>
        <v>0</v>
      </c>
      <c r="M18" s="937">
        <f>+K18+L18</f>
        <v>-9373034.5299999975</v>
      </c>
    </row>
    <row r="19" spans="1:13">
      <c r="A19" s="227">
        <f t="shared" si="1"/>
        <v>12</v>
      </c>
      <c r="B19" s="243"/>
      <c r="C19" s="223"/>
      <c r="D19" s="240"/>
      <c r="E19" s="223"/>
      <c r="F19" s="222"/>
      <c r="G19" s="225"/>
      <c r="H19" s="685"/>
      <c r="I19" s="62"/>
      <c r="J19" s="75">
        <f t="shared" si="0"/>
        <v>15</v>
      </c>
      <c r="K19" s="489"/>
      <c r="L19" s="489"/>
      <c r="M19" s="75"/>
    </row>
    <row r="20" spans="1:13">
      <c r="A20" s="227">
        <f t="shared" si="1"/>
        <v>13</v>
      </c>
      <c r="B20" s="243">
        <v>812</v>
      </c>
      <c r="C20" s="223"/>
      <c r="D20" s="245" t="s">
        <v>384</v>
      </c>
      <c r="E20" s="223"/>
      <c r="F20" s="222" t="s">
        <v>1415</v>
      </c>
      <c r="G20" s="225"/>
      <c r="H20" s="685">
        <f>HLOOKUP(Attach,$K$5:$S$29,$J20,FALSE)</f>
        <v>-17200.079999999998</v>
      </c>
      <c r="I20" s="62"/>
      <c r="J20" s="75">
        <f t="shared" si="0"/>
        <v>16</v>
      </c>
      <c r="K20" s="971">
        <f>'Stmt H'!X45</f>
        <v>-17200.079999999998</v>
      </c>
      <c r="L20" s="971">
        <f>'Stmt H'!Y45</f>
        <v>0</v>
      </c>
      <c r="M20" s="937">
        <f>+K20+L20</f>
        <v>-17200.079999999998</v>
      </c>
    </row>
    <row r="21" spans="1:13" s="62" customFormat="1">
      <c r="A21" s="227">
        <f t="shared" si="1"/>
        <v>14</v>
      </c>
      <c r="B21" s="243"/>
      <c r="C21" s="223"/>
      <c r="D21" s="245"/>
      <c r="E21" s="223"/>
      <c r="F21" s="222"/>
      <c r="G21" s="225"/>
      <c r="H21" s="685"/>
      <c r="J21" s="75">
        <f t="shared" si="0"/>
        <v>17</v>
      </c>
      <c r="K21" s="489"/>
      <c r="L21" s="489"/>
      <c r="M21" s="75"/>
    </row>
    <row r="22" spans="1:13" s="62" customFormat="1">
      <c r="A22" s="227">
        <f t="shared" si="1"/>
        <v>15</v>
      </c>
      <c r="B22" s="243">
        <v>813</v>
      </c>
      <c r="C22" s="223"/>
      <c r="D22" s="245" t="s">
        <v>383</v>
      </c>
      <c r="E22" s="223"/>
      <c r="F22" s="222" t="s">
        <v>1416</v>
      </c>
      <c r="G22" s="225"/>
      <c r="H22" s="686">
        <f>HLOOKUP(Attach,$K$5:$S$29,$J22,FALSE)</f>
        <v>0</v>
      </c>
      <c r="J22" s="75">
        <f t="shared" ref="J22:J24" si="2">J21+1</f>
        <v>18</v>
      </c>
      <c r="K22" s="971">
        <f>'Stmt H'!X46</f>
        <v>0</v>
      </c>
      <c r="L22" s="971">
        <f>'Stmt H'!Y46</f>
        <v>0</v>
      </c>
      <c r="M22" s="937">
        <f>+K22+L22</f>
        <v>0</v>
      </c>
    </row>
    <row r="23" spans="1:13">
      <c r="A23" s="227">
        <f t="shared" si="1"/>
        <v>16</v>
      </c>
      <c r="B23" s="243"/>
      <c r="C23" s="223"/>
      <c r="E23" s="223"/>
      <c r="F23" s="225"/>
      <c r="G23" s="225"/>
      <c r="H23" s="230"/>
      <c r="J23" s="75">
        <f t="shared" si="2"/>
        <v>19</v>
      </c>
      <c r="K23" s="75"/>
      <c r="L23" s="75"/>
    </row>
    <row r="24" spans="1:13" ht="13.5" thickBot="1">
      <c r="A24" s="227">
        <f t="shared" si="1"/>
        <v>17</v>
      </c>
      <c r="B24" s="224"/>
      <c r="C24" s="223"/>
      <c r="D24" s="242" t="s">
        <v>491</v>
      </c>
      <c r="E24" s="225"/>
      <c r="F24" s="222" t="s">
        <v>836</v>
      </c>
      <c r="G24" s="222"/>
      <c r="H24" s="692">
        <f>SUM(H8:H22)</f>
        <v>75525851.089999989</v>
      </c>
      <c r="I24" s="244"/>
      <c r="J24" s="75">
        <f t="shared" si="2"/>
        <v>20</v>
      </c>
      <c r="K24" s="75"/>
      <c r="L24" s="75"/>
    </row>
    <row r="25" spans="1:13" ht="13.5" thickTop="1">
      <c r="A25" s="227">
        <f t="shared" si="1"/>
        <v>18</v>
      </c>
      <c r="B25" s="2"/>
      <c r="D25" s="20"/>
      <c r="I25" s="244"/>
      <c r="J25" s="75"/>
      <c r="K25" s="75"/>
      <c r="L25" s="75"/>
    </row>
    <row r="26" spans="1:13" s="62" customFormat="1">
      <c r="A26" s="227"/>
      <c r="B26" s="2"/>
      <c r="D26" s="20"/>
      <c r="H26" s="328"/>
      <c r="I26" s="244"/>
      <c r="K26" s="75"/>
      <c r="L26" s="75"/>
    </row>
    <row r="27" spans="1:13" s="62" customFormat="1">
      <c r="A27" s="227"/>
      <c r="B27" s="650"/>
      <c r="C27" s="14"/>
      <c r="D27" s="20"/>
      <c r="E27" s="14"/>
      <c r="F27" s="14"/>
      <c r="G27" s="14"/>
      <c r="H27" s="14"/>
      <c r="I27" s="244"/>
    </row>
    <row r="28" spans="1:13" s="62" customFormat="1">
      <c r="A28" s="227"/>
      <c r="B28" s="2"/>
      <c r="D28" s="20"/>
      <c r="H28" s="244"/>
      <c r="I28" s="244"/>
    </row>
    <row r="29" spans="1:13" s="62" customFormat="1">
      <c r="B29" s="2"/>
      <c r="D29" s="20"/>
      <c r="I29" s="244"/>
    </row>
    <row r="30" spans="1:13">
      <c r="B30" s="2"/>
      <c r="D30" s="23"/>
      <c r="F30" s="208"/>
      <c r="H30" s="326"/>
    </row>
    <row r="31" spans="1:13">
      <c r="B31" s="2"/>
      <c r="D31" s="14"/>
      <c r="H31" s="3"/>
      <c r="I31" s="244"/>
    </row>
    <row r="32" spans="1:13">
      <c r="B32" s="2"/>
      <c r="D32" s="14"/>
      <c r="H32" s="327"/>
      <c r="J32" s="208"/>
    </row>
    <row r="33" spans="2:8">
      <c r="B33" s="2"/>
      <c r="H33" s="327"/>
    </row>
    <row r="34" spans="2:8">
      <c r="B34" s="2"/>
      <c r="H34" s="327"/>
    </row>
    <row r="35" spans="2:8">
      <c r="B35" s="2"/>
      <c r="H35" s="327"/>
    </row>
    <row r="36" spans="2:8">
      <c r="B36" s="2"/>
    </row>
  </sheetData>
  <pageMargins left="0.95" right="0.7" top="0.75" bottom="0.75" header="0.3" footer="0.3"/>
  <pageSetup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146"/>
  <sheetViews>
    <sheetView workbookViewId="0"/>
  </sheetViews>
  <sheetFormatPr defaultColWidth="9.33203125" defaultRowHeight="12.75"/>
  <cols>
    <col min="1" max="1" width="6.83203125" style="537" customWidth="1"/>
    <col min="2" max="2" width="10.33203125" style="537" customWidth="1"/>
    <col min="3" max="3" width="3.33203125" style="537" customWidth="1"/>
    <col min="4" max="4" width="71.33203125" style="537" customWidth="1"/>
    <col min="5" max="5" width="3.33203125" style="537" customWidth="1"/>
    <col min="6" max="6" width="16.83203125" style="340" customWidth="1"/>
    <col min="7" max="7" width="3.33203125" style="340" customWidth="1"/>
    <col min="8" max="8" width="16.83203125" style="340" customWidth="1"/>
    <col min="9" max="9" width="3.33203125" style="340" customWidth="1"/>
    <col min="10" max="10" width="22.33203125" style="340" customWidth="1"/>
    <col min="11" max="11" width="9.33203125" style="340" customWidth="1"/>
    <col min="12" max="12" width="5.1640625" style="340" customWidth="1"/>
    <col min="13" max="14" width="12.83203125" style="961" customWidth="1"/>
    <col min="15" max="15" width="12.83203125" style="513" customWidth="1"/>
    <col min="16" max="16" width="7" style="961" customWidth="1"/>
    <col min="17" max="17" width="8" style="340" bestFit="1" customWidth="1"/>
    <col min="18" max="20" width="12.83203125" style="340" customWidth="1"/>
    <col min="21" max="22" width="9.33203125" style="340"/>
    <col min="23" max="23" width="26.1640625" style="340" bestFit="1" customWidth="1"/>
    <col min="24" max="24" width="9.33203125" style="340"/>
    <col min="25" max="25" width="26.1640625" style="340" bestFit="1" customWidth="1"/>
    <col min="26" max="26" width="9.33203125" style="340"/>
    <col min="27" max="27" width="26.1640625" style="340" bestFit="1" customWidth="1"/>
    <col min="28" max="28" width="9.33203125" style="340" customWidth="1"/>
    <col min="29" max="29" width="46.83203125" style="340" bestFit="1" customWidth="1"/>
    <col min="30" max="16384" width="9.33203125" style="340"/>
  </cols>
  <sheetData>
    <row r="1" spans="1:29">
      <c r="A1" s="513" t="str">
        <f>Company</f>
        <v>BLACK HILLS NEBRASKA GAS, LLC</v>
      </c>
      <c r="B1" s="510"/>
      <c r="C1" s="511"/>
      <c r="D1" s="511"/>
      <c r="E1" s="511"/>
      <c r="J1" s="542" t="str">
        <f>Attach</f>
        <v>FINAL - BH January 15, 2021 Rev. Req. Model</v>
      </c>
    </row>
    <row r="2" spans="1:29">
      <c r="A2" s="543" t="s">
        <v>707</v>
      </c>
      <c r="B2" s="510"/>
      <c r="C2" s="511"/>
      <c r="D2" s="511"/>
      <c r="E2" s="511"/>
      <c r="J2" s="544" t="s">
        <v>792</v>
      </c>
    </row>
    <row r="3" spans="1:29">
      <c r="A3" s="70" t="str">
        <f>TYEnded</f>
        <v>FOR THE TEST YEAR ENDING DECEMBER 31, 2020</v>
      </c>
      <c r="B3" s="510"/>
      <c r="C3" s="511"/>
      <c r="D3" s="511"/>
      <c r="E3" s="511"/>
      <c r="F3" s="541"/>
      <c r="G3" s="541"/>
      <c r="H3" s="1646"/>
      <c r="I3" s="541"/>
    </row>
    <row r="4" spans="1:29">
      <c r="A4" s="510"/>
      <c r="B4" s="510"/>
      <c r="C4" s="511"/>
      <c r="D4" s="511"/>
      <c r="E4" s="511"/>
      <c r="F4" s="541"/>
      <c r="G4" s="541"/>
      <c r="H4" s="1646"/>
      <c r="I4" s="541"/>
    </row>
    <row r="5" spans="1:29">
      <c r="A5" s="510"/>
      <c r="B5" s="510"/>
      <c r="C5" s="511"/>
      <c r="D5" s="1512"/>
      <c r="E5" s="511"/>
      <c r="F5" s="512"/>
      <c r="G5" s="512"/>
      <c r="H5" s="512"/>
      <c r="I5" s="512"/>
    </row>
    <row r="6" spans="1:29">
      <c r="A6" s="515"/>
      <c r="B6" s="515"/>
      <c r="C6" s="515"/>
      <c r="D6" s="515"/>
      <c r="E6" s="515"/>
      <c r="F6" s="512" t="s">
        <v>199</v>
      </c>
      <c r="G6" s="512"/>
      <c r="H6" s="512" t="s">
        <v>200</v>
      </c>
      <c r="I6" s="512"/>
      <c r="J6" s="512" t="s">
        <v>297</v>
      </c>
    </row>
    <row r="7" spans="1:29">
      <c r="A7" s="516"/>
      <c r="B7" s="516"/>
      <c r="C7" s="517"/>
      <c r="D7" s="516"/>
      <c r="E7" s="518"/>
      <c r="F7" s="512" t="s">
        <v>810</v>
      </c>
      <c r="G7" s="512"/>
      <c r="H7" s="512" t="s">
        <v>21</v>
      </c>
      <c r="I7" s="512"/>
      <c r="J7" s="512" t="s">
        <v>458</v>
      </c>
      <c r="K7" s="541"/>
      <c r="L7" s="1780" t="s">
        <v>405</v>
      </c>
      <c r="M7" s="1780"/>
      <c r="N7" s="1780"/>
      <c r="O7" s="1780"/>
      <c r="Q7" s="1780" t="s">
        <v>545</v>
      </c>
      <c r="R7" s="1780"/>
      <c r="S7" s="1780"/>
      <c r="T7" s="1780"/>
      <c r="W7" s="340" t="s">
        <v>1582</v>
      </c>
      <c r="Y7" s="340" t="s">
        <v>1582</v>
      </c>
      <c r="AA7" s="340" t="s">
        <v>1617</v>
      </c>
      <c r="AC7" s="340" t="s">
        <v>1654</v>
      </c>
    </row>
    <row r="8" spans="1:29" ht="26.45" customHeight="1">
      <c r="A8" s="375" t="s">
        <v>59</v>
      </c>
      <c r="B8" s="517" t="s">
        <v>241</v>
      </c>
      <c r="C8" s="516"/>
      <c r="D8" s="516"/>
      <c r="E8" s="339"/>
      <c r="F8" s="375" t="s">
        <v>405</v>
      </c>
      <c r="G8" s="512"/>
      <c r="H8" s="375" t="s">
        <v>456</v>
      </c>
      <c r="I8" s="512"/>
      <c r="J8" s="1620" t="s">
        <v>1455</v>
      </c>
      <c r="K8" s="541"/>
      <c r="L8" s="514">
        <v>1</v>
      </c>
      <c r="M8" s="82" t="str">
        <f>References!$C$17</f>
        <v>Exhibit No. MCC-2 NEG</v>
      </c>
      <c r="N8" s="82" t="str">
        <f>References!$D$17</f>
        <v>Exhibit No. MCC-2 NEGD</v>
      </c>
      <c r="O8" s="75" t="str">
        <f>References!$E$17</f>
        <v>FINAL - BH January 15, 2021 Rev. Req. Model</v>
      </c>
      <c r="P8" s="962"/>
      <c r="Q8" s="514">
        <v>1</v>
      </c>
      <c r="R8" s="75" t="str">
        <f>References!$C$17</f>
        <v>Exhibit No. MCC-2 NEG</v>
      </c>
      <c r="S8" s="75" t="str">
        <f>References!$D$17</f>
        <v>Exhibit No. MCC-2 NEGD</v>
      </c>
      <c r="T8" s="75" t="str">
        <f>References!$E$17</f>
        <v>FINAL - BH January 15, 2021 Rev. Req. Model</v>
      </c>
      <c r="W8" s="340" t="s">
        <v>1583</v>
      </c>
      <c r="Y8" s="340" t="s">
        <v>1583</v>
      </c>
      <c r="AA8" s="340" t="s">
        <v>1583</v>
      </c>
      <c r="AC8" s="340" t="s">
        <v>1583</v>
      </c>
    </row>
    <row r="9" spans="1:29" ht="14.25" customHeight="1">
      <c r="A9" s="376" t="s">
        <v>195</v>
      </c>
      <c r="B9" s="520" t="s">
        <v>516</v>
      </c>
      <c r="C9" s="521" t="s">
        <v>196</v>
      </c>
      <c r="D9" s="521"/>
      <c r="E9" s="378"/>
      <c r="F9" s="378" t="s">
        <v>229</v>
      </c>
      <c r="G9" s="522"/>
      <c r="H9" s="378" t="s">
        <v>457</v>
      </c>
      <c r="I9" s="522"/>
      <c r="J9" s="404" t="s">
        <v>12</v>
      </c>
      <c r="K9" s="541"/>
      <c r="L9" s="514">
        <f t="shared" ref="L9:L102" si="0">1+L8</f>
        <v>2</v>
      </c>
      <c r="M9" s="82" t="str">
        <f>References!C$18</f>
        <v>NEG</v>
      </c>
      <c r="N9" s="82" t="str">
        <f>References!D$18</f>
        <v>NEGD</v>
      </c>
      <c r="O9" s="75" t="str">
        <f>References!E$18</f>
        <v>Tot Co</v>
      </c>
      <c r="P9" s="962"/>
      <c r="Q9" s="514">
        <f>1+Q8</f>
        <v>2</v>
      </c>
      <c r="R9" s="75" t="str">
        <f>References!C18</f>
        <v>NEG</v>
      </c>
      <c r="S9" s="75" t="str">
        <f>References!D18</f>
        <v>NEGD</v>
      </c>
      <c r="T9" s="75" t="str">
        <f>References!E18</f>
        <v>Tot Co</v>
      </c>
    </row>
    <row r="10" spans="1:29">
      <c r="A10" s="523"/>
      <c r="B10" s="524"/>
      <c r="C10" s="525"/>
      <c r="D10" s="525"/>
      <c r="E10" s="526"/>
      <c r="L10" s="514">
        <f t="shared" si="0"/>
        <v>3</v>
      </c>
      <c r="M10" s="962"/>
      <c r="N10" s="962"/>
      <c r="O10" s="519"/>
      <c r="Q10" s="514">
        <f t="shared" ref="Q10:Q103" si="1">1+Q9</f>
        <v>3</v>
      </c>
      <c r="R10" s="527"/>
      <c r="S10" s="527"/>
      <c r="T10" s="514"/>
    </row>
    <row r="11" spans="1:29">
      <c r="A11" s="523">
        <v>1</v>
      </c>
      <c r="B11" s="524"/>
      <c r="C11" s="67" t="s">
        <v>696</v>
      </c>
      <c r="D11" s="528"/>
      <c r="E11" s="526"/>
      <c r="F11" s="531"/>
      <c r="G11" s="530"/>
      <c r="H11" s="531"/>
      <c r="I11" s="530"/>
      <c r="J11" s="531"/>
      <c r="L11" s="514">
        <f t="shared" si="0"/>
        <v>4</v>
      </c>
      <c r="M11" s="963"/>
      <c r="N11" s="963"/>
      <c r="O11" s="340"/>
      <c r="P11" s="966"/>
      <c r="Q11" s="514">
        <f t="shared" si="1"/>
        <v>4</v>
      </c>
      <c r="R11" s="527"/>
      <c r="S11" s="527"/>
    </row>
    <row r="12" spans="1:29">
      <c r="A12" s="523">
        <f t="shared" ref="A12:A105" si="2">1+A11</f>
        <v>2</v>
      </c>
      <c r="B12" s="528"/>
      <c r="C12" s="525"/>
      <c r="D12" s="525" t="s">
        <v>163</v>
      </c>
      <c r="E12" s="526"/>
      <c r="L12" s="514">
        <f t="shared" si="0"/>
        <v>5</v>
      </c>
      <c r="M12" s="963"/>
      <c r="N12" s="963"/>
      <c r="O12" s="340"/>
      <c r="P12" s="966"/>
      <c r="Q12" s="514">
        <f t="shared" si="1"/>
        <v>5</v>
      </c>
      <c r="R12" s="527"/>
      <c r="S12" s="527"/>
    </row>
    <row r="13" spans="1:29">
      <c r="A13" s="523">
        <f t="shared" si="2"/>
        <v>3</v>
      </c>
      <c r="B13" s="170">
        <v>754</v>
      </c>
      <c r="C13" s="525"/>
      <c r="D13" s="528" t="str">
        <f>VLOOKUP(B13,'Stmt H'!B:D,3,FALSE)</f>
        <v>Field Compressor Station Expense</v>
      </c>
      <c r="E13" s="526"/>
      <c r="F13" s="556">
        <f>HLOOKUP($J$1,$M$8:$T$144,$L13,FALSE)</f>
        <v>0</v>
      </c>
      <c r="G13" s="530"/>
      <c r="H13" s="556">
        <f>IF($F$143="Y",W13,HLOOKUP($J$1,$R$8:$T$145,Q13,FALSE))</f>
        <v>0</v>
      </c>
      <c r="I13" s="530"/>
      <c r="J13" s="558">
        <f t="shared" ref="J13:J14" si="3">-F13+H13</f>
        <v>0</v>
      </c>
      <c r="L13" s="514">
        <f t="shared" si="0"/>
        <v>6</v>
      </c>
      <c r="M13" s="965">
        <v>0</v>
      </c>
      <c r="N13" s="965">
        <v>0</v>
      </c>
      <c r="O13" s="937">
        <f>M13+N13</f>
        <v>0</v>
      </c>
      <c r="P13" s="966"/>
      <c r="Q13" s="514">
        <f t="shared" si="1"/>
        <v>6</v>
      </c>
      <c r="R13" s="965">
        <v>0</v>
      </c>
      <c r="S13" s="965">
        <v>0</v>
      </c>
      <c r="T13" s="937">
        <f>R13+S13</f>
        <v>0</v>
      </c>
      <c r="W13" s="340">
        <f>IF($F$146="Y",AC13,IF($F$144="Y",AA13,Y13))</f>
        <v>0</v>
      </c>
      <c r="Y13" s="340">
        <v>0</v>
      </c>
      <c r="AA13" s="340">
        <v>0</v>
      </c>
      <c r="AC13" s="340">
        <v>0</v>
      </c>
    </row>
    <row r="14" spans="1:29">
      <c r="A14" s="523">
        <f t="shared" si="2"/>
        <v>4</v>
      </c>
      <c r="B14" s="801">
        <v>756</v>
      </c>
      <c r="C14" s="525"/>
      <c r="D14" s="528" t="str">
        <f>VLOOKUP(B14,'Stmt H'!B:D,3,FALSE)</f>
        <v>Field Measuring &amp; Regulating Station Expense</v>
      </c>
      <c r="E14" s="526"/>
      <c r="F14" s="656">
        <f>HLOOKUP($J$1,$M$8:$T$144,$L14,FALSE)</f>
        <v>0</v>
      </c>
      <c r="G14" s="530"/>
      <c r="H14" s="656">
        <f>IF($F$143="Y",W14,HLOOKUP($J$1,$R$8:$T$145,Q14,FALSE))</f>
        <v>0</v>
      </c>
      <c r="I14" s="530"/>
      <c r="J14" s="769">
        <f t="shared" si="3"/>
        <v>0</v>
      </c>
      <c r="L14" s="514">
        <f t="shared" si="0"/>
        <v>7</v>
      </c>
      <c r="M14" s="965">
        <v>0</v>
      </c>
      <c r="N14" s="965">
        <v>0</v>
      </c>
      <c r="O14" s="937">
        <f t="shared" ref="O14:O15" si="4">M14+N14</f>
        <v>0</v>
      </c>
      <c r="P14" s="966"/>
      <c r="Q14" s="514">
        <f t="shared" si="1"/>
        <v>7</v>
      </c>
      <c r="R14" s="965">
        <v>0</v>
      </c>
      <c r="S14" s="965">
        <v>0</v>
      </c>
      <c r="T14" s="937">
        <f t="shared" ref="T14:T15" si="5">R14+S14</f>
        <v>0</v>
      </c>
      <c r="W14" s="340">
        <f t="shared" ref="W14:W77" si="6">IF($F$146="Y",AC14,IF($F$144="Y",AA14,Y14))</f>
        <v>0</v>
      </c>
      <c r="Y14" s="340">
        <v>0</v>
      </c>
      <c r="AA14" s="340">
        <v>0</v>
      </c>
      <c r="AC14" s="340">
        <v>0</v>
      </c>
    </row>
    <row r="15" spans="1:29">
      <c r="A15" s="523">
        <f t="shared" si="2"/>
        <v>5</v>
      </c>
      <c r="B15" s="528"/>
      <c r="C15" s="525" t="s">
        <v>164</v>
      </c>
      <c r="D15" s="525"/>
      <c r="E15" s="526"/>
      <c r="F15" s="767">
        <f>SUM(F13:F14)</f>
        <v>0</v>
      </c>
      <c r="G15" s="530"/>
      <c r="H15" s="767">
        <f>SUM(H13:H14)</f>
        <v>0</v>
      </c>
      <c r="I15" s="530"/>
      <c r="J15" s="767">
        <f>SUM(J13:J14)</f>
        <v>0</v>
      </c>
      <c r="L15" s="514">
        <f t="shared" si="0"/>
        <v>8</v>
      </c>
      <c r="M15" s="937">
        <f>SUM(M13:M14)</f>
        <v>0</v>
      </c>
      <c r="N15" s="937">
        <f>SUM(N13:N14)</f>
        <v>0</v>
      </c>
      <c r="O15" s="937">
        <f t="shared" si="4"/>
        <v>0</v>
      </c>
      <c r="P15" s="966"/>
      <c r="Q15" s="514">
        <f t="shared" si="1"/>
        <v>8</v>
      </c>
      <c r="R15" s="937">
        <f>SUM(R13:R14)</f>
        <v>0</v>
      </c>
      <c r="S15" s="937">
        <f>SUM(S13:S14)</f>
        <v>0</v>
      </c>
      <c r="T15" s="937">
        <f t="shared" si="5"/>
        <v>0</v>
      </c>
      <c r="W15" s="340">
        <f t="shared" si="6"/>
        <v>0</v>
      </c>
      <c r="Y15" s="340">
        <v>0</v>
      </c>
      <c r="AA15" s="340">
        <v>0</v>
      </c>
      <c r="AC15" s="340">
        <v>0</v>
      </c>
    </row>
    <row r="16" spans="1:29">
      <c r="A16" s="523">
        <f t="shared" si="2"/>
        <v>6</v>
      </c>
      <c r="B16" s="528"/>
      <c r="C16" s="525"/>
      <c r="D16" s="525"/>
      <c r="E16" s="526"/>
      <c r="F16" s="531"/>
      <c r="G16" s="530"/>
      <c r="H16" s="531"/>
      <c r="I16" s="530"/>
      <c r="J16" s="531"/>
      <c r="L16" s="514">
        <f t="shared" si="0"/>
        <v>9</v>
      </c>
      <c r="M16" s="963"/>
      <c r="N16" s="963"/>
      <c r="O16" s="506"/>
      <c r="P16" s="966"/>
      <c r="Q16" s="962">
        <f t="shared" si="1"/>
        <v>9</v>
      </c>
      <c r="R16" s="1610"/>
      <c r="S16" s="1610"/>
      <c r="T16" s="506"/>
      <c r="W16" s="340">
        <f t="shared" si="6"/>
        <v>0</v>
      </c>
    </row>
    <row r="17" spans="1:29">
      <c r="A17" s="523">
        <f t="shared" si="2"/>
        <v>7</v>
      </c>
      <c r="B17" s="528"/>
      <c r="C17" s="525"/>
      <c r="D17" s="735" t="s">
        <v>166</v>
      </c>
      <c r="E17" s="526"/>
      <c r="F17" s="531"/>
      <c r="G17" s="530"/>
      <c r="H17" s="531"/>
      <c r="I17" s="530"/>
      <c r="J17" s="531"/>
      <c r="L17" s="514">
        <f t="shared" si="0"/>
        <v>10</v>
      </c>
      <c r="M17" s="963"/>
      <c r="N17" s="963"/>
      <c r="O17" s="506"/>
      <c r="P17" s="966"/>
      <c r="Q17" s="962">
        <f t="shared" si="1"/>
        <v>10</v>
      </c>
      <c r="R17" s="1610"/>
      <c r="S17" s="1610"/>
      <c r="T17" s="506"/>
      <c r="W17" s="340">
        <f t="shared" si="6"/>
        <v>0</v>
      </c>
    </row>
    <row r="18" spans="1:29">
      <c r="A18" s="523">
        <f t="shared" si="2"/>
        <v>8</v>
      </c>
      <c r="B18" s="801">
        <v>766</v>
      </c>
      <c r="C18" s="525"/>
      <c r="D18" s="528" t="str">
        <f>VLOOKUP(B18,'Stmt H'!B:D,3,FALSE)</f>
        <v>Maintenance of Field Measuring &amp; Regulating Station Equipment</v>
      </c>
      <c r="E18" s="526"/>
      <c r="F18" s="556">
        <f>HLOOKUP($J$1,$M$8:$T$144,$L18,FALSE)</f>
        <v>0</v>
      </c>
      <c r="G18" s="530"/>
      <c r="H18" s="556">
        <f>IF($F$143="Y",W18,HLOOKUP($J$1,$R$8:$T$145,Q18,FALSE))</f>
        <v>0</v>
      </c>
      <c r="I18" s="530"/>
      <c r="J18" s="558">
        <f t="shared" ref="J18:J19" si="7">-F18+H18</f>
        <v>0</v>
      </c>
      <c r="L18" s="514">
        <f t="shared" si="0"/>
        <v>11</v>
      </c>
      <c r="M18" s="965">
        <v>0</v>
      </c>
      <c r="N18" s="965">
        <v>0</v>
      </c>
      <c r="O18" s="937">
        <f t="shared" ref="O18:O20" si="8">M18+N18</f>
        <v>0</v>
      </c>
      <c r="P18" s="966"/>
      <c r="Q18" s="514">
        <f t="shared" si="1"/>
        <v>11</v>
      </c>
      <c r="R18" s="965">
        <v>0</v>
      </c>
      <c r="S18" s="965">
        <v>0</v>
      </c>
      <c r="T18" s="937">
        <f t="shared" ref="T18:T20" si="9">R18+S18</f>
        <v>0</v>
      </c>
      <c r="W18" s="340">
        <f t="shared" si="6"/>
        <v>0</v>
      </c>
      <c r="Y18" s="340">
        <v>0</v>
      </c>
      <c r="AA18" s="340">
        <v>0</v>
      </c>
      <c r="AC18" s="340">
        <v>0</v>
      </c>
    </row>
    <row r="19" spans="1:29">
      <c r="A19" s="523">
        <f t="shared" si="2"/>
        <v>9</v>
      </c>
      <c r="B19" s="801">
        <v>767</v>
      </c>
      <c r="C19" s="525"/>
      <c r="D19" s="528" t="str">
        <f>VLOOKUP(B19,'Stmt H'!B:D,3,FALSE)</f>
        <v>Maintenance of Purification Equipment</v>
      </c>
      <c r="E19" s="526"/>
      <c r="F19" s="656">
        <f>HLOOKUP($J$1,$M$8:$T$144,$L19,FALSE)</f>
        <v>0</v>
      </c>
      <c r="G19" s="530"/>
      <c r="H19" s="656">
        <f>IF($F$143="Y",W19,HLOOKUP($J$1,$R$8:$T$145,Q19,FALSE))</f>
        <v>0</v>
      </c>
      <c r="I19" s="530"/>
      <c r="J19" s="769">
        <f t="shared" si="7"/>
        <v>0</v>
      </c>
      <c r="L19" s="514">
        <f t="shared" si="0"/>
        <v>12</v>
      </c>
      <c r="M19" s="965">
        <v>0</v>
      </c>
      <c r="N19" s="965">
        <v>0</v>
      </c>
      <c r="O19" s="937">
        <f t="shared" si="8"/>
        <v>0</v>
      </c>
      <c r="P19" s="966"/>
      <c r="Q19" s="514">
        <f t="shared" si="1"/>
        <v>12</v>
      </c>
      <c r="R19" s="965">
        <v>0</v>
      </c>
      <c r="S19" s="965">
        <v>0</v>
      </c>
      <c r="T19" s="937">
        <f t="shared" si="9"/>
        <v>0</v>
      </c>
      <c r="W19" s="340">
        <f t="shared" si="6"/>
        <v>0</v>
      </c>
      <c r="Y19" s="340">
        <v>0</v>
      </c>
      <c r="AA19" s="340">
        <v>0</v>
      </c>
      <c r="AC19" s="340">
        <v>0</v>
      </c>
    </row>
    <row r="20" spans="1:29">
      <c r="A20" s="523">
        <f t="shared" si="2"/>
        <v>10</v>
      </c>
      <c r="B20" s="528"/>
      <c r="C20" s="525" t="s">
        <v>167</v>
      </c>
      <c r="D20" s="525"/>
      <c r="E20" s="526"/>
      <c r="F20" s="767">
        <f>SUM(F18:F19)</f>
        <v>0</v>
      </c>
      <c r="G20" s="493"/>
      <c r="H20" s="767">
        <f>SUM(H18:H19)</f>
        <v>0</v>
      </c>
      <c r="I20" s="493"/>
      <c r="J20" s="767">
        <f>SUM(J18:J19)</f>
        <v>0</v>
      </c>
      <c r="L20" s="514">
        <f t="shared" si="0"/>
        <v>13</v>
      </c>
      <c r="M20" s="937">
        <f>SUM(M18:M19)</f>
        <v>0</v>
      </c>
      <c r="N20" s="937">
        <f>SUM(N18:N19)</f>
        <v>0</v>
      </c>
      <c r="O20" s="937">
        <f t="shared" si="8"/>
        <v>0</v>
      </c>
      <c r="P20" s="966"/>
      <c r="Q20" s="514">
        <f t="shared" si="1"/>
        <v>13</v>
      </c>
      <c r="R20" s="937">
        <f>SUM(R18:R19)</f>
        <v>0</v>
      </c>
      <c r="S20" s="937">
        <f>SUM(S18:S19)</f>
        <v>0</v>
      </c>
      <c r="T20" s="937">
        <f t="shared" si="9"/>
        <v>0</v>
      </c>
      <c r="W20" s="340">
        <f t="shared" si="6"/>
        <v>0</v>
      </c>
      <c r="Y20" s="340">
        <v>0</v>
      </c>
      <c r="AA20" s="340">
        <v>0</v>
      </c>
      <c r="AC20" s="340">
        <v>0</v>
      </c>
    </row>
    <row r="21" spans="1:29">
      <c r="A21" s="523">
        <f t="shared" si="2"/>
        <v>11</v>
      </c>
      <c r="B21" s="528"/>
      <c r="C21" s="525"/>
      <c r="D21" s="525"/>
      <c r="E21" s="526"/>
      <c r="F21" s="531"/>
      <c r="G21" s="530"/>
      <c r="H21" s="531"/>
      <c r="I21" s="530"/>
      <c r="J21" s="531"/>
      <c r="L21" s="514">
        <f t="shared" si="0"/>
        <v>14</v>
      </c>
      <c r="M21" s="963"/>
      <c r="N21" s="963"/>
      <c r="O21" s="506"/>
      <c r="P21" s="966"/>
      <c r="Q21" s="962">
        <f t="shared" si="1"/>
        <v>14</v>
      </c>
      <c r="R21" s="1610"/>
      <c r="S21" s="1610"/>
      <c r="T21" s="506"/>
      <c r="W21" s="340">
        <f t="shared" si="6"/>
        <v>0</v>
      </c>
    </row>
    <row r="22" spans="1:29">
      <c r="A22" s="523">
        <f t="shared" si="2"/>
        <v>12</v>
      </c>
      <c r="B22" s="528"/>
      <c r="C22" s="735" t="s">
        <v>699</v>
      </c>
      <c r="D22" s="245"/>
      <c r="E22" s="526"/>
      <c r="F22" s="531"/>
      <c r="G22" s="530"/>
      <c r="H22" s="531"/>
      <c r="I22" s="530"/>
      <c r="J22" s="531"/>
      <c r="L22" s="514">
        <f t="shared" si="0"/>
        <v>15</v>
      </c>
      <c r="M22" s="963"/>
      <c r="N22" s="963"/>
      <c r="O22" s="506"/>
      <c r="P22" s="966"/>
      <c r="Q22" s="962">
        <f t="shared" si="1"/>
        <v>15</v>
      </c>
      <c r="R22" s="1610"/>
      <c r="S22" s="1610"/>
      <c r="T22" s="506"/>
      <c r="W22" s="340">
        <f t="shared" si="6"/>
        <v>0</v>
      </c>
    </row>
    <row r="23" spans="1:29">
      <c r="A23" s="523">
        <f t="shared" si="2"/>
        <v>13</v>
      </c>
      <c r="B23" s="528"/>
      <c r="C23" s="735"/>
      <c r="D23" s="735" t="s">
        <v>163</v>
      </c>
      <c r="E23" s="526"/>
      <c r="F23" s="531"/>
      <c r="G23" s="530"/>
      <c r="H23" s="531"/>
      <c r="I23" s="530"/>
      <c r="J23" s="531"/>
      <c r="L23" s="514">
        <f t="shared" si="0"/>
        <v>16</v>
      </c>
      <c r="M23" s="963"/>
      <c r="N23" s="963"/>
      <c r="O23" s="506"/>
      <c r="P23" s="966"/>
      <c r="Q23" s="962">
        <f t="shared" si="1"/>
        <v>16</v>
      </c>
      <c r="R23" s="1610"/>
      <c r="S23" s="1610"/>
      <c r="T23" s="506"/>
      <c r="W23" s="340">
        <f t="shared" si="6"/>
        <v>0</v>
      </c>
    </row>
    <row r="24" spans="1:29">
      <c r="A24" s="523">
        <f t="shared" si="2"/>
        <v>14</v>
      </c>
      <c r="B24" s="801">
        <v>816</v>
      </c>
      <c r="C24" s="525"/>
      <c r="D24" s="528" t="str">
        <f>VLOOKUP(B24,'Stmt H'!B:D,3,FALSE)</f>
        <v>Wells Expense</v>
      </c>
      <c r="E24" s="526"/>
      <c r="F24" s="556">
        <f>HLOOKUP($J$1,$M$8:$T$144,$L24,FALSE)</f>
        <v>0</v>
      </c>
      <c r="G24" s="530"/>
      <c r="H24" s="556">
        <f t="shared" ref="H24:H28" si="10">IF($F$143="Y",W24,HLOOKUP($J$1,$R$8:$T$145,Q24,FALSE))</f>
        <v>0</v>
      </c>
      <c r="I24" s="530"/>
      <c r="J24" s="558">
        <f t="shared" ref="J24:J28" si="11">-F24+H24</f>
        <v>0</v>
      </c>
      <c r="L24" s="514">
        <f t="shared" si="0"/>
        <v>17</v>
      </c>
      <c r="M24" s="965">
        <v>0</v>
      </c>
      <c r="N24" s="965">
        <v>0</v>
      </c>
      <c r="O24" s="937">
        <f t="shared" ref="O24:O29" si="12">M24+N24</f>
        <v>0</v>
      </c>
      <c r="P24" s="966"/>
      <c r="Q24" s="514">
        <f t="shared" si="1"/>
        <v>17</v>
      </c>
      <c r="R24" s="965">
        <v>0</v>
      </c>
      <c r="S24" s="965">
        <v>0</v>
      </c>
      <c r="T24" s="937">
        <f t="shared" ref="T24:T29" si="13">R24+S24</f>
        <v>0</v>
      </c>
      <c r="W24" s="340">
        <f t="shared" si="6"/>
        <v>0</v>
      </c>
      <c r="Y24" s="340">
        <v>0</v>
      </c>
      <c r="AA24" s="340">
        <v>0</v>
      </c>
      <c r="AC24" s="340">
        <v>0</v>
      </c>
    </row>
    <row r="25" spans="1:29">
      <c r="A25" s="523">
        <f t="shared" si="2"/>
        <v>15</v>
      </c>
      <c r="B25" s="801">
        <v>817</v>
      </c>
      <c r="C25" s="525"/>
      <c r="D25" s="528" t="str">
        <f>VLOOKUP(B25,'Stmt H'!B:D,3,FALSE)</f>
        <v>Lines Expense</v>
      </c>
      <c r="E25" s="526"/>
      <c r="F25" s="656">
        <f>HLOOKUP($J$1,$M$8:$T$144,$L25,FALSE)</f>
        <v>0</v>
      </c>
      <c r="G25" s="530"/>
      <c r="H25" s="656">
        <f t="shared" si="10"/>
        <v>0</v>
      </c>
      <c r="I25" s="530"/>
      <c r="J25" s="810">
        <f t="shared" si="11"/>
        <v>0</v>
      </c>
      <c r="L25" s="514">
        <f t="shared" si="0"/>
        <v>18</v>
      </c>
      <c r="M25" s="965">
        <v>0</v>
      </c>
      <c r="N25" s="965">
        <v>0</v>
      </c>
      <c r="O25" s="937">
        <f t="shared" si="12"/>
        <v>0</v>
      </c>
      <c r="P25" s="966"/>
      <c r="Q25" s="514">
        <f t="shared" si="1"/>
        <v>18</v>
      </c>
      <c r="R25" s="965">
        <v>0</v>
      </c>
      <c r="S25" s="965">
        <v>0</v>
      </c>
      <c r="T25" s="937">
        <f t="shared" si="13"/>
        <v>0</v>
      </c>
      <c r="W25" s="340">
        <f t="shared" si="6"/>
        <v>0</v>
      </c>
      <c r="Y25" s="340">
        <v>0</v>
      </c>
      <c r="AA25" s="340">
        <v>0</v>
      </c>
      <c r="AC25" s="340">
        <v>0</v>
      </c>
    </row>
    <row r="26" spans="1:29">
      <c r="A26" s="523">
        <f t="shared" si="2"/>
        <v>16</v>
      </c>
      <c r="B26" s="801">
        <v>818</v>
      </c>
      <c r="C26" s="525"/>
      <c r="D26" s="528" t="str">
        <f>VLOOKUP(B26,'Stmt H'!B:D,3,FALSE)</f>
        <v>Compressor Station Expense</v>
      </c>
      <c r="E26" s="526"/>
      <c r="F26" s="656">
        <f>HLOOKUP($J$1,$M$8:$T$144,$L26,FALSE)</f>
        <v>0</v>
      </c>
      <c r="G26" s="530"/>
      <c r="H26" s="656">
        <f t="shared" si="10"/>
        <v>0</v>
      </c>
      <c r="I26" s="530"/>
      <c r="J26" s="769">
        <f t="shared" si="11"/>
        <v>0</v>
      </c>
      <c r="L26" s="514">
        <f t="shared" si="0"/>
        <v>19</v>
      </c>
      <c r="M26" s="965">
        <v>0</v>
      </c>
      <c r="N26" s="965">
        <v>0</v>
      </c>
      <c r="O26" s="937">
        <f t="shared" si="12"/>
        <v>0</v>
      </c>
      <c r="P26" s="966"/>
      <c r="Q26" s="514">
        <f t="shared" si="1"/>
        <v>19</v>
      </c>
      <c r="R26" s="965">
        <v>0</v>
      </c>
      <c r="S26" s="965">
        <v>0</v>
      </c>
      <c r="T26" s="937">
        <f t="shared" si="13"/>
        <v>0</v>
      </c>
      <c r="W26" s="340">
        <f t="shared" si="6"/>
        <v>0</v>
      </c>
      <c r="Y26" s="340">
        <v>0</v>
      </c>
      <c r="AA26" s="340">
        <v>0</v>
      </c>
      <c r="AC26" s="340">
        <v>0</v>
      </c>
    </row>
    <row r="27" spans="1:29">
      <c r="A27" s="523">
        <f t="shared" si="2"/>
        <v>17</v>
      </c>
      <c r="B27" s="801">
        <v>820</v>
      </c>
      <c r="C27" s="525"/>
      <c r="D27" s="528" t="str">
        <f>VLOOKUP(B27,'Stmt H'!B:D,3,FALSE)</f>
        <v xml:space="preserve">Storage - Measuring &amp; Regulating Station Expense </v>
      </c>
      <c r="E27" s="526"/>
      <c r="F27" s="656">
        <f>HLOOKUP($J$1,$M$8:$T$144,$L27,FALSE)</f>
        <v>0</v>
      </c>
      <c r="G27" s="530"/>
      <c r="H27" s="656">
        <f t="shared" si="10"/>
        <v>0</v>
      </c>
      <c r="I27" s="530"/>
      <c r="J27" s="810">
        <f t="shared" si="11"/>
        <v>0</v>
      </c>
      <c r="L27" s="514">
        <f t="shared" si="0"/>
        <v>20</v>
      </c>
      <c r="M27" s="965">
        <v>0</v>
      </c>
      <c r="N27" s="965">
        <v>0</v>
      </c>
      <c r="O27" s="937">
        <f t="shared" si="12"/>
        <v>0</v>
      </c>
      <c r="P27" s="966"/>
      <c r="Q27" s="514">
        <f t="shared" si="1"/>
        <v>20</v>
      </c>
      <c r="R27" s="965">
        <v>0</v>
      </c>
      <c r="S27" s="965">
        <v>0</v>
      </c>
      <c r="T27" s="937">
        <f t="shared" si="13"/>
        <v>0</v>
      </c>
      <c r="W27" s="340">
        <f t="shared" si="6"/>
        <v>0</v>
      </c>
      <c r="Y27" s="340">
        <v>0</v>
      </c>
      <c r="AA27" s="340">
        <v>0</v>
      </c>
      <c r="AC27" s="340">
        <v>0</v>
      </c>
    </row>
    <row r="28" spans="1:29">
      <c r="A28" s="523">
        <f t="shared" si="2"/>
        <v>18</v>
      </c>
      <c r="B28" s="801">
        <v>821</v>
      </c>
      <c r="C28" s="525"/>
      <c r="D28" s="528" t="str">
        <f>VLOOKUP(B28,'Stmt H'!B:D,3,FALSE)</f>
        <v>Purification Expense</v>
      </c>
      <c r="E28" s="526"/>
      <c r="F28" s="656">
        <f>HLOOKUP($J$1,$M$8:$T$144,$L28,FALSE)</f>
        <v>0</v>
      </c>
      <c r="G28" s="530"/>
      <c r="H28" s="656">
        <f t="shared" si="10"/>
        <v>0</v>
      </c>
      <c r="I28" s="530"/>
      <c r="J28" s="769">
        <f t="shared" si="11"/>
        <v>0</v>
      </c>
      <c r="L28" s="514">
        <f t="shared" si="0"/>
        <v>21</v>
      </c>
      <c r="M28" s="965">
        <v>0</v>
      </c>
      <c r="N28" s="965">
        <v>0</v>
      </c>
      <c r="O28" s="937">
        <f t="shared" si="12"/>
        <v>0</v>
      </c>
      <c r="P28" s="966"/>
      <c r="Q28" s="514">
        <f t="shared" si="1"/>
        <v>21</v>
      </c>
      <c r="R28" s="965">
        <v>0</v>
      </c>
      <c r="S28" s="965">
        <v>0</v>
      </c>
      <c r="T28" s="937">
        <f t="shared" si="13"/>
        <v>0</v>
      </c>
      <c r="W28" s="340">
        <f t="shared" si="6"/>
        <v>0</v>
      </c>
      <c r="Y28" s="340">
        <v>0</v>
      </c>
      <c r="AA28" s="340">
        <v>0</v>
      </c>
      <c r="AC28" s="340">
        <v>0</v>
      </c>
    </row>
    <row r="29" spans="1:29">
      <c r="A29" s="523">
        <f t="shared" si="2"/>
        <v>19</v>
      </c>
      <c r="B29" s="528"/>
      <c r="C29" s="525" t="s">
        <v>164</v>
      </c>
      <c r="D29" s="525"/>
      <c r="E29" s="526"/>
      <c r="F29" s="767">
        <f>SUM(F24:F28)</f>
        <v>0</v>
      </c>
      <c r="G29" s="493"/>
      <c r="H29" s="767">
        <f>SUM(H24:H28)</f>
        <v>0</v>
      </c>
      <c r="I29" s="493"/>
      <c r="J29" s="767">
        <f>SUM(J24:J28)</f>
        <v>0</v>
      </c>
      <c r="L29" s="514">
        <f t="shared" si="0"/>
        <v>22</v>
      </c>
      <c r="M29" s="937">
        <f>SUM(M24:M28)</f>
        <v>0</v>
      </c>
      <c r="N29" s="937">
        <f>SUM(N24:N28)</f>
        <v>0</v>
      </c>
      <c r="O29" s="937">
        <f t="shared" si="12"/>
        <v>0</v>
      </c>
      <c r="P29" s="966"/>
      <c r="Q29" s="514">
        <f t="shared" si="1"/>
        <v>22</v>
      </c>
      <c r="R29" s="937">
        <f>SUM(R24:R28)</f>
        <v>0</v>
      </c>
      <c r="S29" s="937">
        <f>SUM(S24:S28)</f>
        <v>0</v>
      </c>
      <c r="T29" s="937">
        <f t="shared" si="13"/>
        <v>0</v>
      </c>
      <c r="W29" s="340">
        <f t="shared" si="6"/>
        <v>0</v>
      </c>
      <c r="Y29" s="340">
        <v>0</v>
      </c>
      <c r="AA29" s="340">
        <v>0</v>
      </c>
      <c r="AC29" s="340">
        <v>0</v>
      </c>
    </row>
    <row r="30" spans="1:29">
      <c r="A30" s="523">
        <f t="shared" si="2"/>
        <v>20</v>
      </c>
      <c r="B30" s="528"/>
      <c r="C30" s="525"/>
      <c r="D30" s="525"/>
      <c r="E30" s="526"/>
      <c r="F30" s="531"/>
      <c r="G30" s="530"/>
      <c r="H30" s="531"/>
      <c r="I30" s="530"/>
      <c r="J30" s="531"/>
      <c r="L30" s="514">
        <f t="shared" si="0"/>
        <v>23</v>
      </c>
      <c r="M30" s="963"/>
      <c r="N30" s="963"/>
      <c r="O30" s="506"/>
      <c r="P30" s="966"/>
      <c r="Q30" s="962">
        <f t="shared" si="1"/>
        <v>23</v>
      </c>
      <c r="R30" s="1610"/>
      <c r="S30" s="1610"/>
      <c r="T30" s="506"/>
      <c r="W30" s="340">
        <f t="shared" si="6"/>
        <v>0</v>
      </c>
    </row>
    <row r="31" spans="1:29">
      <c r="A31" s="523">
        <f t="shared" si="2"/>
        <v>21</v>
      </c>
      <c r="B31" s="528"/>
      <c r="C31" s="525"/>
      <c r="D31" s="735" t="s">
        <v>166</v>
      </c>
      <c r="E31" s="526"/>
      <c r="F31" s="531"/>
      <c r="G31" s="530"/>
      <c r="H31" s="531"/>
      <c r="I31" s="530"/>
      <c r="J31" s="531"/>
      <c r="L31" s="514">
        <f t="shared" si="0"/>
        <v>24</v>
      </c>
      <c r="M31" s="963"/>
      <c r="N31" s="963"/>
      <c r="O31" s="506"/>
      <c r="P31" s="966"/>
      <c r="Q31" s="962">
        <f t="shared" si="1"/>
        <v>24</v>
      </c>
      <c r="R31" s="1610"/>
      <c r="S31" s="1610"/>
      <c r="T31" s="506"/>
      <c r="W31" s="340">
        <f t="shared" si="6"/>
        <v>0</v>
      </c>
    </row>
    <row r="32" spans="1:29">
      <c r="A32" s="523">
        <f t="shared" si="2"/>
        <v>22</v>
      </c>
      <c r="B32" s="801">
        <v>830</v>
      </c>
      <c r="C32" s="525"/>
      <c r="D32" s="528" t="str">
        <f>VLOOKUP(B32,'Stmt H'!B:D,3,FALSE)</f>
        <v>Maintenance Supervision &amp; Engineering</v>
      </c>
      <c r="E32" s="526"/>
      <c r="F32" s="556">
        <f t="shared" ref="F32:F37" si="14">HLOOKUP($J$1,$M$8:$T$144,$L32,FALSE)</f>
        <v>0</v>
      </c>
      <c r="G32" s="530"/>
      <c r="H32" s="556">
        <f t="shared" ref="H32:H37" si="15">IF($F$143="Y",W32,HLOOKUP($J$1,$R$8:$T$145,Q32,FALSE))</f>
        <v>0</v>
      </c>
      <c r="I32" s="530"/>
      <c r="J32" s="558">
        <f t="shared" ref="J32:J37" si="16">-F32+H32</f>
        <v>0</v>
      </c>
      <c r="L32" s="514">
        <f t="shared" si="0"/>
        <v>25</v>
      </c>
      <c r="M32" s="965">
        <v>0</v>
      </c>
      <c r="N32" s="965">
        <v>0</v>
      </c>
      <c r="O32" s="937">
        <f t="shared" ref="O32:O38" si="17">M32+N32</f>
        <v>0</v>
      </c>
      <c r="P32" s="966"/>
      <c r="Q32" s="514">
        <f t="shared" si="1"/>
        <v>25</v>
      </c>
      <c r="R32" s="967">
        <v>0</v>
      </c>
      <c r="S32" s="967">
        <v>0</v>
      </c>
      <c r="T32" s="937">
        <f t="shared" ref="T32:T38" si="18">R32+S32</f>
        <v>0</v>
      </c>
      <c r="W32" s="340">
        <f t="shared" si="6"/>
        <v>0</v>
      </c>
      <c r="Y32" s="340">
        <v>0</v>
      </c>
      <c r="AA32" s="340">
        <v>0</v>
      </c>
      <c r="AC32" s="340">
        <v>0</v>
      </c>
    </row>
    <row r="33" spans="1:29">
      <c r="A33" s="523">
        <f t="shared" si="2"/>
        <v>23</v>
      </c>
      <c r="B33" s="801">
        <v>832</v>
      </c>
      <c r="C33" s="525"/>
      <c r="D33" s="528" t="str">
        <f>VLOOKUP(B33,'Stmt H'!B:D,3,FALSE)</f>
        <v>Maintenance of Reservoirs &amp; Wells</v>
      </c>
      <c r="E33" s="526"/>
      <c r="F33" s="656">
        <f t="shared" si="14"/>
        <v>0</v>
      </c>
      <c r="G33" s="530"/>
      <c r="H33" s="656">
        <f t="shared" si="15"/>
        <v>0</v>
      </c>
      <c r="I33" s="530"/>
      <c r="J33" s="810">
        <f t="shared" si="16"/>
        <v>0</v>
      </c>
      <c r="L33" s="514">
        <f t="shared" si="0"/>
        <v>26</v>
      </c>
      <c r="M33" s="965">
        <v>0</v>
      </c>
      <c r="N33" s="965">
        <v>0</v>
      </c>
      <c r="O33" s="937">
        <f t="shared" si="17"/>
        <v>0</v>
      </c>
      <c r="P33" s="966"/>
      <c r="Q33" s="514">
        <f t="shared" si="1"/>
        <v>26</v>
      </c>
      <c r="R33" s="967">
        <v>0</v>
      </c>
      <c r="S33" s="967">
        <v>0</v>
      </c>
      <c r="T33" s="937">
        <f t="shared" si="18"/>
        <v>0</v>
      </c>
      <c r="W33" s="340">
        <f t="shared" si="6"/>
        <v>0</v>
      </c>
      <c r="Y33" s="340">
        <v>0</v>
      </c>
      <c r="AA33" s="340">
        <v>0</v>
      </c>
      <c r="AC33" s="340">
        <v>0</v>
      </c>
    </row>
    <row r="34" spans="1:29">
      <c r="A34" s="523">
        <f t="shared" si="2"/>
        <v>24</v>
      </c>
      <c r="B34" s="801">
        <v>833</v>
      </c>
      <c r="C34" s="525"/>
      <c r="D34" s="528" t="str">
        <f>VLOOKUP(B34,'Stmt H'!B:D,3,FALSE)</f>
        <v>Maintenance of Lines</v>
      </c>
      <c r="E34" s="526"/>
      <c r="F34" s="656">
        <f t="shared" si="14"/>
        <v>0</v>
      </c>
      <c r="G34" s="530"/>
      <c r="H34" s="656">
        <f t="shared" si="15"/>
        <v>0</v>
      </c>
      <c r="I34" s="530"/>
      <c r="J34" s="810">
        <f t="shared" si="16"/>
        <v>0</v>
      </c>
      <c r="L34" s="514">
        <f t="shared" si="0"/>
        <v>27</v>
      </c>
      <c r="M34" s="965">
        <v>0</v>
      </c>
      <c r="N34" s="965">
        <v>0</v>
      </c>
      <c r="O34" s="937">
        <f t="shared" si="17"/>
        <v>0</v>
      </c>
      <c r="P34" s="966"/>
      <c r="Q34" s="514">
        <f t="shared" si="1"/>
        <v>27</v>
      </c>
      <c r="R34" s="967">
        <v>0</v>
      </c>
      <c r="S34" s="967">
        <v>0</v>
      </c>
      <c r="T34" s="937">
        <f t="shared" si="18"/>
        <v>0</v>
      </c>
      <c r="W34" s="340">
        <f t="shared" si="6"/>
        <v>0</v>
      </c>
      <c r="Y34" s="340">
        <v>0</v>
      </c>
      <c r="AA34" s="340">
        <v>0</v>
      </c>
      <c r="AC34" s="340">
        <v>0</v>
      </c>
    </row>
    <row r="35" spans="1:29">
      <c r="A35" s="523">
        <f t="shared" si="2"/>
        <v>25</v>
      </c>
      <c r="B35" s="801">
        <v>834</v>
      </c>
      <c r="C35" s="525"/>
      <c r="D35" s="528" t="str">
        <f>VLOOKUP(B35,'Stmt H'!B:D,3,FALSE)</f>
        <v>Maintenance of Compressor Station Equipment</v>
      </c>
      <c r="E35" s="526"/>
      <c r="F35" s="656">
        <f t="shared" si="14"/>
        <v>0</v>
      </c>
      <c r="G35" s="530"/>
      <c r="H35" s="656">
        <f t="shared" si="15"/>
        <v>0</v>
      </c>
      <c r="I35" s="530"/>
      <c r="J35" s="810">
        <f t="shared" si="16"/>
        <v>0</v>
      </c>
      <c r="L35" s="514">
        <f t="shared" si="0"/>
        <v>28</v>
      </c>
      <c r="M35" s="965">
        <v>0</v>
      </c>
      <c r="N35" s="965">
        <v>0</v>
      </c>
      <c r="O35" s="937">
        <f t="shared" si="17"/>
        <v>0</v>
      </c>
      <c r="P35" s="966"/>
      <c r="Q35" s="514">
        <f t="shared" si="1"/>
        <v>28</v>
      </c>
      <c r="R35" s="967">
        <v>0</v>
      </c>
      <c r="S35" s="967">
        <v>0</v>
      </c>
      <c r="T35" s="937">
        <f t="shared" si="18"/>
        <v>0</v>
      </c>
      <c r="W35" s="340">
        <f t="shared" si="6"/>
        <v>0</v>
      </c>
      <c r="Y35" s="340">
        <v>0</v>
      </c>
      <c r="AA35" s="340">
        <v>0</v>
      </c>
      <c r="AC35" s="340">
        <v>0</v>
      </c>
    </row>
    <row r="36" spans="1:29">
      <c r="A36" s="523">
        <f t="shared" si="2"/>
        <v>26</v>
      </c>
      <c r="B36" s="801">
        <v>835</v>
      </c>
      <c r="C36" s="525"/>
      <c r="D36" s="528" t="str">
        <f>VLOOKUP(B36,'Stmt H'!B:D,3,FALSE)</f>
        <v>Maintenance of Measuring &amp; Regulating Station Equipment</v>
      </c>
      <c r="E36" s="526"/>
      <c r="F36" s="656">
        <f t="shared" si="14"/>
        <v>0</v>
      </c>
      <c r="G36" s="530"/>
      <c r="H36" s="656">
        <f t="shared" si="15"/>
        <v>0</v>
      </c>
      <c r="I36" s="530"/>
      <c r="J36" s="810">
        <f t="shared" si="16"/>
        <v>0</v>
      </c>
      <c r="L36" s="514">
        <f t="shared" si="0"/>
        <v>29</v>
      </c>
      <c r="M36" s="965">
        <v>0</v>
      </c>
      <c r="N36" s="965">
        <v>0</v>
      </c>
      <c r="O36" s="937">
        <f t="shared" si="17"/>
        <v>0</v>
      </c>
      <c r="P36" s="966"/>
      <c r="Q36" s="514">
        <f t="shared" si="1"/>
        <v>29</v>
      </c>
      <c r="R36" s="967">
        <v>0</v>
      </c>
      <c r="S36" s="967">
        <v>0</v>
      </c>
      <c r="T36" s="937">
        <f t="shared" si="18"/>
        <v>0</v>
      </c>
      <c r="W36" s="340">
        <f t="shared" si="6"/>
        <v>0</v>
      </c>
      <c r="Y36" s="340">
        <v>0</v>
      </c>
      <c r="AA36" s="340">
        <v>0</v>
      </c>
      <c r="AC36" s="340">
        <v>0</v>
      </c>
    </row>
    <row r="37" spans="1:29">
      <c r="A37" s="523">
        <f t="shared" si="2"/>
        <v>27</v>
      </c>
      <c r="B37" s="801">
        <v>836</v>
      </c>
      <c r="C37" s="525"/>
      <c r="D37" s="528" t="str">
        <f>VLOOKUP(B37,'Stmt H'!B:D,3,FALSE)</f>
        <v>Maintenance of Purification Equipment</v>
      </c>
      <c r="E37" s="526"/>
      <c r="F37" s="656">
        <f t="shared" si="14"/>
        <v>0</v>
      </c>
      <c r="G37" s="530"/>
      <c r="H37" s="656">
        <f t="shared" si="15"/>
        <v>0</v>
      </c>
      <c r="I37" s="530"/>
      <c r="J37" s="810">
        <f t="shared" si="16"/>
        <v>0</v>
      </c>
      <c r="L37" s="514">
        <f t="shared" si="0"/>
        <v>30</v>
      </c>
      <c r="M37" s="965">
        <v>0</v>
      </c>
      <c r="N37" s="965">
        <v>0</v>
      </c>
      <c r="O37" s="937">
        <f t="shared" si="17"/>
        <v>0</v>
      </c>
      <c r="P37" s="966"/>
      <c r="Q37" s="514">
        <f t="shared" si="1"/>
        <v>30</v>
      </c>
      <c r="R37" s="967">
        <v>0</v>
      </c>
      <c r="S37" s="967">
        <v>0</v>
      </c>
      <c r="T37" s="937">
        <f t="shared" si="18"/>
        <v>0</v>
      </c>
      <c r="W37" s="340">
        <f t="shared" si="6"/>
        <v>0</v>
      </c>
      <c r="Y37" s="340">
        <v>0</v>
      </c>
      <c r="AA37" s="340">
        <v>0</v>
      </c>
      <c r="AC37" s="340">
        <v>0</v>
      </c>
    </row>
    <row r="38" spans="1:29">
      <c r="A38" s="523">
        <f t="shared" si="2"/>
        <v>28</v>
      </c>
      <c r="B38" s="528"/>
      <c r="C38" s="525" t="s">
        <v>167</v>
      </c>
      <c r="D38" s="525"/>
      <c r="E38" s="526"/>
      <c r="F38" s="767">
        <f>SUM(F32:F37)</f>
        <v>0</v>
      </c>
      <c r="G38" s="493"/>
      <c r="H38" s="767">
        <f>SUM(H32:H37)</f>
        <v>0</v>
      </c>
      <c r="I38" s="493"/>
      <c r="J38" s="767">
        <f>SUM(J32:J37)</f>
        <v>0</v>
      </c>
      <c r="L38" s="514">
        <f t="shared" si="0"/>
        <v>31</v>
      </c>
      <c r="M38" s="937">
        <f>SUM(M32:M37)</f>
        <v>0</v>
      </c>
      <c r="N38" s="937">
        <f>SUM(N32:N37)</f>
        <v>0</v>
      </c>
      <c r="O38" s="937">
        <f t="shared" si="17"/>
        <v>0</v>
      </c>
      <c r="P38" s="966"/>
      <c r="Q38" s="514">
        <f t="shared" si="1"/>
        <v>31</v>
      </c>
      <c r="R38" s="937">
        <f>SUM(R32:R37)</f>
        <v>0</v>
      </c>
      <c r="S38" s="937">
        <f>SUM(S32:S37)</f>
        <v>0</v>
      </c>
      <c r="T38" s="937">
        <f t="shared" si="18"/>
        <v>0</v>
      </c>
      <c r="W38" s="340">
        <f t="shared" si="6"/>
        <v>0</v>
      </c>
      <c r="Y38" s="340">
        <v>0</v>
      </c>
      <c r="AA38" s="340">
        <v>0</v>
      </c>
      <c r="AC38" s="340">
        <v>0</v>
      </c>
    </row>
    <row r="39" spans="1:29">
      <c r="A39" s="523">
        <f t="shared" si="2"/>
        <v>29</v>
      </c>
      <c r="B39" s="528"/>
      <c r="C39" s="525"/>
      <c r="D39" s="525"/>
      <c r="E39" s="526"/>
      <c r="F39" s="531"/>
      <c r="G39" s="530"/>
      <c r="H39" s="531"/>
      <c r="I39" s="530"/>
      <c r="J39" s="531"/>
      <c r="L39" s="514">
        <f t="shared" si="0"/>
        <v>32</v>
      </c>
      <c r="M39" s="963"/>
      <c r="N39" s="963"/>
      <c r="O39" s="506"/>
      <c r="P39" s="966"/>
      <c r="Q39" s="962">
        <f t="shared" si="1"/>
        <v>32</v>
      </c>
      <c r="R39" s="1610"/>
      <c r="S39" s="1610"/>
      <c r="T39" s="506"/>
      <c r="W39" s="340">
        <f t="shared" si="6"/>
        <v>0</v>
      </c>
    </row>
    <row r="40" spans="1:29">
      <c r="A40" s="523">
        <f t="shared" si="2"/>
        <v>30</v>
      </c>
      <c r="B40" s="528"/>
      <c r="C40" s="525" t="s">
        <v>243</v>
      </c>
      <c r="D40" s="528"/>
      <c r="E40" s="526"/>
      <c r="F40" s="531"/>
      <c r="G40" s="530"/>
      <c r="H40" s="531"/>
      <c r="I40" s="530"/>
      <c r="J40" s="531"/>
      <c r="L40" s="514">
        <f t="shared" si="0"/>
        <v>33</v>
      </c>
      <c r="M40" s="963"/>
      <c r="N40" s="963"/>
      <c r="O40" s="506"/>
      <c r="P40" s="966"/>
      <c r="Q40" s="962">
        <f t="shared" si="1"/>
        <v>33</v>
      </c>
      <c r="R40" s="1610"/>
      <c r="S40" s="1610"/>
      <c r="T40" s="506"/>
      <c r="W40" s="340">
        <f t="shared" si="6"/>
        <v>0</v>
      </c>
    </row>
    <row r="41" spans="1:29">
      <c r="A41" s="523">
        <f t="shared" si="2"/>
        <v>31</v>
      </c>
      <c r="B41" s="528"/>
      <c r="C41" s="525"/>
      <c r="D41" s="525" t="s">
        <v>163</v>
      </c>
      <c r="E41" s="526"/>
      <c r="F41" s="531"/>
      <c r="G41" s="530"/>
      <c r="H41" s="531"/>
      <c r="I41" s="530"/>
      <c r="J41" s="531"/>
      <c r="L41" s="514">
        <f t="shared" si="0"/>
        <v>34</v>
      </c>
      <c r="M41" s="963"/>
      <c r="N41" s="963"/>
      <c r="O41" s="937"/>
      <c r="P41" s="966"/>
      <c r="Q41" s="514">
        <f t="shared" si="1"/>
        <v>34</v>
      </c>
      <c r="R41" s="527"/>
      <c r="S41" s="527"/>
      <c r="T41" s="937"/>
      <c r="W41" s="340">
        <f t="shared" si="6"/>
        <v>0</v>
      </c>
    </row>
    <row r="42" spans="1:29">
      <c r="A42" s="523">
        <f t="shared" si="2"/>
        <v>32</v>
      </c>
      <c r="B42" s="529">
        <v>850</v>
      </c>
      <c r="C42" s="528"/>
      <c r="D42" s="528" t="s">
        <v>131</v>
      </c>
      <c r="E42" s="526"/>
      <c r="F42" s="556">
        <f t="shared" ref="F42:F49" si="19">HLOOKUP($J$1,$M$8:$T$144,$L42,FALSE)</f>
        <v>0</v>
      </c>
      <c r="G42" s="557"/>
      <c r="H42" s="556">
        <f t="shared" ref="H42:H49" si="20">IF($F$143="Y",W42,HLOOKUP($J$1,$R$8:$T$145,Q42,FALSE))</f>
        <v>0</v>
      </c>
      <c r="I42" s="557"/>
      <c r="J42" s="558">
        <f t="shared" ref="J42:J49" si="21">-F42+H42</f>
        <v>0</v>
      </c>
      <c r="L42" s="514">
        <f t="shared" si="0"/>
        <v>35</v>
      </c>
      <c r="M42" s="965">
        <v>0</v>
      </c>
      <c r="N42" s="965">
        <v>0</v>
      </c>
      <c r="O42" s="937">
        <f t="shared" ref="O42:O50" si="22">M42+N42</f>
        <v>0</v>
      </c>
      <c r="P42" s="966"/>
      <c r="Q42" s="514">
        <f t="shared" si="1"/>
        <v>35</v>
      </c>
      <c r="R42" s="967">
        <v>0</v>
      </c>
      <c r="S42" s="967">
        <v>0</v>
      </c>
      <c r="T42" s="937">
        <f t="shared" ref="T42:T50" si="23">R42+S42</f>
        <v>0</v>
      </c>
      <c r="W42" s="340">
        <f t="shared" si="6"/>
        <v>0</v>
      </c>
      <c r="Y42" s="340">
        <v>0</v>
      </c>
      <c r="AA42" s="340">
        <v>0</v>
      </c>
      <c r="AC42" s="340">
        <v>0</v>
      </c>
    </row>
    <row r="43" spans="1:29">
      <c r="A43" s="523">
        <f t="shared" si="2"/>
        <v>33</v>
      </c>
      <c r="B43" s="529">
        <v>851</v>
      </c>
      <c r="C43" s="528"/>
      <c r="D43" s="528" t="s">
        <v>375</v>
      </c>
      <c r="E43" s="526"/>
      <c r="F43" s="656">
        <f t="shared" si="19"/>
        <v>396.25</v>
      </c>
      <c r="G43" s="530"/>
      <c r="H43" s="656">
        <f t="shared" si="20"/>
        <v>410.68119297061611</v>
      </c>
      <c r="I43" s="530"/>
      <c r="J43" s="657">
        <f t="shared" si="21"/>
        <v>14.43119297061611</v>
      </c>
      <c r="L43" s="514">
        <f t="shared" si="0"/>
        <v>36</v>
      </c>
      <c r="M43" s="965">
        <v>396.25</v>
      </c>
      <c r="N43" s="965">
        <v>0</v>
      </c>
      <c r="O43" s="937">
        <f t="shared" si="22"/>
        <v>396.25</v>
      </c>
      <c r="P43" s="966"/>
      <c r="Q43" s="514">
        <f t="shared" si="1"/>
        <v>36</v>
      </c>
      <c r="R43" s="967">
        <v>421.51436023604737</v>
      </c>
      <c r="S43" s="967">
        <v>0</v>
      </c>
      <c r="T43" s="937">
        <f t="shared" si="23"/>
        <v>421.51436023604737</v>
      </c>
      <c r="W43" s="340">
        <f t="shared" si="6"/>
        <v>410.68119297061611</v>
      </c>
      <c r="Y43" s="340">
        <v>418.9023715518764</v>
      </c>
      <c r="AA43" s="340">
        <v>409.32826946123117</v>
      </c>
      <c r="AC43" s="340">
        <v>410.68119297061611</v>
      </c>
    </row>
    <row r="44" spans="1:29">
      <c r="A44" s="523">
        <f t="shared" si="2"/>
        <v>34</v>
      </c>
      <c r="B44" s="529">
        <v>852</v>
      </c>
      <c r="C44" s="528"/>
      <c r="D44" s="528" t="s">
        <v>936</v>
      </c>
      <c r="E44" s="526"/>
      <c r="F44" s="656">
        <f t="shared" si="19"/>
        <v>0</v>
      </c>
      <c r="G44" s="530"/>
      <c r="H44" s="656">
        <f t="shared" si="20"/>
        <v>0</v>
      </c>
      <c r="I44" s="530"/>
      <c r="J44" s="657">
        <f t="shared" si="21"/>
        <v>0</v>
      </c>
      <c r="L44" s="514">
        <f t="shared" si="0"/>
        <v>37</v>
      </c>
      <c r="M44" s="965">
        <v>0</v>
      </c>
      <c r="N44" s="965">
        <v>0</v>
      </c>
      <c r="O44" s="937">
        <f t="shared" si="22"/>
        <v>0</v>
      </c>
      <c r="P44" s="966"/>
      <c r="Q44" s="514">
        <f t="shared" si="1"/>
        <v>37</v>
      </c>
      <c r="R44" s="967">
        <v>0</v>
      </c>
      <c r="S44" s="967">
        <v>0</v>
      </c>
      <c r="T44" s="937">
        <f t="shared" si="23"/>
        <v>0</v>
      </c>
      <c r="W44" s="340">
        <f t="shared" si="6"/>
        <v>0</v>
      </c>
      <c r="Y44" s="340">
        <v>0</v>
      </c>
      <c r="AA44" s="340">
        <v>0</v>
      </c>
      <c r="AC44" s="340">
        <v>0</v>
      </c>
    </row>
    <row r="45" spans="1:29">
      <c r="A45" s="523">
        <f t="shared" si="2"/>
        <v>35</v>
      </c>
      <c r="B45" s="529">
        <v>853</v>
      </c>
      <c r="C45" s="528"/>
      <c r="D45" s="528" t="s">
        <v>571</v>
      </c>
      <c r="E45" s="526"/>
      <c r="F45" s="656">
        <f t="shared" si="19"/>
        <v>0</v>
      </c>
      <c r="G45" s="530"/>
      <c r="H45" s="656">
        <f t="shared" si="20"/>
        <v>0</v>
      </c>
      <c r="I45" s="530"/>
      <c r="J45" s="657">
        <f>-F45+H45</f>
        <v>0</v>
      </c>
      <c r="L45" s="514">
        <f t="shared" si="0"/>
        <v>38</v>
      </c>
      <c r="M45" s="965">
        <v>0</v>
      </c>
      <c r="N45" s="965">
        <v>0</v>
      </c>
      <c r="O45" s="937">
        <f t="shared" si="22"/>
        <v>0</v>
      </c>
      <c r="P45" s="966"/>
      <c r="Q45" s="514">
        <f t="shared" si="1"/>
        <v>38</v>
      </c>
      <c r="R45" s="967">
        <v>0</v>
      </c>
      <c r="S45" s="967">
        <v>0</v>
      </c>
      <c r="T45" s="937">
        <f t="shared" si="23"/>
        <v>0</v>
      </c>
      <c r="W45" s="340">
        <f t="shared" si="6"/>
        <v>0</v>
      </c>
      <c r="Y45" s="340">
        <v>0</v>
      </c>
      <c r="AA45" s="340">
        <v>0</v>
      </c>
      <c r="AC45" s="340">
        <v>0</v>
      </c>
    </row>
    <row r="46" spans="1:29">
      <c r="A46" s="523">
        <f t="shared" si="2"/>
        <v>36</v>
      </c>
      <c r="B46" s="529">
        <v>856</v>
      </c>
      <c r="C46" s="528"/>
      <c r="D46" s="528" t="s">
        <v>377</v>
      </c>
      <c r="E46" s="526"/>
      <c r="F46" s="656">
        <f t="shared" si="19"/>
        <v>412.47999999999996</v>
      </c>
      <c r="G46" s="530"/>
      <c r="H46" s="656">
        <f t="shared" si="20"/>
        <v>427.5022800669268</v>
      </c>
      <c r="I46" s="530"/>
      <c r="J46" s="657">
        <f t="shared" si="21"/>
        <v>15.022280066926839</v>
      </c>
      <c r="L46" s="514">
        <f t="shared" si="0"/>
        <v>39</v>
      </c>
      <c r="M46" s="965">
        <v>412.47999999999996</v>
      </c>
      <c r="N46" s="965">
        <v>0</v>
      </c>
      <c r="O46" s="937">
        <f t="shared" si="22"/>
        <v>412.47999999999996</v>
      </c>
      <c r="P46" s="966"/>
      <c r="Q46" s="514">
        <f t="shared" si="1"/>
        <v>39</v>
      </c>
      <c r="R46" s="967">
        <v>438.77916292786074</v>
      </c>
      <c r="S46" s="967">
        <v>0</v>
      </c>
      <c r="T46" s="937">
        <f t="shared" si="23"/>
        <v>438.77916292786074</v>
      </c>
      <c r="W46" s="340">
        <f t="shared" si="6"/>
        <v>427.5022800669268</v>
      </c>
      <c r="Y46" s="340">
        <v>436.06018982389395</v>
      </c>
      <c r="AA46" s="340">
        <v>426.09394217632462</v>
      </c>
      <c r="AC46" s="340">
        <v>427.5022800669268</v>
      </c>
    </row>
    <row r="47" spans="1:29">
      <c r="A47" s="523">
        <f t="shared" si="2"/>
        <v>37</v>
      </c>
      <c r="B47" s="529">
        <v>857</v>
      </c>
      <c r="C47" s="528"/>
      <c r="D47" s="528" t="s">
        <v>923</v>
      </c>
      <c r="E47" s="526"/>
      <c r="F47" s="656">
        <f t="shared" si="19"/>
        <v>106.48</v>
      </c>
      <c r="G47" s="530"/>
      <c r="H47" s="656">
        <f t="shared" si="20"/>
        <v>110.35793924923965</v>
      </c>
      <c r="I47" s="530"/>
      <c r="J47" s="657">
        <f t="shared" si="21"/>
        <v>3.8779392492396454</v>
      </c>
      <c r="L47" s="514">
        <f t="shared" si="0"/>
        <v>40</v>
      </c>
      <c r="M47" s="965">
        <v>106.48</v>
      </c>
      <c r="N47" s="965">
        <v>0</v>
      </c>
      <c r="O47" s="937">
        <f t="shared" si="22"/>
        <v>106.48</v>
      </c>
      <c r="P47" s="966"/>
      <c r="Q47" s="514">
        <f t="shared" si="1"/>
        <v>40</v>
      </c>
      <c r="R47" s="967">
        <v>113.26901975503931</v>
      </c>
      <c r="S47" s="967">
        <v>0</v>
      </c>
      <c r="T47" s="937">
        <f t="shared" si="23"/>
        <v>113.26901975503931</v>
      </c>
      <c r="W47" s="340">
        <f t="shared" si="6"/>
        <v>110.35793924923965</v>
      </c>
      <c r="Y47" s="340">
        <v>112.56712813335976</v>
      </c>
      <c r="AA47" s="340">
        <v>109.99438266809312</v>
      </c>
      <c r="AC47" s="340">
        <v>110.35793924923965</v>
      </c>
    </row>
    <row r="48" spans="1:29">
      <c r="A48" s="523">
        <f t="shared" si="2"/>
        <v>38</v>
      </c>
      <c r="B48" s="529">
        <v>859</v>
      </c>
      <c r="C48" s="528"/>
      <c r="D48" s="528" t="s">
        <v>192</v>
      </c>
      <c r="E48" s="526"/>
      <c r="F48" s="656">
        <f t="shared" si="19"/>
        <v>2704.7799999999993</v>
      </c>
      <c r="G48" s="530"/>
      <c r="H48" s="656">
        <f t="shared" si="20"/>
        <v>2803.2865037806</v>
      </c>
      <c r="I48" s="530"/>
      <c r="J48" s="657">
        <f t="shared" si="21"/>
        <v>98.506503780600724</v>
      </c>
      <c r="L48" s="514">
        <f t="shared" si="0"/>
        <v>41</v>
      </c>
      <c r="M48" s="965">
        <v>2704.7799999999993</v>
      </c>
      <c r="N48" s="965">
        <v>0</v>
      </c>
      <c r="O48" s="937">
        <f t="shared" si="22"/>
        <v>2704.7799999999993</v>
      </c>
      <c r="P48" s="966"/>
      <c r="Q48" s="514">
        <f t="shared" si="1"/>
        <v>41</v>
      </c>
      <c r="R48" s="967">
        <v>2877.2330884019075</v>
      </c>
      <c r="S48" s="967">
        <v>0</v>
      </c>
      <c r="T48" s="937">
        <f t="shared" si="23"/>
        <v>2877.2330884019075</v>
      </c>
      <c r="W48" s="340">
        <f t="shared" si="6"/>
        <v>2803.2865037806</v>
      </c>
      <c r="Y48" s="340">
        <v>2859.4038019585714</v>
      </c>
      <c r="AA48" s="340">
        <v>2794.0515247276935</v>
      </c>
      <c r="AC48" s="340">
        <v>2803.2865037806</v>
      </c>
    </row>
    <row r="49" spans="1:29">
      <c r="A49" s="523">
        <f t="shared" si="2"/>
        <v>39</v>
      </c>
      <c r="B49" s="529">
        <v>860</v>
      </c>
      <c r="C49" s="528"/>
      <c r="D49" s="528" t="s">
        <v>185</v>
      </c>
      <c r="E49" s="526"/>
      <c r="F49" s="656">
        <f t="shared" si="19"/>
        <v>0</v>
      </c>
      <c r="G49" s="530"/>
      <c r="H49" s="656">
        <f t="shared" si="20"/>
        <v>0</v>
      </c>
      <c r="I49" s="530"/>
      <c r="J49" s="657">
        <f t="shared" si="21"/>
        <v>0</v>
      </c>
      <c r="L49" s="514">
        <f t="shared" si="0"/>
        <v>42</v>
      </c>
      <c r="M49" s="965">
        <v>0</v>
      </c>
      <c r="N49" s="965">
        <v>0</v>
      </c>
      <c r="O49" s="937">
        <f t="shared" si="22"/>
        <v>0</v>
      </c>
      <c r="P49" s="966"/>
      <c r="Q49" s="514">
        <f t="shared" si="1"/>
        <v>42</v>
      </c>
      <c r="R49" s="967">
        <v>0</v>
      </c>
      <c r="S49" s="967">
        <v>0</v>
      </c>
      <c r="T49" s="937">
        <f t="shared" si="23"/>
        <v>0</v>
      </c>
      <c r="W49" s="340">
        <f t="shared" si="6"/>
        <v>0</v>
      </c>
      <c r="Y49" s="340">
        <v>0</v>
      </c>
      <c r="AA49" s="340">
        <v>0</v>
      </c>
      <c r="AC49" s="340">
        <v>0</v>
      </c>
    </row>
    <row r="50" spans="1:29">
      <c r="A50" s="523">
        <f t="shared" si="2"/>
        <v>40</v>
      </c>
      <c r="B50" s="524"/>
      <c r="C50" s="525" t="s">
        <v>164</v>
      </c>
      <c r="D50" s="528"/>
      <c r="E50" s="526"/>
      <c r="F50" s="559">
        <f>SUM(F42:F49)</f>
        <v>3619.9899999999993</v>
      </c>
      <c r="G50" s="557"/>
      <c r="H50" s="559">
        <f>SUM(H42:H49)</f>
        <v>3751.8279160673824</v>
      </c>
      <c r="I50" s="557"/>
      <c r="J50" s="559">
        <f>SUM(J42:J49)</f>
        <v>131.83791606738333</v>
      </c>
      <c r="L50" s="514">
        <f t="shared" si="0"/>
        <v>43</v>
      </c>
      <c r="M50" s="937">
        <f>SUM(M42:M49)</f>
        <v>3619.9899999999993</v>
      </c>
      <c r="N50" s="937">
        <f>SUM(N42:N49)</f>
        <v>0</v>
      </c>
      <c r="O50" s="937">
        <f t="shared" si="22"/>
        <v>3619.9899999999993</v>
      </c>
      <c r="P50" s="966"/>
      <c r="Q50" s="514">
        <f t="shared" si="1"/>
        <v>43</v>
      </c>
      <c r="R50" s="937">
        <f>SUM(R42:R49)</f>
        <v>3850.7956313208547</v>
      </c>
      <c r="S50" s="937">
        <f>SUM(S42:S49)</f>
        <v>0</v>
      </c>
      <c r="T50" s="937">
        <f t="shared" si="23"/>
        <v>3850.7956313208547</v>
      </c>
      <c r="W50" s="340">
        <f t="shared" si="6"/>
        <v>3751.8279160673824</v>
      </c>
      <c r="Y50" s="340">
        <v>3826.9334914677015</v>
      </c>
      <c r="AA50" s="340">
        <v>3739.4681190333422</v>
      </c>
      <c r="AC50" s="340">
        <v>3751.8279160673824</v>
      </c>
    </row>
    <row r="51" spans="1:29">
      <c r="A51" s="523">
        <f t="shared" si="2"/>
        <v>41</v>
      </c>
      <c r="B51" s="524"/>
      <c r="C51" s="528"/>
      <c r="D51" s="528"/>
      <c r="E51" s="526"/>
      <c r="F51" s="556"/>
      <c r="G51" s="557"/>
      <c r="H51" s="556"/>
      <c r="I51" s="557"/>
      <c r="J51" s="556"/>
      <c r="L51" s="514">
        <f t="shared" si="0"/>
        <v>44</v>
      </c>
      <c r="M51" s="963"/>
      <c r="N51" s="963"/>
      <c r="O51" s="506"/>
      <c r="P51" s="966"/>
      <c r="Q51" s="962">
        <f t="shared" si="1"/>
        <v>44</v>
      </c>
      <c r="R51" s="1610"/>
      <c r="S51" s="1610"/>
      <c r="T51" s="506"/>
      <c r="W51" s="340">
        <f t="shared" si="6"/>
        <v>0</v>
      </c>
    </row>
    <row r="52" spans="1:29">
      <c r="A52" s="523">
        <f t="shared" si="2"/>
        <v>42</v>
      </c>
      <c r="B52" s="524"/>
      <c r="C52" s="528"/>
      <c r="D52" s="525" t="s">
        <v>165</v>
      </c>
      <c r="E52" s="526"/>
      <c r="F52" s="556"/>
      <c r="G52" s="557"/>
      <c r="H52" s="556"/>
      <c r="I52" s="557"/>
      <c r="J52" s="556"/>
      <c r="L52" s="514">
        <f t="shared" si="0"/>
        <v>45</v>
      </c>
      <c r="M52" s="963"/>
      <c r="N52" s="963"/>
      <c r="O52" s="506"/>
      <c r="P52" s="966"/>
      <c r="Q52" s="962">
        <f t="shared" si="1"/>
        <v>45</v>
      </c>
      <c r="R52" s="1610"/>
      <c r="S52" s="1610"/>
      <c r="T52" s="506"/>
      <c r="W52" s="340">
        <f t="shared" si="6"/>
        <v>0</v>
      </c>
    </row>
    <row r="53" spans="1:29">
      <c r="A53" s="523">
        <f t="shared" si="2"/>
        <v>43</v>
      </c>
      <c r="B53" s="529">
        <v>861</v>
      </c>
      <c r="C53" s="528"/>
      <c r="D53" s="528" t="s">
        <v>733</v>
      </c>
      <c r="E53" s="526"/>
      <c r="F53" s="556">
        <f t="shared" ref="F53:F59" si="24">HLOOKUP($J$1,$M$8:$T$144,$L53,FALSE)</f>
        <v>0</v>
      </c>
      <c r="G53" s="557"/>
      <c r="H53" s="556">
        <f t="shared" ref="H53:H59" si="25">IF($F$143="Y",W53,HLOOKUP($J$1,$R$8:$T$145,Q53,FALSE))</f>
        <v>0</v>
      </c>
      <c r="I53" s="557"/>
      <c r="J53" s="558">
        <f>-F53+H53</f>
        <v>0</v>
      </c>
      <c r="L53" s="514">
        <f t="shared" si="0"/>
        <v>46</v>
      </c>
      <c r="M53" s="965">
        <v>0</v>
      </c>
      <c r="N53" s="965">
        <v>0</v>
      </c>
      <c r="O53" s="937">
        <f t="shared" ref="O53:O62" si="26">M53+N53</f>
        <v>0</v>
      </c>
      <c r="P53" s="966"/>
      <c r="Q53" s="514">
        <f t="shared" si="1"/>
        <v>46</v>
      </c>
      <c r="R53" s="967">
        <v>0</v>
      </c>
      <c r="S53" s="967">
        <v>0</v>
      </c>
      <c r="T53" s="937">
        <f t="shared" ref="T53:T60" si="27">R53+S53</f>
        <v>0</v>
      </c>
      <c r="W53" s="340">
        <f t="shared" si="6"/>
        <v>0</v>
      </c>
      <c r="Y53" s="340">
        <v>0</v>
      </c>
      <c r="AA53" s="340">
        <v>0</v>
      </c>
      <c r="AC53" s="340">
        <v>0</v>
      </c>
    </row>
    <row r="54" spans="1:29">
      <c r="A54" s="523">
        <f t="shared" si="2"/>
        <v>44</v>
      </c>
      <c r="B54" s="529">
        <v>862</v>
      </c>
      <c r="C54" s="528"/>
      <c r="D54" s="528" t="s">
        <v>572</v>
      </c>
      <c r="E54" s="526"/>
      <c r="F54" s="656">
        <f t="shared" si="24"/>
        <v>0</v>
      </c>
      <c r="G54" s="530"/>
      <c r="H54" s="656">
        <f t="shared" si="25"/>
        <v>0</v>
      </c>
      <c r="I54" s="530"/>
      <c r="J54" s="657">
        <f t="shared" ref="J54:J59" si="28">-F54+H54</f>
        <v>0</v>
      </c>
      <c r="L54" s="514">
        <f t="shared" si="0"/>
        <v>47</v>
      </c>
      <c r="M54" s="965">
        <v>0</v>
      </c>
      <c r="N54" s="965">
        <v>0</v>
      </c>
      <c r="O54" s="937">
        <f t="shared" si="26"/>
        <v>0</v>
      </c>
      <c r="P54" s="966"/>
      <c r="Q54" s="514">
        <f t="shared" si="1"/>
        <v>47</v>
      </c>
      <c r="R54" s="967">
        <v>0</v>
      </c>
      <c r="S54" s="967">
        <v>0</v>
      </c>
      <c r="T54" s="937">
        <f t="shared" si="27"/>
        <v>0</v>
      </c>
      <c r="W54" s="340">
        <f t="shared" si="6"/>
        <v>0</v>
      </c>
      <c r="Y54" s="340">
        <v>0</v>
      </c>
      <c r="AA54" s="340">
        <v>0</v>
      </c>
      <c r="AC54" s="340">
        <v>0</v>
      </c>
    </row>
    <row r="55" spans="1:29">
      <c r="A55" s="523">
        <f t="shared" si="2"/>
        <v>45</v>
      </c>
      <c r="B55" s="529">
        <v>863</v>
      </c>
      <c r="C55" s="528"/>
      <c r="D55" s="528" t="s">
        <v>914</v>
      </c>
      <c r="E55" s="526"/>
      <c r="F55" s="656">
        <f t="shared" si="24"/>
        <v>3037.21</v>
      </c>
      <c r="G55" s="530"/>
      <c r="H55" s="656">
        <f t="shared" si="25"/>
        <v>3147.8234097218547</v>
      </c>
      <c r="I55" s="530"/>
      <c r="J55" s="657">
        <f t="shared" si="28"/>
        <v>110.61340972185462</v>
      </c>
      <c r="L55" s="514">
        <f t="shared" si="0"/>
        <v>48</v>
      </c>
      <c r="M55" s="965">
        <v>3037.21</v>
      </c>
      <c r="N55" s="965">
        <v>0</v>
      </c>
      <c r="O55" s="937">
        <f t="shared" si="26"/>
        <v>3037.21</v>
      </c>
      <c r="P55" s="966"/>
      <c r="Q55" s="514">
        <f t="shared" si="1"/>
        <v>48</v>
      </c>
      <c r="R55" s="967">
        <v>3230.8583723723036</v>
      </c>
      <c r="S55" s="967">
        <v>0</v>
      </c>
      <c r="T55" s="937">
        <f t="shared" si="27"/>
        <v>3230.8583723723036</v>
      </c>
      <c r="W55" s="340">
        <f t="shared" si="6"/>
        <v>3147.8234097218547</v>
      </c>
      <c r="Y55" s="340">
        <v>3210.8377839774748</v>
      </c>
      <c r="AA55" s="340">
        <v>3137.4534089346266</v>
      </c>
      <c r="AC55" s="340">
        <v>3147.8234097218547</v>
      </c>
    </row>
    <row r="56" spans="1:29">
      <c r="A56" s="523">
        <f t="shared" si="2"/>
        <v>46</v>
      </c>
      <c r="B56" s="529">
        <v>864</v>
      </c>
      <c r="C56" s="528"/>
      <c r="D56" s="528" t="s">
        <v>482</v>
      </c>
      <c r="E56" s="526"/>
      <c r="F56" s="656">
        <f t="shared" si="24"/>
        <v>0</v>
      </c>
      <c r="G56" s="530"/>
      <c r="H56" s="656">
        <f t="shared" si="25"/>
        <v>0</v>
      </c>
      <c r="I56" s="530"/>
      <c r="J56" s="657">
        <f t="shared" si="28"/>
        <v>0</v>
      </c>
      <c r="L56" s="514">
        <f t="shared" si="0"/>
        <v>49</v>
      </c>
      <c r="M56" s="965">
        <v>0</v>
      </c>
      <c r="N56" s="965">
        <v>0</v>
      </c>
      <c r="O56" s="937">
        <f t="shared" si="26"/>
        <v>0</v>
      </c>
      <c r="P56" s="966"/>
      <c r="Q56" s="514">
        <f t="shared" si="1"/>
        <v>49</v>
      </c>
      <c r="R56" s="967">
        <v>0</v>
      </c>
      <c r="S56" s="967">
        <v>0</v>
      </c>
      <c r="T56" s="937">
        <f t="shared" si="27"/>
        <v>0</v>
      </c>
      <c r="W56" s="340">
        <f t="shared" si="6"/>
        <v>0</v>
      </c>
      <c r="Y56" s="340">
        <v>0</v>
      </c>
      <c r="AA56" s="340">
        <v>0</v>
      </c>
      <c r="AC56" s="340">
        <v>0</v>
      </c>
    </row>
    <row r="57" spans="1:29">
      <c r="A57" s="523">
        <f t="shared" si="2"/>
        <v>47</v>
      </c>
      <c r="B57" s="529">
        <v>865</v>
      </c>
      <c r="C57" s="528"/>
      <c r="D57" s="528" t="s">
        <v>736</v>
      </c>
      <c r="E57" s="526"/>
      <c r="F57" s="656">
        <f t="shared" si="24"/>
        <v>0</v>
      </c>
      <c r="G57" s="532"/>
      <c r="H57" s="656">
        <f t="shared" si="25"/>
        <v>0</v>
      </c>
      <c r="I57" s="532"/>
      <c r="J57" s="657">
        <f t="shared" si="28"/>
        <v>0</v>
      </c>
      <c r="L57" s="514">
        <f t="shared" si="0"/>
        <v>50</v>
      </c>
      <c r="M57" s="965">
        <v>0</v>
      </c>
      <c r="N57" s="965">
        <v>0</v>
      </c>
      <c r="O57" s="937">
        <f t="shared" si="26"/>
        <v>0</v>
      </c>
      <c r="P57" s="966"/>
      <c r="Q57" s="514">
        <f t="shared" si="1"/>
        <v>50</v>
      </c>
      <c r="R57" s="967">
        <v>0</v>
      </c>
      <c r="S57" s="967">
        <v>0</v>
      </c>
      <c r="T57" s="937">
        <f t="shared" si="27"/>
        <v>0</v>
      </c>
      <c r="W57" s="340">
        <f t="shared" si="6"/>
        <v>0</v>
      </c>
      <c r="Y57" s="340">
        <v>0</v>
      </c>
      <c r="AA57" s="340">
        <v>0</v>
      </c>
      <c r="AC57" s="340">
        <v>0</v>
      </c>
    </row>
    <row r="58" spans="1:29">
      <c r="A58" s="523">
        <f t="shared" si="2"/>
        <v>48</v>
      </c>
      <c r="B58" s="529">
        <v>866</v>
      </c>
      <c r="C58" s="528"/>
      <c r="D58" s="528" t="str">
        <f>VLOOKUP(B58,'Stmt H'!B:D,3,FALSE)</f>
        <v>Maintenance of Communication Equipment</v>
      </c>
      <c r="E58" s="526"/>
      <c r="F58" s="656">
        <f t="shared" si="24"/>
        <v>132.16</v>
      </c>
      <c r="G58" s="532"/>
      <c r="H58" s="656">
        <f t="shared" si="25"/>
        <v>136.97318981197887</v>
      </c>
      <c r="I58" s="532"/>
      <c r="J58" s="657">
        <f t="shared" si="28"/>
        <v>4.813189811978873</v>
      </c>
      <c r="L58" s="514">
        <f t="shared" si="0"/>
        <v>51</v>
      </c>
      <c r="M58" s="965">
        <v>132.16</v>
      </c>
      <c r="N58" s="965">
        <v>0</v>
      </c>
      <c r="O58" s="937">
        <f t="shared" si="26"/>
        <v>132.16</v>
      </c>
      <c r="P58" s="966"/>
      <c r="Q58" s="514">
        <f t="shared" si="1"/>
        <v>51</v>
      </c>
      <c r="R58" s="967">
        <v>140.58634157424862</v>
      </c>
      <c r="S58" s="967">
        <v>0</v>
      </c>
      <c r="T58" s="937">
        <f t="shared" si="27"/>
        <v>140.58634157424862</v>
      </c>
      <c r="W58" s="340">
        <f t="shared" si="6"/>
        <v>136.97318981197887</v>
      </c>
      <c r="Y58" s="340">
        <v>139.71517331052613</v>
      </c>
      <c r="AA58" s="340">
        <v>136.52195354447016</v>
      </c>
      <c r="AC58" s="340">
        <v>136.97318981197887</v>
      </c>
    </row>
    <row r="59" spans="1:29">
      <c r="A59" s="523">
        <f t="shared" si="2"/>
        <v>49</v>
      </c>
      <c r="B59" s="529">
        <v>867</v>
      </c>
      <c r="C59" s="528"/>
      <c r="D59" s="528" t="s">
        <v>483</v>
      </c>
      <c r="E59" s="526"/>
      <c r="F59" s="656">
        <f t="shared" si="24"/>
        <v>0</v>
      </c>
      <c r="G59" s="532"/>
      <c r="H59" s="656">
        <f t="shared" si="25"/>
        <v>0</v>
      </c>
      <c r="I59" s="532"/>
      <c r="J59" s="657">
        <f t="shared" si="28"/>
        <v>0</v>
      </c>
      <c r="L59" s="514">
        <f t="shared" si="0"/>
        <v>52</v>
      </c>
      <c r="M59" s="965">
        <v>0</v>
      </c>
      <c r="N59" s="965">
        <v>0</v>
      </c>
      <c r="O59" s="937">
        <f t="shared" si="26"/>
        <v>0</v>
      </c>
      <c r="P59" s="966"/>
      <c r="Q59" s="514">
        <f t="shared" si="1"/>
        <v>52</v>
      </c>
      <c r="R59" s="967">
        <v>0</v>
      </c>
      <c r="S59" s="967">
        <v>0</v>
      </c>
      <c r="T59" s="937">
        <f t="shared" si="27"/>
        <v>0</v>
      </c>
      <c r="W59" s="340">
        <f t="shared" si="6"/>
        <v>0</v>
      </c>
      <c r="Y59" s="340">
        <v>0</v>
      </c>
      <c r="AA59" s="340">
        <v>0</v>
      </c>
      <c r="AC59" s="340">
        <v>0</v>
      </c>
    </row>
    <row r="60" spans="1:29">
      <c r="A60" s="523">
        <f t="shared" si="2"/>
        <v>50</v>
      </c>
      <c r="B60" s="524"/>
      <c r="C60" s="525" t="s">
        <v>167</v>
      </c>
      <c r="D60" s="528"/>
      <c r="E60" s="526"/>
      <c r="F60" s="561">
        <f>SUM(F53:F59)</f>
        <v>3169.37</v>
      </c>
      <c r="G60" s="560"/>
      <c r="H60" s="561">
        <f>SUM(H53:H59)</f>
        <v>3284.7965995338336</v>
      </c>
      <c r="I60" s="560"/>
      <c r="J60" s="561">
        <f>SUM(J53:J59)</f>
        <v>115.4265995338335</v>
      </c>
      <c r="L60" s="514">
        <f t="shared" si="0"/>
        <v>53</v>
      </c>
      <c r="M60" s="937">
        <f>SUM(M53:M59)</f>
        <v>3169.37</v>
      </c>
      <c r="N60" s="937">
        <f>SUM(N53:N59)</f>
        <v>0</v>
      </c>
      <c r="O60" s="937">
        <f t="shared" si="26"/>
        <v>3169.37</v>
      </c>
      <c r="P60" s="966"/>
      <c r="Q60" s="514">
        <f t="shared" si="1"/>
        <v>53</v>
      </c>
      <c r="R60" s="937">
        <f>SUM(R53:R59)</f>
        <v>3371.4447139465524</v>
      </c>
      <c r="S60" s="937">
        <f>SUM(S53:S59)</f>
        <v>0</v>
      </c>
      <c r="T60" s="937">
        <f t="shared" si="27"/>
        <v>3371.4447139465524</v>
      </c>
      <c r="W60" s="340">
        <f t="shared" si="6"/>
        <v>3284.7965995338336</v>
      </c>
      <c r="Y60" s="340">
        <v>3350.5529572880009</v>
      </c>
      <c r="AA60" s="340">
        <v>3273.9753624790969</v>
      </c>
      <c r="AC60" s="340">
        <v>3284.7965995338336</v>
      </c>
    </row>
    <row r="61" spans="1:29">
      <c r="A61" s="523">
        <f t="shared" si="2"/>
        <v>51</v>
      </c>
      <c r="B61" s="524"/>
      <c r="C61" s="528"/>
      <c r="D61" s="528"/>
      <c r="E61" s="526"/>
      <c r="F61" s="556"/>
      <c r="G61" s="560"/>
      <c r="H61" s="556"/>
      <c r="I61" s="560"/>
      <c r="J61" s="556"/>
      <c r="L61" s="514">
        <f t="shared" si="0"/>
        <v>54</v>
      </c>
      <c r="M61" s="963"/>
      <c r="N61" s="963"/>
      <c r="O61" s="506"/>
      <c r="P61" s="966"/>
      <c r="Q61" s="962">
        <f t="shared" si="1"/>
        <v>54</v>
      </c>
      <c r="R61" s="963"/>
      <c r="S61" s="963"/>
      <c r="T61" s="506"/>
      <c r="W61" s="340">
        <f t="shared" si="6"/>
        <v>0</v>
      </c>
    </row>
    <row r="62" spans="1:29">
      <c r="A62" s="523">
        <f t="shared" si="2"/>
        <v>52</v>
      </c>
      <c r="B62" s="533"/>
      <c r="C62" s="534" t="s">
        <v>379</v>
      </c>
      <c r="D62" s="528"/>
      <c r="E62" s="526"/>
      <c r="F62" s="562">
        <f>SUM(F50+F60)</f>
        <v>6789.3599999999988</v>
      </c>
      <c r="G62" s="560"/>
      <c r="H62" s="562">
        <f>SUM(H50+H60)</f>
        <v>7036.6245156012155</v>
      </c>
      <c r="I62" s="560"/>
      <c r="J62" s="562">
        <f>SUM(J50+J60)</f>
        <v>247.26451560121683</v>
      </c>
      <c r="L62" s="514">
        <f t="shared" si="0"/>
        <v>55</v>
      </c>
      <c r="M62" s="937">
        <f>M50+M60</f>
        <v>6789.3599999999988</v>
      </c>
      <c r="N62" s="937">
        <f>N50+N60</f>
        <v>0</v>
      </c>
      <c r="O62" s="937">
        <f t="shared" si="26"/>
        <v>6789.3599999999988</v>
      </c>
      <c r="P62" s="966"/>
      <c r="Q62" s="514">
        <f t="shared" si="1"/>
        <v>55</v>
      </c>
      <c r="R62" s="937">
        <f>SUM(R50+R60)</f>
        <v>7222.2403452674071</v>
      </c>
      <c r="S62" s="937">
        <f>SUM(S50+S60)</f>
        <v>0</v>
      </c>
      <c r="T62" s="937">
        <f>SUM(T50+T60)</f>
        <v>7222.2403452674071</v>
      </c>
      <c r="W62" s="340">
        <f t="shared" si="6"/>
        <v>7036.6245156012155</v>
      </c>
      <c r="Y62" s="340">
        <v>7177.4864487557024</v>
      </c>
      <c r="AA62" s="340">
        <v>7013.4434815124387</v>
      </c>
      <c r="AC62" s="340">
        <v>7036.6245156012155</v>
      </c>
    </row>
    <row r="63" spans="1:29">
      <c r="A63" s="523">
        <f t="shared" si="2"/>
        <v>53</v>
      </c>
      <c r="B63" s="533"/>
      <c r="C63" s="534"/>
      <c r="D63" s="528"/>
      <c r="E63" s="526"/>
      <c r="F63" s="562"/>
      <c r="G63" s="557"/>
      <c r="H63" s="562"/>
      <c r="I63" s="557"/>
      <c r="J63" s="562"/>
      <c r="L63" s="514">
        <f t="shared" si="0"/>
        <v>56</v>
      </c>
      <c r="M63" s="963"/>
      <c r="N63" s="963"/>
      <c r="O63" s="506"/>
      <c r="P63" s="966"/>
      <c r="Q63" s="962">
        <f t="shared" si="1"/>
        <v>56</v>
      </c>
      <c r="R63" s="1610"/>
      <c r="S63" s="1610"/>
      <c r="T63" s="506"/>
      <c r="W63" s="340">
        <f t="shared" si="6"/>
        <v>0</v>
      </c>
    </row>
    <row r="64" spans="1:29">
      <c r="A64" s="523">
        <f t="shared" si="2"/>
        <v>54</v>
      </c>
      <c r="B64" s="533"/>
      <c r="C64" s="525" t="s">
        <v>244</v>
      </c>
      <c r="D64" s="528"/>
      <c r="E64" s="526"/>
      <c r="F64" s="562"/>
      <c r="G64" s="557"/>
      <c r="H64" s="562"/>
      <c r="I64" s="557"/>
      <c r="J64" s="562"/>
      <c r="L64" s="514">
        <f t="shared" si="0"/>
        <v>57</v>
      </c>
      <c r="M64" s="963"/>
      <c r="N64" s="963"/>
      <c r="O64" s="506"/>
      <c r="P64" s="966"/>
      <c r="Q64" s="962">
        <f t="shared" si="1"/>
        <v>57</v>
      </c>
      <c r="R64" s="1610"/>
      <c r="S64" s="1610"/>
      <c r="T64" s="506"/>
      <c r="W64" s="340">
        <f t="shared" si="6"/>
        <v>0</v>
      </c>
    </row>
    <row r="65" spans="1:29">
      <c r="A65" s="523">
        <f t="shared" si="2"/>
        <v>55</v>
      </c>
      <c r="B65" s="533"/>
      <c r="C65" s="534"/>
      <c r="D65" s="525" t="s">
        <v>163</v>
      </c>
      <c r="E65" s="526"/>
      <c r="F65" s="562"/>
      <c r="G65" s="557"/>
      <c r="H65" s="562"/>
      <c r="I65" s="557"/>
      <c r="J65" s="562"/>
      <c r="L65" s="514">
        <f t="shared" si="0"/>
        <v>58</v>
      </c>
      <c r="M65" s="963"/>
      <c r="N65" s="963"/>
      <c r="O65" s="506"/>
      <c r="P65" s="966"/>
      <c r="Q65" s="962">
        <f t="shared" si="1"/>
        <v>58</v>
      </c>
      <c r="R65" s="1610"/>
      <c r="S65" s="1610"/>
      <c r="T65" s="506"/>
      <c r="W65" s="340">
        <f t="shared" si="6"/>
        <v>0</v>
      </c>
    </row>
    <row r="66" spans="1:29">
      <c r="A66" s="523">
        <f t="shared" si="2"/>
        <v>56</v>
      </c>
      <c r="B66" s="533">
        <v>870</v>
      </c>
      <c r="C66" s="534"/>
      <c r="D66" s="528" t="s">
        <v>416</v>
      </c>
      <c r="E66" s="526"/>
      <c r="F66" s="556">
        <f t="shared" ref="F66:F76" si="29">HLOOKUP($J$1,$M$8:$T$144,$L66,FALSE)</f>
        <v>1958992.7799999989</v>
      </c>
      <c r="G66" s="557"/>
      <c r="H66" s="556">
        <f t="shared" ref="H66:H76" si="30">IF($F$143="Y",W66,HLOOKUP($J$1,$R$8:$T$145,Q66,FALSE))</f>
        <v>2163551.9132788079</v>
      </c>
      <c r="I66" s="557"/>
      <c r="J66" s="558">
        <f t="shared" ref="J66:J76" si="31">-F66+H66</f>
        <v>204559.13327880902</v>
      </c>
      <c r="L66" s="514">
        <f t="shared" si="0"/>
        <v>59</v>
      </c>
      <c r="M66" s="965">
        <v>1177351.6199999989</v>
      </c>
      <c r="N66" s="965">
        <v>781641.15999999992</v>
      </c>
      <c r="O66" s="937">
        <f t="shared" ref="O66:O77" si="32">M66+N66</f>
        <v>1958992.7799999989</v>
      </c>
      <c r="P66" s="966"/>
      <c r="Q66" s="514">
        <f t="shared" si="1"/>
        <v>59</v>
      </c>
      <c r="R66" s="967">
        <v>1252417.9555259899</v>
      </c>
      <c r="S66" s="967">
        <v>964956.64452925511</v>
      </c>
      <c r="T66" s="937">
        <f t="shared" ref="T66:T77" si="33">R66+S66</f>
        <v>2217374.6000552448</v>
      </c>
      <c r="W66" s="340">
        <f t="shared" si="6"/>
        <v>2163551.9132788079</v>
      </c>
      <c r="Y66" s="340">
        <v>2213321.2048862176</v>
      </c>
      <c r="AA66" s="340">
        <v>2150151.3351455512</v>
      </c>
      <c r="AC66" s="340">
        <v>2163551.9132788079</v>
      </c>
    </row>
    <row r="67" spans="1:29">
      <c r="A67" s="523">
        <f t="shared" si="2"/>
        <v>57</v>
      </c>
      <c r="B67" s="535">
        <v>871</v>
      </c>
      <c r="C67" s="534"/>
      <c r="D67" s="528" t="s">
        <v>417</v>
      </c>
      <c r="E67" s="526"/>
      <c r="F67" s="656">
        <f t="shared" si="29"/>
        <v>0</v>
      </c>
      <c r="G67" s="530"/>
      <c r="H67" s="656">
        <f t="shared" si="30"/>
        <v>0</v>
      </c>
      <c r="I67" s="530"/>
      <c r="J67" s="657">
        <f t="shared" si="31"/>
        <v>0</v>
      </c>
      <c r="L67" s="514">
        <f t="shared" si="0"/>
        <v>60</v>
      </c>
      <c r="M67" s="965">
        <v>0</v>
      </c>
      <c r="N67" s="965">
        <v>0</v>
      </c>
      <c r="O67" s="937">
        <f t="shared" si="32"/>
        <v>0</v>
      </c>
      <c r="P67" s="966"/>
      <c r="Q67" s="514">
        <f t="shared" si="1"/>
        <v>60</v>
      </c>
      <c r="R67" s="967">
        <v>0</v>
      </c>
      <c r="S67" s="967">
        <v>0</v>
      </c>
      <c r="T67" s="937">
        <f t="shared" si="33"/>
        <v>0</v>
      </c>
      <c r="W67" s="340">
        <f t="shared" si="6"/>
        <v>0</v>
      </c>
      <c r="Y67" s="340">
        <v>0</v>
      </c>
      <c r="AA67" s="340">
        <v>0</v>
      </c>
      <c r="AC67" s="340">
        <v>0</v>
      </c>
    </row>
    <row r="68" spans="1:29">
      <c r="A68" s="523">
        <f t="shared" si="2"/>
        <v>58</v>
      </c>
      <c r="B68" s="535">
        <v>872</v>
      </c>
      <c r="C68" s="534"/>
      <c r="D68" s="528" t="s">
        <v>573</v>
      </c>
      <c r="E68" s="526"/>
      <c r="F68" s="656">
        <f t="shared" si="29"/>
        <v>0</v>
      </c>
      <c r="G68" s="530"/>
      <c r="H68" s="656">
        <f t="shared" si="30"/>
        <v>0</v>
      </c>
      <c r="I68" s="530"/>
      <c r="J68" s="657">
        <f t="shared" si="31"/>
        <v>0</v>
      </c>
      <c r="L68" s="514">
        <f t="shared" si="0"/>
        <v>61</v>
      </c>
      <c r="M68" s="965">
        <v>0</v>
      </c>
      <c r="N68" s="965">
        <v>0</v>
      </c>
      <c r="O68" s="937">
        <f t="shared" si="32"/>
        <v>0</v>
      </c>
      <c r="P68" s="966"/>
      <c r="Q68" s="514">
        <f t="shared" si="1"/>
        <v>61</v>
      </c>
      <c r="R68" s="967">
        <v>0</v>
      </c>
      <c r="S68" s="967">
        <v>0</v>
      </c>
      <c r="T68" s="937">
        <f t="shared" si="33"/>
        <v>0</v>
      </c>
      <c r="W68" s="340">
        <f t="shared" si="6"/>
        <v>0</v>
      </c>
      <c r="Y68" s="340">
        <v>0</v>
      </c>
      <c r="AA68" s="340">
        <v>0</v>
      </c>
      <c r="AC68" s="340">
        <v>0</v>
      </c>
    </row>
    <row r="69" spans="1:29">
      <c r="A69" s="523">
        <f t="shared" si="2"/>
        <v>59</v>
      </c>
      <c r="B69" s="535">
        <v>874</v>
      </c>
      <c r="C69" s="534"/>
      <c r="D69" s="528" t="s">
        <v>924</v>
      </c>
      <c r="E69" s="526"/>
      <c r="F69" s="656">
        <f t="shared" si="29"/>
        <v>4254741.7799999984</v>
      </c>
      <c r="G69" s="530"/>
      <c r="H69" s="656">
        <f t="shared" si="30"/>
        <v>4833265.1325304201</v>
      </c>
      <c r="I69" s="530"/>
      <c r="J69" s="657">
        <f t="shared" si="31"/>
        <v>578523.35253042169</v>
      </c>
      <c r="L69" s="514">
        <f t="shared" si="0"/>
        <v>62</v>
      </c>
      <c r="M69" s="965">
        <v>1769425.7700000009</v>
      </c>
      <c r="N69" s="965">
        <v>2485316.0099999974</v>
      </c>
      <c r="O69" s="937">
        <f t="shared" si="32"/>
        <v>4254741.7799999984</v>
      </c>
      <c r="P69" s="966"/>
      <c r="Q69" s="514">
        <f t="shared" si="1"/>
        <v>62</v>
      </c>
      <c r="R69" s="967">
        <v>1882241.9468182356</v>
      </c>
      <c r="S69" s="967">
        <v>3068188.2177295196</v>
      </c>
      <c r="T69" s="937">
        <f t="shared" si="33"/>
        <v>4950430.1645477554</v>
      </c>
      <c r="W69" s="340">
        <f t="shared" si="6"/>
        <v>4833265.1325304201</v>
      </c>
      <c r="Y69" s="340">
        <v>4950554.7255767742</v>
      </c>
      <c r="AA69" s="340">
        <v>4797396.6787597463</v>
      </c>
      <c r="AC69" s="340">
        <v>4833265.1325304201</v>
      </c>
    </row>
    <row r="70" spans="1:29">
      <c r="A70" s="523">
        <f t="shared" si="2"/>
        <v>60</v>
      </c>
      <c r="B70" s="535">
        <v>875</v>
      </c>
      <c r="C70" s="534"/>
      <c r="D70" s="528" t="s">
        <v>925</v>
      </c>
      <c r="E70" s="526"/>
      <c r="F70" s="656">
        <f t="shared" si="29"/>
        <v>580917.06000000006</v>
      </c>
      <c r="G70" s="530"/>
      <c r="H70" s="656">
        <f t="shared" si="30"/>
        <v>642434.42660663184</v>
      </c>
      <c r="I70" s="530"/>
      <c r="J70" s="657">
        <f t="shared" si="31"/>
        <v>61517.366606631782</v>
      </c>
      <c r="L70" s="514">
        <f t="shared" si="0"/>
        <v>63</v>
      </c>
      <c r="M70" s="965">
        <v>344097.76000000013</v>
      </c>
      <c r="N70" s="965">
        <v>236819.29999999987</v>
      </c>
      <c r="O70" s="937">
        <f t="shared" si="32"/>
        <v>580917.06000000006</v>
      </c>
      <c r="P70" s="966"/>
      <c r="Q70" s="514">
        <f t="shared" si="1"/>
        <v>63</v>
      </c>
      <c r="R70" s="967">
        <v>366036.96445440257</v>
      </c>
      <c r="S70" s="967">
        <v>292359.67702592188</v>
      </c>
      <c r="T70" s="937">
        <f t="shared" si="33"/>
        <v>658396.64148032444</v>
      </c>
      <c r="W70" s="340">
        <f t="shared" si="6"/>
        <v>642434.42660663184</v>
      </c>
      <c r="Y70" s="340">
        <v>657251.69602540997</v>
      </c>
      <c r="AA70" s="340">
        <v>638417.42334509501</v>
      </c>
      <c r="AC70" s="340">
        <v>642434.42660663184</v>
      </c>
    </row>
    <row r="71" spans="1:29">
      <c r="A71" s="523">
        <f t="shared" si="2"/>
        <v>61</v>
      </c>
      <c r="B71" s="535">
        <v>876</v>
      </c>
      <c r="C71" s="534"/>
      <c r="D71" s="528" t="s">
        <v>926</v>
      </c>
      <c r="E71" s="526"/>
      <c r="F71" s="656">
        <f t="shared" si="29"/>
        <v>8815.7899999999936</v>
      </c>
      <c r="G71" s="530"/>
      <c r="H71" s="656">
        <f t="shared" si="30"/>
        <v>10413.048481126858</v>
      </c>
      <c r="I71" s="530"/>
      <c r="J71" s="657">
        <f t="shared" si="31"/>
        <v>1597.2584811268644</v>
      </c>
      <c r="L71" s="514">
        <f t="shared" si="0"/>
        <v>64</v>
      </c>
      <c r="M71" s="965">
        <v>1327.6400000000003</v>
      </c>
      <c r="N71" s="965">
        <v>7488.1499999999924</v>
      </c>
      <c r="O71" s="937">
        <f t="shared" si="32"/>
        <v>8815.7899999999936</v>
      </c>
      <c r="P71" s="966"/>
      <c r="Q71" s="514">
        <f t="shared" si="1"/>
        <v>64</v>
      </c>
      <c r="R71" s="967">
        <v>1412.2885179149175</v>
      </c>
      <c r="S71" s="967">
        <v>9244.3188351694971</v>
      </c>
      <c r="T71" s="937">
        <f t="shared" si="33"/>
        <v>10656.607353084415</v>
      </c>
      <c r="W71" s="340">
        <f t="shared" si="6"/>
        <v>10413.048481126858</v>
      </c>
      <c r="Y71" s="340">
        <v>10683.37321851277</v>
      </c>
      <c r="AA71" s="340">
        <v>10318.647815322127</v>
      </c>
      <c r="AC71" s="340">
        <v>10413.048481126858</v>
      </c>
    </row>
    <row r="72" spans="1:29">
      <c r="A72" s="523">
        <f t="shared" si="2"/>
        <v>62</v>
      </c>
      <c r="B72" s="535">
        <v>877</v>
      </c>
      <c r="C72" s="534"/>
      <c r="D72" s="528" t="s">
        <v>574</v>
      </c>
      <c r="E72" s="526"/>
      <c r="F72" s="656">
        <f t="shared" si="29"/>
        <v>152793.04999999999</v>
      </c>
      <c r="G72" s="532"/>
      <c r="H72" s="656">
        <f t="shared" si="30"/>
        <v>174636.87742041875</v>
      </c>
      <c r="I72" s="532"/>
      <c r="J72" s="657">
        <f t="shared" si="31"/>
        <v>21843.827420418762</v>
      </c>
      <c r="L72" s="514">
        <f t="shared" si="0"/>
        <v>65</v>
      </c>
      <c r="M72" s="965">
        <v>57273.729999999981</v>
      </c>
      <c r="N72" s="965">
        <v>95519.319999999992</v>
      </c>
      <c r="O72" s="937">
        <f t="shared" si="32"/>
        <v>152793.04999999999</v>
      </c>
      <c r="P72" s="966"/>
      <c r="Q72" s="514">
        <f t="shared" si="1"/>
        <v>65</v>
      </c>
      <c r="R72" s="967">
        <v>60925.425007651997</v>
      </c>
      <c r="S72" s="967">
        <v>117921.12190575553</v>
      </c>
      <c r="T72" s="937">
        <f t="shared" si="33"/>
        <v>178846.54691340751</v>
      </c>
      <c r="W72" s="340">
        <f t="shared" si="6"/>
        <v>174636.87742041875</v>
      </c>
      <c r="Y72" s="340">
        <v>178922.07342823231</v>
      </c>
      <c r="AA72" s="340">
        <v>173294.96881469135</v>
      </c>
      <c r="AC72" s="340">
        <v>174636.87742041875</v>
      </c>
    </row>
    <row r="73" spans="1:29">
      <c r="A73" s="523">
        <f t="shared" si="2"/>
        <v>63</v>
      </c>
      <c r="B73" s="535">
        <v>878</v>
      </c>
      <c r="C73" s="534"/>
      <c r="D73" s="528" t="s">
        <v>927</v>
      </c>
      <c r="E73" s="526"/>
      <c r="F73" s="656">
        <f t="shared" si="29"/>
        <v>1311022.97</v>
      </c>
      <c r="G73" s="532"/>
      <c r="H73" s="656">
        <f t="shared" si="30"/>
        <v>1464072.6715181347</v>
      </c>
      <c r="I73" s="532"/>
      <c r="J73" s="657">
        <f t="shared" si="31"/>
        <v>153049.70151813468</v>
      </c>
      <c r="L73" s="514">
        <f t="shared" si="0"/>
        <v>66</v>
      </c>
      <c r="M73" s="965">
        <v>693150.1100000001</v>
      </c>
      <c r="N73" s="965">
        <v>617872.85999999987</v>
      </c>
      <c r="O73" s="937">
        <f t="shared" si="32"/>
        <v>1311022.97</v>
      </c>
      <c r="P73" s="966"/>
      <c r="Q73" s="514">
        <f t="shared" si="1"/>
        <v>66</v>
      </c>
      <c r="R73" s="967">
        <v>737344.4168181601</v>
      </c>
      <c r="S73" s="967">
        <v>762780.35528642591</v>
      </c>
      <c r="T73" s="937">
        <f t="shared" si="33"/>
        <v>1500124.772104586</v>
      </c>
      <c r="W73" s="340">
        <f t="shared" si="6"/>
        <v>1464072.6715181347</v>
      </c>
      <c r="Y73" s="340">
        <v>1498486.3453247868</v>
      </c>
      <c r="AA73" s="340">
        <v>1454290.747011438</v>
      </c>
      <c r="AC73" s="340">
        <v>1464072.6715181347</v>
      </c>
    </row>
    <row r="74" spans="1:29">
      <c r="A74" s="523">
        <f t="shared" si="2"/>
        <v>64</v>
      </c>
      <c r="B74" s="535">
        <v>879</v>
      </c>
      <c r="C74" s="534"/>
      <c r="D74" s="528" t="s">
        <v>928</v>
      </c>
      <c r="E74" s="545"/>
      <c r="F74" s="656">
        <f t="shared" si="29"/>
        <v>888405.28999999969</v>
      </c>
      <c r="G74" s="532"/>
      <c r="H74" s="656">
        <f t="shared" si="30"/>
        <v>981233.84386242996</v>
      </c>
      <c r="I74" s="532"/>
      <c r="J74" s="657">
        <f t="shared" si="31"/>
        <v>92828.553862430272</v>
      </c>
      <c r="L74" s="514">
        <f t="shared" si="0"/>
        <v>67</v>
      </c>
      <c r="M74" s="965">
        <v>533573.62000000011</v>
      </c>
      <c r="N74" s="965">
        <v>354831.66999999958</v>
      </c>
      <c r="O74" s="937">
        <f t="shared" si="32"/>
        <v>888405.28999999969</v>
      </c>
      <c r="P74" s="966"/>
      <c r="Q74" s="514">
        <f t="shared" si="1"/>
        <v>67</v>
      </c>
      <c r="R74" s="967">
        <v>567593.54718771449</v>
      </c>
      <c r="S74" s="967">
        <v>438049.06289212243</v>
      </c>
      <c r="T74" s="937">
        <f t="shared" si="33"/>
        <v>1005642.6100798369</v>
      </c>
      <c r="W74" s="340">
        <f t="shared" si="6"/>
        <v>981233.84386242996</v>
      </c>
      <c r="Y74" s="340">
        <v>1003808.4329057096</v>
      </c>
      <c r="AA74" s="340">
        <v>975153.60560275498</v>
      </c>
      <c r="AC74" s="340">
        <v>981233.84386242996</v>
      </c>
    </row>
    <row r="75" spans="1:29">
      <c r="A75" s="523">
        <f t="shared" si="2"/>
        <v>65</v>
      </c>
      <c r="B75" s="535">
        <v>880</v>
      </c>
      <c r="C75" s="534"/>
      <c r="D75" s="528" t="s">
        <v>422</v>
      </c>
      <c r="E75" s="536"/>
      <c r="F75" s="656">
        <f t="shared" si="29"/>
        <v>6221349.1699999943</v>
      </c>
      <c r="G75" s="532"/>
      <c r="H75" s="656">
        <f t="shared" si="30"/>
        <v>7036188.8336202167</v>
      </c>
      <c r="I75" s="532"/>
      <c r="J75" s="657">
        <f t="shared" si="31"/>
        <v>814839.66362022236</v>
      </c>
      <c r="L75" s="514">
        <f t="shared" si="0"/>
        <v>68</v>
      </c>
      <c r="M75" s="965">
        <v>2769681.7099999995</v>
      </c>
      <c r="N75" s="965">
        <v>3451667.4599999953</v>
      </c>
      <c r="O75" s="937">
        <f t="shared" si="32"/>
        <v>6221349.1699999943</v>
      </c>
      <c r="P75" s="966"/>
      <c r="Q75" s="514">
        <f t="shared" si="1"/>
        <v>68</v>
      </c>
      <c r="R75" s="967">
        <v>2946272.8430236755</v>
      </c>
      <c r="S75" s="967">
        <v>4261174.5909496527</v>
      </c>
      <c r="T75" s="937">
        <f t="shared" si="33"/>
        <v>7207447.4339733282</v>
      </c>
      <c r="W75" s="340">
        <f t="shared" si="6"/>
        <v>7036188.8336202167</v>
      </c>
      <c r="Y75" s="340">
        <v>7205562.080966969</v>
      </c>
      <c r="AA75" s="340">
        <v>6985307.6954789832</v>
      </c>
      <c r="AC75" s="340">
        <v>7036188.8336202167</v>
      </c>
    </row>
    <row r="76" spans="1:29">
      <c r="A76" s="523">
        <f t="shared" si="2"/>
        <v>66</v>
      </c>
      <c r="B76" s="535">
        <v>881</v>
      </c>
      <c r="C76" s="534"/>
      <c r="D76" s="528" t="s">
        <v>423</v>
      </c>
      <c r="E76" s="536"/>
      <c r="F76" s="656">
        <f t="shared" si="29"/>
        <v>0</v>
      </c>
      <c r="G76" s="532"/>
      <c r="H76" s="656">
        <f t="shared" si="30"/>
        <v>0</v>
      </c>
      <c r="I76" s="532"/>
      <c r="J76" s="657">
        <f t="shared" si="31"/>
        <v>0</v>
      </c>
      <c r="L76" s="514">
        <f t="shared" si="0"/>
        <v>69</v>
      </c>
      <c r="M76" s="965">
        <v>0</v>
      </c>
      <c r="N76" s="965">
        <v>0</v>
      </c>
      <c r="O76" s="937">
        <f t="shared" si="32"/>
        <v>0</v>
      </c>
      <c r="P76" s="966"/>
      <c r="Q76" s="514">
        <f t="shared" si="1"/>
        <v>69</v>
      </c>
      <c r="R76" s="967">
        <v>0</v>
      </c>
      <c r="S76" s="967">
        <v>0</v>
      </c>
      <c r="T76" s="937">
        <f t="shared" si="33"/>
        <v>0</v>
      </c>
      <c r="W76" s="340">
        <f t="shared" si="6"/>
        <v>0</v>
      </c>
      <c r="Y76" s="340">
        <v>0</v>
      </c>
      <c r="AA76" s="340">
        <v>0</v>
      </c>
      <c r="AC76" s="340">
        <v>0</v>
      </c>
    </row>
    <row r="77" spans="1:29">
      <c r="A77" s="523">
        <f t="shared" si="2"/>
        <v>67</v>
      </c>
      <c r="B77" s="533"/>
      <c r="C77" s="525" t="s">
        <v>164</v>
      </c>
      <c r="D77" s="528"/>
      <c r="E77" s="536"/>
      <c r="F77" s="561">
        <f>SUM(F66:F76)</f>
        <v>15377037.889999991</v>
      </c>
      <c r="G77" s="560"/>
      <c r="H77" s="561">
        <f>SUM(H66:H76)</f>
        <v>17305796.747318186</v>
      </c>
      <c r="I77" s="560"/>
      <c r="J77" s="561">
        <f>SUM(J66:J76)</f>
        <v>1928758.8573181955</v>
      </c>
      <c r="L77" s="514">
        <f t="shared" si="0"/>
        <v>70</v>
      </c>
      <c r="M77" s="937">
        <f>SUM(M66:M76)</f>
        <v>7345881.959999999</v>
      </c>
      <c r="N77" s="937">
        <f>SUM(N66:N76)</f>
        <v>8031155.9299999923</v>
      </c>
      <c r="O77" s="937">
        <f t="shared" si="32"/>
        <v>15377037.889999991</v>
      </c>
      <c r="P77" s="966"/>
      <c r="Q77" s="514">
        <f t="shared" si="1"/>
        <v>70</v>
      </c>
      <c r="R77" s="937">
        <f>SUM(R66:R76)</f>
        <v>7814245.3873537453</v>
      </c>
      <c r="S77" s="937">
        <f>SUM(S66:S76)</f>
        <v>9914673.989153821</v>
      </c>
      <c r="T77" s="937">
        <f t="shared" si="33"/>
        <v>17728919.376507565</v>
      </c>
      <c r="W77" s="340">
        <f t="shared" si="6"/>
        <v>17305796.747318186</v>
      </c>
      <c r="Y77" s="340">
        <v>17718589.932332613</v>
      </c>
      <c r="AA77" s="340">
        <v>17184331.101973582</v>
      </c>
      <c r="AC77" s="340">
        <v>17305796.747318186</v>
      </c>
    </row>
    <row r="78" spans="1:29">
      <c r="A78" s="523">
        <f t="shared" si="2"/>
        <v>68</v>
      </c>
      <c r="B78" s="533"/>
      <c r="C78" s="534"/>
      <c r="D78" s="528"/>
      <c r="E78" s="536"/>
      <c r="F78" s="562"/>
      <c r="G78" s="560"/>
      <c r="H78" s="562"/>
      <c r="I78" s="560"/>
      <c r="J78" s="562"/>
      <c r="L78" s="514">
        <f t="shared" si="0"/>
        <v>71</v>
      </c>
      <c r="M78" s="963"/>
      <c r="N78" s="963"/>
      <c r="O78" s="506"/>
      <c r="P78" s="966"/>
      <c r="Q78" s="962">
        <f t="shared" si="1"/>
        <v>71</v>
      </c>
      <c r="R78" s="1610"/>
      <c r="S78" s="1610"/>
      <c r="T78" s="506"/>
      <c r="W78" s="340">
        <f t="shared" ref="W78:W139" si="34">IF($F$146="Y",AC78,IF($F$144="Y",AA78,Y78))</f>
        <v>0</v>
      </c>
    </row>
    <row r="79" spans="1:29">
      <c r="A79" s="523">
        <f t="shared" si="2"/>
        <v>69</v>
      </c>
      <c r="B79" s="533"/>
      <c r="C79" s="534"/>
      <c r="D79" s="525" t="s">
        <v>165</v>
      </c>
      <c r="F79" s="562"/>
      <c r="G79" s="560"/>
      <c r="H79" s="562"/>
      <c r="I79" s="560"/>
      <c r="J79" s="562"/>
      <c r="L79" s="514">
        <f t="shared" si="0"/>
        <v>72</v>
      </c>
      <c r="M79" s="963"/>
      <c r="N79" s="963"/>
      <c r="O79" s="506"/>
      <c r="P79" s="966"/>
      <c r="Q79" s="962">
        <f t="shared" si="1"/>
        <v>72</v>
      </c>
      <c r="R79" s="1610"/>
      <c r="S79" s="1610"/>
      <c r="T79" s="506"/>
      <c r="W79" s="340">
        <f t="shared" si="34"/>
        <v>0</v>
      </c>
    </row>
    <row r="80" spans="1:29">
      <c r="A80" s="523">
        <f t="shared" si="2"/>
        <v>70</v>
      </c>
      <c r="B80" s="535">
        <v>885</v>
      </c>
      <c r="C80" s="534"/>
      <c r="D80" s="528" t="s">
        <v>424</v>
      </c>
      <c r="F80" s="556">
        <f t="shared" ref="F80:F89" si="35">HLOOKUP($J$1,$M$8:$T$144,$L80,FALSE)</f>
        <v>0</v>
      </c>
      <c r="G80" s="560"/>
      <c r="H80" s="556">
        <f t="shared" ref="H80:H89" si="36">IF($F$143="Y",W80,HLOOKUP($J$1,$R$8:$T$145,Q80,FALSE))</f>
        <v>0</v>
      </c>
      <c r="I80" s="560"/>
      <c r="J80" s="558">
        <f t="shared" ref="J80:J89" si="37">-F80+H80</f>
        <v>0</v>
      </c>
      <c r="L80" s="514">
        <f t="shared" si="0"/>
        <v>73</v>
      </c>
      <c r="M80" s="965">
        <v>0</v>
      </c>
      <c r="N80" s="965">
        <v>0</v>
      </c>
      <c r="O80" s="937">
        <f t="shared" ref="O80:O92" si="38">M80+N80</f>
        <v>0</v>
      </c>
      <c r="P80" s="966"/>
      <c r="Q80" s="514">
        <f t="shared" si="1"/>
        <v>73</v>
      </c>
      <c r="R80" s="967">
        <v>0</v>
      </c>
      <c r="S80" s="967">
        <v>0</v>
      </c>
      <c r="T80" s="937">
        <f t="shared" ref="T80:T90" si="39">R80+S80</f>
        <v>0</v>
      </c>
      <c r="W80" s="340">
        <f t="shared" si="34"/>
        <v>0</v>
      </c>
      <c r="Y80" s="340">
        <v>0</v>
      </c>
      <c r="AA80" s="340">
        <v>0</v>
      </c>
      <c r="AC80" s="340">
        <v>0</v>
      </c>
    </row>
    <row r="81" spans="1:29">
      <c r="A81" s="523">
        <f t="shared" si="2"/>
        <v>71</v>
      </c>
      <c r="B81" s="535">
        <v>886</v>
      </c>
      <c r="C81" s="534"/>
      <c r="D81" s="528" t="s">
        <v>572</v>
      </c>
      <c r="F81" s="656">
        <f t="shared" si="35"/>
        <v>0</v>
      </c>
      <c r="G81" s="532"/>
      <c r="H81" s="656">
        <f t="shared" si="36"/>
        <v>0</v>
      </c>
      <c r="I81" s="532"/>
      <c r="J81" s="657">
        <f t="shared" si="37"/>
        <v>0</v>
      </c>
      <c r="L81" s="514">
        <f t="shared" si="0"/>
        <v>74</v>
      </c>
      <c r="M81" s="965">
        <v>0</v>
      </c>
      <c r="N81" s="965">
        <v>0</v>
      </c>
      <c r="O81" s="937">
        <f t="shared" si="38"/>
        <v>0</v>
      </c>
      <c r="P81" s="966"/>
      <c r="Q81" s="514">
        <f t="shared" si="1"/>
        <v>74</v>
      </c>
      <c r="R81" s="967">
        <v>0</v>
      </c>
      <c r="S81" s="967">
        <v>0</v>
      </c>
      <c r="T81" s="937">
        <f t="shared" si="39"/>
        <v>0</v>
      </c>
      <c r="W81" s="340">
        <f t="shared" si="34"/>
        <v>0</v>
      </c>
      <c r="Y81" s="340">
        <v>0</v>
      </c>
      <c r="AA81" s="340">
        <v>0</v>
      </c>
      <c r="AC81" s="340">
        <v>0</v>
      </c>
    </row>
    <row r="82" spans="1:29">
      <c r="A82" s="523">
        <f t="shared" si="2"/>
        <v>72</v>
      </c>
      <c r="B82" s="535">
        <v>887</v>
      </c>
      <c r="C82" s="534"/>
      <c r="D82" s="528" t="s">
        <v>425</v>
      </c>
      <c r="F82" s="656">
        <f t="shared" si="35"/>
        <v>418617.4699999998</v>
      </c>
      <c r="G82" s="532"/>
      <c r="H82" s="656">
        <f t="shared" si="36"/>
        <v>446945.09614755184</v>
      </c>
      <c r="I82" s="532"/>
      <c r="J82" s="657">
        <f t="shared" si="37"/>
        <v>28327.626147552044</v>
      </c>
      <c r="L82" s="514">
        <f t="shared" si="0"/>
        <v>75</v>
      </c>
      <c r="M82" s="965">
        <v>341858.94999999978</v>
      </c>
      <c r="N82" s="965">
        <v>76758.52</v>
      </c>
      <c r="O82" s="937">
        <f t="shared" si="38"/>
        <v>418617.4699999998</v>
      </c>
      <c r="P82" s="966"/>
      <c r="Q82" s="514">
        <f t="shared" si="1"/>
        <v>75</v>
      </c>
      <c r="R82" s="967">
        <v>363655.41097846511</v>
      </c>
      <c r="S82" s="967">
        <v>94760.419088257491</v>
      </c>
      <c r="T82" s="937">
        <f t="shared" si="39"/>
        <v>458415.83006672258</v>
      </c>
      <c r="W82" s="340">
        <f t="shared" si="34"/>
        <v>446945.09614755184</v>
      </c>
      <c r="Y82" s="340">
        <v>456526.45124656433</v>
      </c>
      <c r="AA82" s="340">
        <v>444856.67745625391</v>
      </c>
      <c r="AC82" s="340">
        <v>446945.09614755184</v>
      </c>
    </row>
    <row r="83" spans="1:29">
      <c r="A83" s="523">
        <f t="shared" si="2"/>
        <v>73</v>
      </c>
      <c r="B83" s="535">
        <v>888</v>
      </c>
      <c r="C83" s="534"/>
      <c r="D83" s="528" t="s">
        <v>426</v>
      </c>
      <c r="F83" s="656">
        <f t="shared" si="35"/>
        <v>7278.99</v>
      </c>
      <c r="G83" s="532"/>
      <c r="H83" s="656">
        <f t="shared" si="36"/>
        <v>8092.932102182087</v>
      </c>
      <c r="I83" s="532"/>
      <c r="J83" s="657">
        <f t="shared" si="37"/>
        <v>813.94210218208718</v>
      </c>
      <c r="L83" s="514">
        <f t="shared" si="0"/>
        <v>76</v>
      </c>
      <c r="M83" s="965">
        <v>4058.6</v>
      </c>
      <c r="N83" s="965">
        <v>3220.39</v>
      </c>
      <c r="O83" s="937">
        <f t="shared" si="38"/>
        <v>7278.99</v>
      </c>
      <c r="P83" s="966"/>
      <c r="Q83" s="514">
        <f t="shared" si="1"/>
        <v>76</v>
      </c>
      <c r="R83" s="967">
        <v>4317.370807454944</v>
      </c>
      <c r="S83" s="967">
        <v>3975.6564616883375</v>
      </c>
      <c r="T83" s="937">
        <f t="shared" si="39"/>
        <v>8293.027269143282</v>
      </c>
      <c r="W83" s="340">
        <f t="shared" si="34"/>
        <v>8092.932102182087</v>
      </c>
      <c r="Y83" s="340">
        <v>8281.5486818555692</v>
      </c>
      <c r="AA83" s="340">
        <v>8040.425821808336</v>
      </c>
      <c r="AC83" s="340">
        <v>8092.932102182087</v>
      </c>
    </row>
    <row r="84" spans="1:29" ht="12.75" customHeight="1">
      <c r="A84" s="523">
        <f t="shared" si="2"/>
        <v>74</v>
      </c>
      <c r="B84" s="535">
        <v>889</v>
      </c>
      <c r="C84" s="534"/>
      <c r="D84" s="528" t="s">
        <v>575</v>
      </c>
      <c r="F84" s="656">
        <f t="shared" si="35"/>
        <v>140672.23999999993</v>
      </c>
      <c r="G84" s="532"/>
      <c r="H84" s="656">
        <f t="shared" si="36"/>
        <v>152878.40098551099</v>
      </c>
      <c r="I84" s="532"/>
      <c r="J84" s="657">
        <f t="shared" si="37"/>
        <v>12206.160985511058</v>
      </c>
      <c r="L84" s="514">
        <f t="shared" si="0"/>
        <v>77</v>
      </c>
      <c r="M84" s="965">
        <v>99112.469999999928</v>
      </c>
      <c r="N84" s="965">
        <v>41559.769999999997</v>
      </c>
      <c r="O84" s="937">
        <f t="shared" si="38"/>
        <v>140672.23999999993</v>
      </c>
      <c r="P84" s="966"/>
      <c r="Q84" s="514">
        <f t="shared" si="1"/>
        <v>77</v>
      </c>
      <c r="R84" s="967">
        <v>105431.74607814359</v>
      </c>
      <c r="S84" s="967">
        <v>51306.633093128825</v>
      </c>
      <c r="T84" s="937">
        <f t="shared" si="39"/>
        <v>156738.37917127242</v>
      </c>
      <c r="W84" s="340">
        <f t="shared" si="34"/>
        <v>152878.40098551099</v>
      </c>
      <c r="Y84" s="340">
        <v>156282.1765200072</v>
      </c>
      <c r="AA84" s="340">
        <v>152041.22741638345</v>
      </c>
      <c r="AC84" s="340">
        <v>152878.40098551099</v>
      </c>
    </row>
    <row r="85" spans="1:29">
      <c r="A85" s="523">
        <f t="shared" si="2"/>
        <v>75</v>
      </c>
      <c r="B85" s="535">
        <v>890</v>
      </c>
      <c r="C85" s="534"/>
      <c r="D85" s="528" t="s">
        <v>427</v>
      </c>
      <c r="F85" s="656">
        <f t="shared" si="35"/>
        <v>59123.489999999991</v>
      </c>
      <c r="G85" s="532"/>
      <c r="H85" s="656">
        <f t="shared" si="36"/>
        <v>64136.804143431589</v>
      </c>
      <c r="I85" s="532"/>
      <c r="J85" s="657">
        <f t="shared" si="37"/>
        <v>5013.3141434315985</v>
      </c>
      <c r="L85" s="514">
        <f t="shared" si="0"/>
        <v>78</v>
      </c>
      <c r="M85" s="965">
        <v>42341.819999999992</v>
      </c>
      <c r="N85" s="965">
        <v>16781.670000000002</v>
      </c>
      <c r="O85" s="937">
        <f t="shared" si="38"/>
        <v>59123.489999999991</v>
      </c>
      <c r="P85" s="966"/>
      <c r="Q85" s="514">
        <f t="shared" si="1"/>
        <v>78</v>
      </c>
      <c r="R85" s="967">
        <v>45041.476766005981</v>
      </c>
      <c r="S85" s="967">
        <v>20717.414590599692</v>
      </c>
      <c r="T85" s="937">
        <f t="shared" si="39"/>
        <v>65758.891356605673</v>
      </c>
      <c r="W85" s="340">
        <f t="shared" si="34"/>
        <v>64136.804143431589</v>
      </c>
      <c r="Y85" s="340">
        <v>65559.381688684385</v>
      </c>
      <c r="AA85" s="340">
        <v>63790.833521559471</v>
      </c>
      <c r="AC85" s="340">
        <v>64136.804143431589</v>
      </c>
    </row>
    <row r="86" spans="1:29">
      <c r="A86" s="523">
        <f t="shared" si="2"/>
        <v>76</v>
      </c>
      <c r="B86" s="535">
        <v>891</v>
      </c>
      <c r="C86" s="534"/>
      <c r="D86" s="528" t="s">
        <v>576</v>
      </c>
      <c r="F86" s="656">
        <f t="shared" si="35"/>
        <v>226975.98000000007</v>
      </c>
      <c r="G86" s="532"/>
      <c r="H86" s="656">
        <f t="shared" si="36"/>
        <v>244164.66425050914</v>
      </c>
      <c r="I86" s="532"/>
      <c r="J86" s="657">
        <f t="shared" si="37"/>
        <v>17188.684250509075</v>
      </c>
      <c r="L86" s="514">
        <f t="shared" si="0"/>
        <v>79</v>
      </c>
      <c r="M86" s="965">
        <v>174623.4500000001</v>
      </c>
      <c r="N86" s="965">
        <v>52352.529999999977</v>
      </c>
      <c r="O86" s="937">
        <f t="shared" si="38"/>
        <v>226975.98000000007</v>
      </c>
      <c r="P86" s="966"/>
      <c r="Q86" s="514">
        <f t="shared" si="1"/>
        <v>79</v>
      </c>
      <c r="R86" s="967">
        <v>185757.20330337275</v>
      </c>
      <c r="S86" s="967">
        <v>64630.580203091078</v>
      </c>
      <c r="T86" s="937">
        <f t="shared" si="39"/>
        <v>250387.78350646383</v>
      </c>
      <c r="W86" s="340">
        <f t="shared" si="34"/>
        <v>244164.66425050914</v>
      </c>
      <c r="Y86" s="340">
        <v>249485.02147496806</v>
      </c>
      <c r="AA86" s="340">
        <v>242940.1448217135</v>
      </c>
      <c r="AC86" s="340">
        <v>244164.66425050914</v>
      </c>
    </row>
    <row r="87" spans="1:29">
      <c r="A87" s="523">
        <f t="shared" si="2"/>
        <v>77</v>
      </c>
      <c r="B87" s="535">
        <v>892</v>
      </c>
      <c r="C87" s="534"/>
      <c r="D87" s="528" t="s">
        <v>428</v>
      </c>
      <c r="F87" s="656">
        <f t="shared" si="35"/>
        <v>332848.52</v>
      </c>
      <c r="G87" s="532"/>
      <c r="H87" s="656">
        <f t="shared" si="36"/>
        <v>370765.63012575265</v>
      </c>
      <c r="I87" s="532"/>
      <c r="J87" s="657">
        <f t="shared" si="37"/>
        <v>37917.110125752632</v>
      </c>
      <c r="L87" s="514">
        <f t="shared" si="0"/>
        <v>80</v>
      </c>
      <c r="M87" s="965">
        <v>181494.76000000007</v>
      </c>
      <c r="N87" s="965">
        <v>151353.75999999995</v>
      </c>
      <c r="O87" s="937">
        <f t="shared" si="38"/>
        <v>332848.52</v>
      </c>
      <c r="P87" s="966"/>
      <c r="Q87" s="514">
        <f t="shared" si="1"/>
        <v>80</v>
      </c>
      <c r="R87" s="967">
        <v>193066.61866900945</v>
      </c>
      <c r="S87" s="967">
        <v>186850.2119137203</v>
      </c>
      <c r="T87" s="937">
        <f t="shared" si="39"/>
        <v>379916.83058272977</v>
      </c>
      <c r="W87" s="340">
        <f t="shared" si="34"/>
        <v>370765.63012575265</v>
      </c>
      <c r="Y87" s="340">
        <v>379438.35139868781</v>
      </c>
      <c r="AA87" s="340">
        <v>368329.50446692237</v>
      </c>
      <c r="AC87" s="340">
        <v>370765.63012575265</v>
      </c>
    </row>
    <row r="88" spans="1:29">
      <c r="A88" s="523">
        <f t="shared" si="2"/>
        <v>78</v>
      </c>
      <c r="B88" s="535">
        <v>893</v>
      </c>
      <c r="C88" s="534"/>
      <c r="D88" s="528" t="s">
        <v>429</v>
      </c>
      <c r="F88" s="656">
        <f t="shared" si="35"/>
        <v>581856.39999999967</v>
      </c>
      <c r="G88" s="532"/>
      <c r="H88" s="656">
        <f t="shared" si="36"/>
        <v>646156.47549569234</v>
      </c>
      <c r="I88" s="532"/>
      <c r="J88" s="657">
        <f t="shared" si="37"/>
        <v>64300.075495692668</v>
      </c>
      <c r="L88" s="514">
        <f t="shared" si="0"/>
        <v>81</v>
      </c>
      <c r="M88" s="965">
        <v>328910.09000000003</v>
      </c>
      <c r="N88" s="965">
        <v>252946.30999999968</v>
      </c>
      <c r="O88" s="937">
        <f t="shared" si="38"/>
        <v>581856.39999999967</v>
      </c>
      <c r="P88" s="966"/>
      <c r="Q88" s="514">
        <f t="shared" si="1"/>
        <v>81</v>
      </c>
      <c r="R88" s="967">
        <v>349880.94930354768</v>
      </c>
      <c r="S88" s="967">
        <v>312268.89656585699</v>
      </c>
      <c r="T88" s="937">
        <f t="shared" si="39"/>
        <v>662149.84586940473</v>
      </c>
      <c r="W88" s="340">
        <f t="shared" si="34"/>
        <v>646156.47549569234</v>
      </c>
      <c r="Y88" s="340">
        <v>661181.50674132037</v>
      </c>
      <c r="AA88" s="340">
        <v>641997.78236962168</v>
      </c>
      <c r="AC88" s="340">
        <v>646156.47549569234</v>
      </c>
    </row>
    <row r="89" spans="1:29">
      <c r="A89" s="523">
        <f t="shared" si="2"/>
        <v>79</v>
      </c>
      <c r="B89" s="535">
        <v>894</v>
      </c>
      <c r="C89" s="534"/>
      <c r="D89" s="528" t="s">
        <v>430</v>
      </c>
      <c r="F89" s="658">
        <f t="shared" si="35"/>
        <v>103473.98000000007</v>
      </c>
      <c r="G89" s="532"/>
      <c r="H89" s="658">
        <f t="shared" si="36"/>
        <v>119846.03107701587</v>
      </c>
      <c r="I89" s="532"/>
      <c r="J89" s="657">
        <f t="shared" si="37"/>
        <v>16372.0510770158</v>
      </c>
      <c r="L89" s="514">
        <f t="shared" si="0"/>
        <v>82</v>
      </c>
      <c r="M89" s="965">
        <v>29521.53000000001</v>
      </c>
      <c r="N89" s="965">
        <v>73952.450000000055</v>
      </c>
      <c r="O89" s="937">
        <f t="shared" si="38"/>
        <v>103473.98000000007</v>
      </c>
      <c r="P89" s="966"/>
      <c r="Q89" s="514">
        <f t="shared" si="1"/>
        <v>82</v>
      </c>
      <c r="R89" s="967">
        <v>31403.782539152766</v>
      </c>
      <c r="S89" s="967">
        <v>91296.251603123834</v>
      </c>
      <c r="T89" s="937">
        <f t="shared" si="39"/>
        <v>122700.03414227659</v>
      </c>
      <c r="W89" s="340">
        <f t="shared" si="34"/>
        <v>119846.03107701587</v>
      </c>
      <c r="Y89" s="340">
        <v>122856.20202677097</v>
      </c>
      <c r="AA89" s="340">
        <v>118857.70820500575</v>
      </c>
      <c r="AC89" s="340">
        <v>119846.03107701587</v>
      </c>
    </row>
    <row r="90" spans="1:29">
      <c r="A90" s="523">
        <f t="shared" si="2"/>
        <v>80</v>
      </c>
      <c r="B90" s="533"/>
      <c r="C90" s="525" t="s">
        <v>167</v>
      </c>
      <c r="D90" s="528"/>
      <c r="F90" s="562">
        <f>SUM(F80:F89)</f>
        <v>1870847.0699999996</v>
      </c>
      <c r="G90" s="560"/>
      <c r="H90" s="562">
        <f>SUM(H80:H89)</f>
        <v>2052986.0343276465</v>
      </c>
      <c r="I90" s="560"/>
      <c r="J90" s="561">
        <f>SUM(J80:J89)</f>
        <v>182138.96432764694</v>
      </c>
      <c r="L90" s="514">
        <f t="shared" si="0"/>
        <v>83</v>
      </c>
      <c r="M90" s="937">
        <f>SUM(M80:M89)</f>
        <v>1201921.67</v>
      </c>
      <c r="N90" s="937">
        <f>SUM(N80:N89)</f>
        <v>668925.39999999967</v>
      </c>
      <c r="O90" s="937">
        <f t="shared" si="38"/>
        <v>1870847.0699999996</v>
      </c>
      <c r="P90" s="966"/>
      <c r="Q90" s="514">
        <f t="shared" si="1"/>
        <v>83</v>
      </c>
      <c r="R90" s="937">
        <f>SUM(R80:R89)</f>
        <v>1278554.5584451521</v>
      </c>
      <c r="S90" s="937">
        <f>SUM(S80:S89)</f>
        <v>825806.06351946655</v>
      </c>
      <c r="T90" s="937">
        <f t="shared" si="39"/>
        <v>2104360.6219646186</v>
      </c>
      <c r="W90" s="340">
        <f t="shared" si="34"/>
        <v>2052986.0343276465</v>
      </c>
      <c r="Y90" s="340">
        <v>2099610.6397788585</v>
      </c>
      <c r="AA90" s="340">
        <v>2040854.3040792684</v>
      </c>
      <c r="AC90" s="340">
        <v>2052986.0343276465</v>
      </c>
    </row>
    <row r="91" spans="1:29">
      <c r="A91" s="523">
        <f t="shared" si="2"/>
        <v>81</v>
      </c>
      <c r="B91" s="533"/>
      <c r="C91" s="534"/>
      <c r="D91" s="528"/>
      <c r="F91" s="562"/>
      <c r="G91" s="560"/>
      <c r="H91" s="562"/>
      <c r="I91" s="560"/>
      <c r="J91" s="562"/>
      <c r="L91" s="514">
        <f t="shared" si="0"/>
        <v>84</v>
      </c>
      <c r="M91" s="963"/>
      <c r="N91" s="963"/>
      <c r="O91" s="506"/>
      <c r="P91" s="966"/>
      <c r="Q91" s="962">
        <f t="shared" si="1"/>
        <v>84</v>
      </c>
      <c r="R91" s="963"/>
      <c r="S91" s="963"/>
      <c r="T91" s="506"/>
      <c r="W91" s="340">
        <f t="shared" si="34"/>
        <v>0</v>
      </c>
    </row>
    <row r="92" spans="1:29">
      <c r="A92" s="523">
        <f t="shared" si="2"/>
        <v>82</v>
      </c>
      <c r="B92" s="533"/>
      <c r="C92" s="534" t="s">
        <v>431</v>
      </c>
      <c r="D92" s="528"/>
      <c r="F92" s="562">
        <f>F77+F90</f>
        <v>17247884.95999999</v>
      </c>
      <c r="G92" s="560"/>
      <c r="H92" s="562">
        <f>H77+H90</f>
        <v>19358782.781645831</v>
      </c>
      <c r="I92" s="560"/>
      <c r="J92" s="562">
        <f>J77+J90</f>
        <v>2110897.8216458424</v>
      </c>
      <c r="L92" s="514">
        <f t="shared" si="0"/>
        <v>85</v>
      </c>
      <c r="M92" s="937">
        <f>M77+M90</f>
        <v>8547803.629999999</v>
      </c>
      <c r="N92" s="937">
        <f>N77+N90</f>
        <v>8700081.3299999926</v>
      </c>
      <c r="O92" s="937">
        <f t="shared" si="38"/>
        <v>17247884.959999993</v>
      </c>
      <c r="P92" s="966"/>
      <c r="Q92" s="514">
        <f t="shared" si="1"/>
        <v>85</v>
      </c>
      <c r="R92" s="937">
        <f>R77+R90</f>
        <v>9092799.9457988981</v>
      </c>
      <c r="S92" s="937">
        <f>S77+S90</f>
        <v>10740480.052673288</v>
      </c>
      <c r="T92" s="937">
        <f>T77+T90</f>
        <v>19833279.998472184</v>
      </c>
      <c r="W92" s="340">
        <f t="shared" si="34"/>
        <v>19358782.781645831</v>
      </c>
      <c r="Y92" s="340">
        <v>19818200.572111472</v>
      </c>
      <c r="AA92" s="340">
        <v>19225185.40605285</v>
      </c>
      <c r="AC92" s="340">
        <v>19358782.781645831</v>
      </c>
    </row>
    <row r="93" spans="1:29">
      <c r="A93" s="523">
        <f t="shared" si="2"/>
        <v>83</v>
      </c>
      <c r="B93" s="524"/>
      <c r="C93" s="525"/>
      <c r="D93" s="528"/>
      <c r="F93" s="563"/>
      <c r="G93" s="560"/>
      <c r="H93" s="563"/>
      <c r="I93" s="560"/>
      <c r="J93" s="563"/>
      <c r="L93" s="514">
        <f t="shared" si="0"/>
        <v>86</v>
      </c>
      <c r="M93" s="963"/>
      <c r="N93" s="963"/>
      <c r="O93" s="506"/>
      <c r="P93" s="966"/>
      <c r="Q93" s="962">
        <f t="shared" si="1"/>
        <v>86</v>
      </c>
      <c r="R93" s="1610"/>
      <c r="S93" s="1610"/>
      <c r="T93" s="506"/>
      <c r="W93" s="340">
        <f t="shared" si="34"/>
        <v>0</v>
      </c>
    </row>
    <row r="94" spans="1:29">
      <c r="A94" s="523">
        <f t="shared" si="2"/>
        <v>84</v>
      </c>
      <c r="B94" s="538"/>
      <c r="C94" s="534" t="s">
        <v>168</v>
      </c>
      <c r="D94" s="528"/>
      <c r="F94" s="563"/>
      <c r="G94" s="560"/>
      <c r="H94" s="563"/>
      <c r="I94" s="560"/>
      <c r="J94" s="563"/>
      <c r="L94" s="514">
        <f t="shared" si="0"/>
        <v>87</v>
      </c>
      <c r="M94" s="963"/>
      <c r="N94" s="963"/>
      <c r="O94" s="506"/>
      <c r="P94" s="966"/>
      <c r="Q94" s="962">
        <f t="shared" si="1"/>
        <v>87</v>
      </c>
      <c r="R94" s="1610"/>
      <c r="S94" s="1610"/>
      <c r="T94" s="506"/>
      <c r="W94" s="340">
        <f t="shared" si="34"/>
        <v>0</v>
      </c>
    </row>
    <row r="95" spans="1:29">
      <c r="A95" s="523">
        <f t="shared" si="2"/>
        <v>85</v>
      </c>
      <c r="B95" s="538"/>
      <c r="C95" s="534"/>
      <c r="D95" s="525" t="s">
        <v>163</v>
      </c>
      <c r="F95" s="563"/>
      <c r="G95" s="560"/>
      <c r="H95" s="563"/>
      <c r="I95" s="560"/>
      <c r="J95" s="563"/>
      <c r="L95" s="514">
        <f t="shared" si="0"/>
        <v>88</v>
      </c>
      <c r="M95" s="963"/>
      <c r="N95" s="963"/>
      <c r="O95" s="506"/>
      <c r="P95" s="966"/>
      <c r="Q95" s="962">
        <f t="shared" si="1"/>
        <v>88</v>
      </c>
      <c r="R95" s="1610"/>
      <c r="S95" s="1610"/>
      <c r="T95" s="506"/>
      <c r="W95" s="340">
        <f t="shared" si="34"/>
        <v>0</v>
      </c>
    </row>
    <row r="96" spans="1:29">
      <c r="A96" s="523">
        <f t="shared" si="2"/>
        <v>86</v>
      </c>
      <c r="B96" s="529">
        <v>901</v>
      </c>
      <c r="C96" s="534"/>
      <c r="D96" s="539" t="s">
        <v>191</v>
      </c>
      <c r="F96" s="556">
        <f>HLOOKUP($J$1,$M$8:$T$144,$L96,FALSE)</f>
        <v>29639.260000000017</v>
      </c>
      <c r="G96" s="560"/>
      <c r="H96" s="556">
        <f t="shared" ref="H96:H100" si="40">IF($F$143="Y",W96,HLOOKUP($J$1,$R$8:$T$145,Q96,FALSE))</f>
        <v>30718.704493542638</v>
      </c>
      <c r="I96" s="560"/>
      <c r="J96" s="558">
        <f t="shared" ref="J96:J100" si="41">-F96+H96</f>
        <v>1079.4444935426218</v>
      </c>
      <c r="L96" s="514">
        <f t="shared" si="0"/>
        <v>89</v>
      </c>
      <c r="M96" s="965">
        <v>29639.260000000017</v>
      </c>
      <c r="N96" s="965">
        <v>0</v>
      </c>
      <c r="O96" s="937">
        <f t="shared" ref="O96:O101" si="42">M96+N96</f>
        <v>29639.260000000017</v>
      </c>
      <c r="P96" s="966"/>
      <c r="Q96" s="514">
        <f t="shared" si="1"/>
        <v>89</v>
      </c>
      <c r="R96" s="967">
        <v>31529.018843583282</v>
      </c>
      <c r="S96" s="967">
        <v>0</v>
      </c>
      <c r="T96" s="937">
        <f t="shared" ref="T96:T101" si="43">R96+S96</f>
        <v>31529.018843583282</v>
      </c>
      <c r="W96" s="340">
        <f t="shared" si="34"/>
        <v>30718.704493542638</v>
      </c>
      <c r="Y96" s="340">
        <v>31333.643672031987</v>
      </c>
      <c r="AA96" s="340">
        <v>30617.506634476966</v>
      </c>
      <c r="AC96" s="340">
        <v>30718.704493542638</v>
      </c>
    </row>
    <row r="97" spans="1:29">
      <c r="A97" s="523">
        <f t="shared" si="2"/>
        <v>87</v>
      </c>
      <c r="B97" s="529">
        <v>902</v>
      </c>
      <c r="C97" s="534"/>
      <c r="D97" s="539" t="s">
        <v>169</v>
      </c>
      <c r="F97" s="656">
        <f>HLOOKUP($J$1,$M$8:$T$144,$L97,FALSE)</f>
        <v>488903.37000000023</v>
      </c>
      <c r="G97" s="532"/>
      <c r="H97" s="656">
        <f t="shared" si="40"/>
        <v>546434.80141760199</v>
      </c>
      <c r="I97" s="532"/>
      <c r="J97" s="657">
        <f t="shared" si="41"/>
        <v>57531.431417601765</v>
      </c>
      <c r="L97" s="514">
        <f t="shared" si="0"/>
        <v>90</v>
      </c>
      <c r="M97" s="965">
        <v>255809.09999999989</v>
      </c>
      <c r="N97" s="965">
        <v>233094.27000000031</v>
      </c>
      <c r="O97" s="937">
        <f t="shared" si="42"/>
        <v>488903.37000000023</v>
      </c>
      <c r="P97" s="966"/>
      <c r="Q97" s="514">
        <f t="shared" si="1"/>
        <v>90</v>
      </c>
      <c r="R97" s="967">
        <v>272119.13975787762</v>
      </c>
      <c r="S97" s="967">
        <v>287761.02916355699</v>
      </c>
      <c r="T97" s="937">
        <f t="shared" si="43"/>
        <v>559880.16892143455</v>
      </c>
      <c r="W97" s="340">
        <f t="shared" si="34"/>
        <v>546434.80141760199</v>
      </c>
      <c r="Y97" s="340">
        <v>559299.53361908649</v>
      </c>
      <c r="AA97" s="340">
        <v>542763.94899271359</v>
      </c>
      <c r="AC97" s="340">
        <v>546434.80141760199</v>
      </c>
    </row>
    <row r="98" spans="1:29">
      <c r="A98" s="523">
        <f t="shared" si="2"/>
        <v>88</v>
      </c>
      <c r="B98" s="529">
        <v>903</v>
      </c>
      <c r="C98" s="534"/>
      <c r="D98" s="539" t="s">
        <v>170</v>
      </c>
      <c r="F98" s="656">
        <f>HLOOKUP($J$1,$M$8:$T$144,$L98,FALSE)</f>
        <v>366619.40000000008</v>
      </c>
      <c r="G98" s="532"/>
      <c r="H98" s="656">
        <f t="shared" si="40"/>
        <v>400190.25257883023</v>
      </c>
      <c r="I98" s="532"/>
      <c r="J98" s="657">
        <f t="shared" si="41"/>
        <v>33570.852578830149</v>
      </c>
      <c r="L98" s="514">
        <f t="shared" si="0"/>
        <v>91</v>
      </c>
      <c r="M98" s="965">
        <v>247984.23</v>
      </c>
      <c r="N98" s="965">
        <v>118635.17000000006</v>
      </c>
      <c r="O98" s="937">
        <f t="shared" si="42"/>
        <v>366619.40000000008</v>
      </c>
      <c r="P98" s="966"/>
      <c r="Q98" s="514">
        <f t="shared" si="1"/>
        <v>91</v>
      </c>
      <c r="R98" s="967">
        <v>263795.3667055617</v>
      </c>
      <c r="S98" s="967">
        <v>146458.24890587621</v>
      </c>
      <c r="T98" s="937">
        <f t="shared" si="43"/>
        <v>410253.61561143794</v>
      </c>
      <c r="W98" s="340">
        <f t="shared" si="34"/>
        <v>400190.25257883023</v>
      </c>
      <c r="Y98" s="340">
        <v>409181.66422957706</v>
      </c>
      <c r="AA98" s="340">
        <v>397919.77697778458</v>
      </c>
      <c r="AC98" s="340">
        <v>400190.25257883023</v>
      </c>
    </row>
    <row r="99" spans="1:29">
      <c r="A99" s="523">
        <f t="shared" si="2"/>
        <v>89</v>
      </c>
      <c r="B99" s="529">
        <v>904</v>
      </c>
      <c r="C99" s="534"/>
      <c r="D99" s="539" t="s">
        <v>211</v>
      </c>
      <c r="F99" s="656">
        <f>HLOOKUP($J$1,$M$8:$T$144,$L99,FALSE)</f>
        <v>0</v>
      </c>
      <c r="G99" s="532"/>
      <c r="H99" s="656">
        <f t="shared" si="40"/>
        <v>0</v>
      </c>
      <c r="I99" s="532"/>
      <c r="J99" s="657">
        <f t="shared" si="41"/>
        <v>0</v>
      </c>
      <c r="L99" s="514">
        <f t="shared" si="0"/>
        <v>92</v>
      </c>
      <c r="M99" s="965">
        <v>0</v>
      </c>
      <c r="N99" s="965">
        <v>0</v>
      </c>
      <c r="O99" s="937">
        <f t="shared" si="42"/>
        <v>0</v>
      </c>
      <c r="P99" s="966"/>
      <c r="Q99" s="514">
        <f t="shared" si="1"/>
        <v>92</v>
      </c>
      <c r="R99" s="967">
        <v>0</v>
      </c>
      <c r="S99" s="967">
        <v>0</v>
      </c>
      <c r="T99" s="937">
        <f t="shared" si="43"/>
        <v>0</v>
      </c>
      <c r="W99" s="340">
        <f t="shared" si="34"/>
        <v>0</v>
      </c>
      <c r="Y99" s="340">
        <v>0</v>
      </c>
      <c r="AA99" s="340">
        <v>0</v>
      </c>
      <c r="AC99" s="340">
        <v>0</v>
      </c>
    </row>
    <row r="100" spans="1:29">
      <c r="A100" s="523">
        <f t="shared" si="2"/>
        <v>90</v>
      </c>
      <c r="B100" s="529">
        <v>905</v>
      </c>
      <c r="C100" s="534"/>
      <c r="D100" s="539" t="s">
        <v>171</v>
      </c>
      <c r="F100" s="656">
        <f>HLOOKUP($J$1,$M$8:$T$144,$L100,FALSE)</f>
        <v>33585.87000000001</v>
      </c>
      <c r="G100" s="532"/>
      <c r="H100" s="656">
        <f t="shared" si="40"/>
        <v>34882.411983126534</v>
      </c>
      <c r="I100" s="532"/>
      <c r="J100" s="657">
        <f t="shared" si="41"/>
        <v>1296.5419831265244</v>
      </c>
      <c r="L100" s="514">
        <f t="shared" si="0"/>
        <v>93</v>
      </c>
      <c r="M100" s="965">
        <v>33155.400000000009</v>
      </c>
      <c r="N100" s="965">
        <v>430.47000000000008</v>
      </c>
      <c r="O100" s="937">
        <f t="shared" si="42"/>
        <v>33585.87000000001</v>
      </c>
      <c r="P100" s="966"/>
      <c r="Q100" s="514">
        <f t="shared" si="1"/>
        <v>93</v>
      </c>
      <c r="R100" s="967">
        <v>35269.343140366553</v>
      </c>
      <c r="S100" s="967">
        <v>531.42657785640222</v>
      </c>
      <c r="T100" s="937">
        <f t="shared" si="43"/>
        <v>35800.769718222953</v>
      </c>
      <c r="W100" s="340">
        <f t="shared" si="34"/>
        <v>34882.411983126534</v>
      </c>
      <c r="Y100" s="340">
        <v>35584.258742629179</v>
      </c>
      <c r="AA100" s="340">
        <v>34764.042695944438</v>
      </c>
      <c r="AC100" s="340">
        <v>34882.411983126534</v>
      </c>
    </row>
    <row r="101" spans="1:29">
      <c r="A101" s="523">
        <f t="shared" si="2"/>
        <v>91</v>
      </c>
      <c r="B101" s="538"/>
      <c r="C101" s="534" t="s">
        <v>172</v>
      </c>
      <c r="D101" s="528"/>
      <c r="F101" s="564">
        <f>SUM(F96:F100)</f>
        <v>918747.90000000026</v>
      </c>
      <c r="G101" s="560"/>
      <c r="H101" s="564">
        <f>SUM(H96:H100)</f>
        <v>1012226.1704731014</v>
      </c>
      <c r="I101" s="560"/>
      <c r="J101" s="564">
        <f>SUM(J96:J100)</f>
        <v>93478.27047310106</v>
      </c>
      <c r="L101" s="514">
        <f t="shared" si="0"/>
        <v>94</v>
      </c>
      <c r="M101" s="937">
        <f>SUM(M96:M100)</f>
        <v>566587.99</v>
      </c>
      <c r="N101" s="937">
        <f>SUM(N96:N100)</f>
        <v>352159.91000000032</v>
      </c>
      <c r="O101" s="937">
        <f t="shared" si="42"/>
        <v>918747.90000000037</v>
      </c>
      <c r="P101" s="966"/>
      <c r="Q101" s="514">
        <f t="shared" si="1"/>
        <v>94</v>
      </c>
      <c r="R101" s="937">
        <f>SUM(R96:R100)</f>
        <v>602712.86844738922</v>
      </c>
      <c r="S101" s="937">
        <f>SUM(S96:S100)</f>
        <v>434750.70464728959</v>
      </c>
      <c r="T101" s="937">
        <f t="shared" si="43"/>
        <v>1037463.5730946788</v>
      </c>
      <c r="W101" s="340">
        <f t="shared" si="34"/>
        <v>1012226.1704731014</v>
      </c>
      <c r="Y101" s="340">
        <v>1035399.1002633247</v>
      </c>
      <c r="AA101" s="340">
        <v>1006065.2753009195</v>
      </c>
      <c r="AC101" s="340">
        <v>1012226.1704731014</v>
      </c>
    </row>
    <row r="102" spans="1:29">
      <c r="A102" s="523">
        <f t="shared" si="2"/>
        <v>92</v>
      </c>
      <c r="B102" s="524"/>
      <c r="C102" s="525"/>
      <c r="D102" s="528"/>
      <c r="F102" s="563"/>
      <c r="G102" s="560"/>
      <c r="H102" s="563"/>
      <c r="I102" s="560"/>
      <c r="J102" s="563"/>
      <c r="L102" s="514">
        <f t="shared" si="0"/>
        <v>95</v>
      </c>
      <c r="M102" s="963"/>
      <c r="N102" s="963"/>
      <c r="O102" s="506"/>
      <c r="P102" s="966"/>
      <c r="Q102" s="962">
        <f t="shared" si="1"/>
        <v>95</v>
      </c>
      <c r="R102" s="1610"/>
      <c r="S102" s="1610"/>
      <c r="T102" s="506"/>
      <c r="W102" s="340">
        <f t="shared" si="34"/>
        <v>0</v>
      </c>
    </row>
    <row r="103" spans="1:29">
      <c r="A103" s="523">
        <f t="shared" si="2"/>
        <v>93</v>
      </c>
      <c r="B103" s="538"/>
      <c r="C103" s="525" t="s">
        <v>387</v>
      </c>
      <c r="D103" s="528"/>
      <c r="F103" s="563"/>
      <c r="G103" s="560"/>
      <c r="H103" s="563"/>
      <c r="I103" s="560"/>
      <c r="J103" s="563"/>
      <c r="L103" s="514">
        <f t="shared" ref="L103:L140" si="44">1+L102</f>
        <v>96</v>
      </c>
      <c r="M103" s="963"/>
      <c r="N103" s="963"/>
      <c r="O103" s="506"/>
      <c r="P103" s="966"/>
      <c r="Q103" s="962">
        <f t="shared" si="1"/>
        <v>96</v>
      </c>
      <c r="R103" s="1610"/>
      <c r="S103" s="1610"/>
      <c r="T103" s="506"/>
      <c r="W103" s="340">
        <f t="shared" si="34"/>
        <v>0</v>
      </c>
    </row>
    <row r="104" spans="1:29">
      <c r="A104" s="523">
        <f t="shared" si="2"/>
        <v>94</v>
      </c>
      <c r="B104" s="538"/>
      <c r="C104" s="525"/>
      <c r="D104" s="525" t="s">
        <v>163</v>
      </c>
      <c r="F104" s="563"/>
      <c r="G104" s="560"/>
      <c r="H104" s="563"/>
      <c r="I104" s="560"/>
      <c r="J104" s="563"/>
      <c r="L104" s="514">
        <f t="shared" si="44"/>
        <v>97</v>
      </c>
      <c r="M104" s="963"/>
      <c r="N104" s="963"/>
      <c r="O104" s="506"/>
      <c r="P104" s="966"/>
      <c r="Q104" s="962">
        <f t="shared" ref="Q104:Q134" si="45">1+Q103</f>
        <v>97</v>
      </c>
      <c r="R104" s="1610"/>
      <c r="S104" s="1610"/>
      <c r="T104" s="506"/>
      <c r="W104" s="340">
        <f t="shared" si="34"/>
        <v>0</v>
      </c>
    </row>
    <row r="105" spans="1:29">
      <c r="A105" s="523">
        <f t="shared" si="2"/>
        <v>95</v>
      </c>
      <c r="B105" s="529">
        <v>907</v>
      </c>
      <c r="C105" s="525"/>
      <c r="D105" s="528" t="s">
        <v>191</v>
      </c>
      <c r="F105" s="556">
        <f>HLOOKUP($J$1,$M$8:$T$144,$L105,FALSE)</f>
        <v>0</v>
      </c>
      <c r="G105" s="560"/>
      <c r="H105" s="556">
        <f t="shared" ref="H105:H108" si="46">IF($F$143="Y",W105,HLOOKUP($J$1,$R$8:$T$145,Q105,FALSE))</f>
        <v>0</v>
      </c>
      <c r="I105" s="560"/>
      <c r="J105" s="558">
        <f t="shared" ref="J105:J108" si="47">-F105+H105</f>
        <v>0</v>
      </c>
      <c r="L105" s="514">
        <f t="shared" si="44"/>
        <v>98</v>
      </c>
      <c r="M105" s="965">
        <v>0</v>
      </c>
      <c r="N105" s="965">
        <v>0</v>
      </c>
      <c r="O105" s="937">
        <f t="shared" ref="O105:O109" si="48">M105+N105</f>
        <v>0</v>
      </c>
      <c r="P105" s="966"/>
      <c r="Q105" s="514">
        <f t="shared" si="45"/>
        <v>98</v>
      </c>
      <c r="R105" s="967">
        <v>0</v>
      </c>
      <c r="S105" s="967">
        <v>0</v>
      </c>
      <c r="T105" s="937">
        <f t="shared" ref="T105:T109" si="49">R105+S105</f>
        <v>0</v>
      </c>
      <c r="W105" s="340">
        <f t="shared" si="34"/>
        <v>0</v>
      </c>
      <c r="Y105" s="340">
        <v>0</v>
      </c>
      <c r="AA105" s="340">
        <v>0</v>
      </c>
      <c r="AC105" s="340">
        <v>0</v>
      </c>
    </row>
    <row r="106" spans="1:29">
      <c r="A106" s="523">
        <f t="shared" ref="A106:A141" si="50">1+A105</f>
        <v>96</v>
      </c>
      <c r="B106" s="529">
        <v>908</v>
      </c>
      <c r="C106" s="528"/>
      <c r="D106" s="528" t="s">
        <v>173</v>
      </c>
      <c r="F106" s="656">
        <f>HLOOKUP($J$1,$M$8:$T$144,$L106,FALSE)</f>
        <v>0</v>
      </c>
      <c r="G106" s="532"/>
      <c r="H106" s="656">
        <f t="shared" si="46"/>
        <v>0</v>
      </c>
      <c r="I106" s="532"/>
      <c r="J106" s="657">
        <f t="shared" si="47"/>
        <v>0</v>
      </c>
      <c r="L106" s="514">
        <f t="shared" si="44"/>
        <v>99</v>
      </c>
      <c r="M106" s="965">
        <v>0</v>
      </c>
      <c r="N106" s="965">
        <v>0</v>
      </c>
      <c r="O106" s="937">
        <f t="shared" si="48"/>
        <v>0</v>
      </c>
      <c r="P106" s="966"/>
      <c r="Q106" s="514">
        <f t="shared" si="45"/>
        <v>99</v>
      </c>
      <c r="R106" s="967">
        <v>0</v>
      </c>
      <c r="S106" s="967">
        <v>0</v>
      </c>
      <c r="T106" s="937">
        <f t="shared" si="49"/>
        <v>0</v>
      </c>
      <c r="W106" s="340">
        <f t="shared" si="34"/>
        <v>0</v>
      </c>
      <c r="Y106" s="340">
        <v>0</v>
      </c>
      <c r="AA106" s="340">
        <v>0</v>
      </c>
      <c r="AC106" s="340">
        <v>0</v>
      </c>
    </row>
    <row r="107" spans="1:29">
      <c r="A107" s="523">
        <f t="shared" si="50"/>
        <v>97</v>
      </c>
      <c r="B107" s="529">
        <v>909</v>
      </c>
      <c r="C107" s="528"/>
      <c r="D107" s="528" t="s">
        <v>937</v>
      </c>
      <c r="F107" s="656">
        <f>HLOOKUP($J$1,$M$8:$T$144,$L107,FALSE)</f>
        <v>0</v>
      </c>
      <c r="G107" s="532"/>
      <c r="H107" s="656">
        <f t="shared" si="46"/>
        <v>0</v>
      </c>
      <c r="I107" s="532"/>
      <c r="J107" s="657">
        <f t="shared" si="47"/>
        <v>0</v>
      </c>
      <c r="L107" s="514">
        <f t="shared" si="44"/>
        <v>100</v>
      </c>
      <c r="M107" s="965">
        <v>0</v>
      </c>
      <c r="N107" s="965">
        <v>0</v>
      </c>
      <c r="O107" s="937">
        <f t="shared" si="48"/>
        <v>0</v>
      </c>
      <c r="P107" s="966"/>
      <c r="Q107" s="514">
        <f t="shared" si="45"/>
        <v>100</v>
      </c>
      <c r="R107" s="967">
        <v>0</v>
      </c>
      <c r="S107" s="967">
        <v>0</v>
      </c>
      <c r="T107" s="937">
        <f t="shared" si="49"/>
        <v>0</v>
      </c>
      <c r="W107" s="340">
        <f t="shared" si="34"/>
        <v>0</v>
      </c>
      <c r="Y107" s="340">
        <v>0</v>
      </c>
      <c r="AA107" s="340">
        <v>0</v>
      </c>
      <c r="AC107" s="340">
        <v>0</v>
      </c>
    </row>
    <row r="108" spans="1:29">
      <c r="A108" s="523">
        <f t="shared" si="50"/>
        <v>98</v>
      </c>
      <c r="B108" s="529">
        <v>910</v>
      </c>
      <c r="C108" s="528"/>
      <c r="D108" s="528" t="s">
        <v>174</v>
      </c>
      <c r="F108" s="656">
        <f>HLOOKUP($J$1,$M$8:$T$144,$L108,FALSE)</f>
        <v>0</v>
      </c>
      <c r="G108" s="532"/>
      <c r="H108" s="656">
        <f t="shared" si="46"/>
        <v>0</v>
      </c>
      <c r="I108" s="532"/>
      <c r="J108" s="657">
        <f t="shared" si="47"/>
        <v>0</v>
      </c>
      <c r="L108" s="514">
        <f t="shared" si="44"/>
        <v>101</v>
      </c>
      <c r="M108" s="965">
        <v>0</v>
      </c>
      <c r="N108" s="965">
        <v>0</v>
      </c>
      <c r="O108" s="937">
        <f t="shared" si="48"/>
        <v>0</v>
      </c>
      <c r="P108" s="966"/>
      <c r="Q108" s="514">
        <f t="shared" si="45"/>
        <v>101</v>
      </c>
      <c r="R108" s="967">
        <v>0</v>
      </c>
      <c r="S108" s="967">
        <v>0</v>
      </c>
      <c r="T108" s="937">
        <f t="shared" si="49"/>
        <v>0</v>
      </c>
      <c r="W108" s="340">
        <f t="shared" si="34"/>
        <v>0</v>
      </c>
      <c r="Y108" s="340">
        <v>0</v>
      </c>
      <c r="AA108" s="340">
        <v>0</v>
      </c>
      <c r="AC108" s="340">
        <v>0</v>
      </c>
    </row>
    <row r="109" spans="1:29">
      <c r="A109" s="523">
        <f t="shared" si="50"/>
        <v>99</v>
      </c>
      <c r="B109" s="538"/>
      <c r="C109" s="534" t="s">
        <v>175</v>
      </c>
      <c r="D109" s="528"/>
      <c r="F109" s="564">
        <f>SUM(F105:F108)</f>
        <v>0</v>
      </c>
      <c r="G109" s="560"/>
      <c r="H109" s="564">
        <f>SUM(H105:H108)</f>
        <v>0</v>
      </c>
      <c r="I109" s="560"/>
      <c r="J109" s="564">
        <f>SUM(J105:J108)</f>
        <v>0</v>
      </c>
      <c r="L109" s="514">
        <f t="shared" si="44"/>
        <v>102</v>
      </c>
      <c r="M109" s="937">
        <f>SUM(M105:M108)</f>
        <v>0</v>
      </c>
      <c r="N109" s="937">
        <f>SUM(N105:N108)</f>
        <v>0</v>
      </c>
      <c r="O109" s="937">
        <f t="shared" si="48"/>
        <v>0</v>
      </c>
      <c r="P109" s="966"/>
      <c r="Q109" s="514">
        <f t="shared" si="45"/>
        <v>102</v>
      </c>
      <c r="R109" s="937">
        <f>SUM(R105:R108)</f>
        <v>0</v>
      </c>
      <c r="S109" s="937">
        <f>SUM(S105:S108)</f>
        <v>0</v>
      </c>
      <c r="T109" s="937">
        <f t="shared" si="49"/>
        <v>0</v>
      </c>
      <c r="W109" s="340">
        <f t="shared" si="34"/>
        <v>0</v>
      </c>
      <c r="Y109" s="340">
        <v>0</v>
      </c>
      <c r="AA109" s="340">
        <v>0</v>
      </c>
      <c r="AC109" s="340">
        <v>0</v>
      </c>
    </row>
    <row r="110" spans="1:29">
      <c r="A110" s="523">
        <f t="shared" si="50"/>
        <v>100</v>
      </c>
      <c r="B110" s="538"/>
      <c r="C110" s="528"/>
      <c r="D110" s="528"/>
      <c r="F110" s="563"/>
      <c r="G110" s="560"/>
      <c r="H110" s="563"/>
      <c r="I110" s="560"/>
      <c r="J110" s="563"/>
      <c r="L110" s="514">
        <f t="shared" si="44"/>
        <v>103</v>
      </c>
      <c r="M110" s="963"/>
      <c r="N110" s="963"/>
      <c r="O110" s="506"/>
      <c r="P110" s="966"/>
      <c r="Q110" s="962">
        <f t="shared" si="45"/>
        <v>103</v>
      </c>
      <c r="R110" s="1610"/>
      <c r="S110" s="1610"/>
      <c r="T110" s="506"/>
      <c r="W110" s="340">
        <f t="shared" si="34"/>
        <v>0</v>
      </c>
    </row>
    <row r="111" spans="1:29">
      <c r="A111" s="523">
        <f t="shared" si="50"/>
        <v>101</v>
      </c>
      <c r="B111" s="538"/>
      <c r="C111" s="525" t="s">
        <v>110</v>
      </c>
      <c r="D111" s="528"/>
      <c r="F111" s="563"/>
      <c r="G111" s="560"/>
      <c r="H111" s="563"/>
      <c r="I111" s="560"/>
      <c r="J111" s="563"/>
      <c r="L111" s="514">
        <f t="shared" si="44"/>
        <v>104</v>
      </c>
      <c r="M111" s="963"/>
      <c r="N111" s="963"/>
      <c r="O111" s="506"/>
      <c r="P111" s="966"/>
      <c r="Q111" s="962">
        <f t="shared" si="45"/>
        <v>104</v>
      </c>
      <c r="R111" s="1610"/>
      <c r="S111" s="1610"/>
      <c r="T111" s="506"/>
      <c r="W111" s="340">
        <f t="shared" si="34"/>
        <v>0</v>
      </c>
    </row>
    <row r="112" spans="1:29">
      <c r="A112" s="523">
        <f t="shared" si="50"/>
        <v>102</v>
      </c>
      <c r="B112" s="538"/>
      <c r="C112" s="525"/>
      <c r="D112" s="525" t="s">
        <v>163</v>
      </c>
      <c r="F112" s="563"/>
      <c r="G112" s="560"/>
      <c r="H112" s="563"/>
      <c r="I112" s="560"/>
      <c r="J112" s="563"/>
      <c r="L112" s="514">
        <f t="shared" si="44"/>
        <v>105</v>
      </c>
      <c r="M112" s="963"/>
      <c r="N112" s="963"/>
      <c r="O112" s="506"/>
      <c r="P112" s="966"/>
      <c r="Q112" s="962">
        <f t="shared" si="45"/>
        <v>105</v>
      </c>
      <c r="R112" s="1610"/>
      <c r="S112" s="1610"/>
      <c r="T112" s="506"/>
      <c r="W112" s="340">
        <f t="shared" si="34"/>
        <v>0</v>
      </c>
    </row>
    <row r="113" spans="1:29">
      <c r="A113" s="523">
        <f t="shared" si="50"/>
        <v>103</v>
      </c>
      <c r="B113" s="529">
        <v>911</v>
      </c>
      <c r="C113" s="525"/>
      <c r="D113" s="528" t="s">
        <v>191</v>
      </c>
      <c r="F113" s="556">
        <f>HLOOKUP($J$1,$M$8:$T$144,$L113,FALSE)</f>
        <v>0</v>
      </c>
      <c r="G113" s="560"/>
      <c r="H113" s="556">
        <f t="shared" ref="H113:H116" si="51">IF($F$143="Y",W113,HLOOKUP($J$1,$R$8:$T$145,Q113,FALSE))</f>
        <v>0</v>
      </c>
      <c r="I113" s="560"/>
      <c r="J113" s="558">
        <f t="shared" ref="J113:J116" si="52">-F113+H113</f>
        <v>0</v>
      </c>
      <c r="L113" s="514">
        <f t="shared" si="44"/>
        <v>106</v>
      </c>
      <c r="M113" s="965">
        <v>0</v>
      </c>
      <c r="N113" s="965">
        <v>0</v>
      </c>
      <c r="O113" s="937">
        <f t="shared" ref="O113:O117" si="53">M113+N113</f>
        <v>0</v>
      </c>
      <c r="P113" s="966"/>
      <c r="Q113" s="514">
        <f t="shared" si="45"/>
        <v>106</v>
      </c>
      <c r="R113" s="967">
        <v>0</v>
      </c>
      <c r="S113" s="967">
        <v>0</v>
      </c>
      <c r="T113" s="937">
        <f t="shared" ref="T113:T117" si="54">R113+S113</f>
        <v>0</v>
      </c>
      <c r="W113" s="340">
        <f t="shared" si="34"/>
        <v>0</v>
      </c>
      <c r="Y113" s="340">
        <v>0</v>
      </c>
      <c r="AA113" s="340">
        <v>0</v>
      </c>
      <c r="AC113" s="340">
        <v>0</v>
      </c>
    </row>
    <row r="114" spans="1:29">
      <c r="A114" s="523">
        <f t="shared" si="50"/>
        <v>104</v>
      </c>
      <c r="B114" s="529">
        <v>912</v>
      </c>
      <c r="C114" s="528"/>
      <c r="D114" s="528" t="s">
        <v>176</v>
      </c>
      <c r="F114" s="656">
        <f>HLOOKUP($J$1,$M$8:$T$144,$L114,FALSE)</f>
        <v>25580.920000000002</v>
      </c>
      <c r="G114" s="532"/>
      <c r="H114" s="656">
        <f t="shared" si="51"/>
        <v>26512.562127156834</v>
      </c>
      <c r="I114" s="532"/>
      <c r="J114" s="657">
        <f t="shared" si="52"/>
        <v>931.64212715683243</v>
      </c>
      <c r="L114" s="514">
        <f t="shared" si="44"/>
        <v>107</v>
      </c>
      <c r="M114" s="965">
        <v>25580.920000000002</v>
      </c>
      <c r="N114" s="965">
        <v>0</v>
      </c>
      <c r="O114" s="937">
        <f t="shared" si="53"/>
        <v>25580.920000000002</v>
      </c>
      <c r="P114" s="966"/>
      <c r="Q114" s="514">
        <f t="shared" si="45"/>
        <v>107</v>
      </c>
      <c r="R114" s="967">
        <v>27211.924613374158</v>
      </c>
      <c r="S114" s="967">
        <v>0</v>
      </c>
      <c r="T114" s="937">
        <f t="shared" si="54"/>
        <v>27211.924613374158</v>
      </c>
      <c r="W114" s="340">
        <f t="shared" si="34"/>
        <v>26512.562127156834</v>
      </c>
      <c r="Y114" s="340">
        <v>27043.301083858238</v>
      </c>
      <c r="AA114" s="340">
        <v>26425.220731422585</v>
      </c>
      <c r="AC114" s="340">
        <v>26512.562127156834</v>
      </c>
    </row>
    <row r="115" spans="1:29">
      <c r="A115" s="523">
        <f t="shared" si="50"/>
        <v>105</v>
      </c>
      <c r="B115" s="529">
        <v>913</v>
      </c>
      <c r="C115" s="528"/>
      <c r="D115" s="528" t="s">
        <v>177</v>
      </c>
      <c r="F115" s="656">
        <f>HLOOKUP($J$1,$M$8:$T$144,$L115,FALSE)</f>
        <v>1944.9900000000007</v>
      </c>
      <c r="G115" s="532"/>
      <c r="H115" s="656">
        <f t="shared" si="51"/>
        <v>2244.7259238373786</v>
      </c>
      <c r="I115" s="532"/>
      <c r="J115" s="657">
        <f t="shared" si="52"/>
        <v>299.73592383737787</v>
      </c>
      <c r="L115" s="514">
        <f t="shared" si="44"/>
        <v>108</v>
      </c>
      <c r="M115" s="965">
        <v>601.9</v>
      </c>
      <c r="N115" s="965">
        <v>1343.0900000000008</v>
      </c>
      <c r="O115" s="937">
        <f t="shared" si="53"/>
        <v>1944.9900000000007</v>
      </c>
      <c r="P115" s="966"/>
      <c r="Q115" s="514">
        <f t="shared" si="45"/>
        <v>108</v>
      </c>
      <c r="R115" s="967">
        <v>640.27632410366414</v>
      </c>
      <c r="S115" s="967">
        <v>1658.0800577349307</v>
      </c>
      <c r="T115" s="937">
        <f t="shared" si="54"/>
        <v>2298.3563818385946</v>
      </c>
      <c r="W115" s="340">
        <f t="shared" si="34"/>
        <v>2244.7259238373786</v>
      </c>
      <c r="Y115" s="340">
        <v>2300.7592629785122</v>
      </c>
      <c r="AA115" s="340">
        <v>2226.551993616788</v>
      </c>
      <c r="AC115" s="340">
        <v>2244.7259238373786</v>
      </c>
    </row>
    <row r="116" spans="1:29">
      <c r="A116" s="523">
        <f t="shared" si="50"/>
        <v>106</v>
      </c>
      <c r="B116" s="529">
        <v>916</v>
      </c>
      <c r="C116" s="528"/>
      <c r="D116" s="528" t="s">
        <v>178</v>
      </c>
      <c r="F116" s="656">
        <f>HLOOKUP($J$1,$M$8:$T$144,$L116,FALSE)</f>
        <v>0</v>
      </c>
      <c r="G116" s="532"/>
      <c r="H116" s="656">
        <f t="shared" si="51"/>
        <v>0</v>
      </c>
      <c r="I116" s="532"/>
      <c r="J116" s="657">
        <f t="shared" si="52"/>
        <v>0</v>
      </c>
      <c r="L116" s="514">
        <f t="shared" si="44"/>
        <v>109</v>
      </c>
      <c r="M116" s="965">
        <v>0</v>
      </c>
      <c r="N116" s="965">
        <v>0</v>
      </c>
      <c r="O116" s="937">
        <f t="shared" si="53"/>
        <v>0</v>
      </c>
      <c r="P116" s="966"/>
      <c r="Q116" s="514">
        <f t="shared" si="45"/>
        <v>109</v>
      </c>
      <c r="R116" s="967">
        <v>0</v>
      </c>
      <c r="S116" s="967">
        <v>0</v>
      </c>
      <c r="T116" s="937">
        <f t="shared" si="54"/>
        <v>0</v>
      </c>
      <c r="W116" s="340">
        <f t="shared" si="34"/>
        <v>0</v>
      </c>
      <c r="Y116" s="340">
        <v>0</v>
      </c>
      <c r="AA116" s="340">
        <v>0</v>
      </c>
      <c r="AC116" s="340">
        <v>0</v>
      </c>
    </row>
    <row r="117" spans="1:29">
      <c r="A117" s="523">
        <f t="shared" si="50"/>
        <v>107</v>
      </c>
      <c r="B117" s="538"/>
      <c r="C117" s="534" t="s">
        <v>194</v>
      </c>
      <c r="D117" s="528"/>
      <c r="F117" s="564">
        <f>SUM(F113:F116)</f>
        <v>27525.910000000003</v>
      </c>
      <c r="G117" s="560"/>
      <c r="H117" s="564">
        <f>SUM(H113:H116)</f>
        <v>28757.288050994212</v>
      </c>
      <c r="I117" s="560"/>
      <c r="J117" s="564">
        <f>SUM(J113:J116)</f>
        <v>1231.3780509942103</v>
      </c>
      <c r="L117" s="514">
        <f t="shared" si="44"/>
        <v>110</v>
      </c>
      <c r="M117" s="937">
        <f>SUM(M113:M116)</f>
        <v>26182.820000000003</v>
      </c>
      <c r="N117" s="937">
        <f>SUM(N113:N116)</f>
        <v>1343.0900000000008</v>
      </c>
      <c r="O117" s="937">
        <f t="shared" si="53"/>
        <v>27525.910000000003</v>
      </c>
      <c r="P117" s="966"/>
      <c r="Q117" s="514">
        <f t="shared" si="45"/>
        <v>110</v>
      </c>
      <c r="R117" s="937">
        <f>SUM(R113:R116)</f>
        <v>27852.200937477821</v>
      </c>
      <c r="S117" s="937">
        <f>SUM(S113:S116)</f>
        <v>1658.0800577349307</v>
      </c>
      <c r="T117" s="937">
        <f t="shared" si="54"/>
        <v>29510.28099521275</v>
      </c>
      <c r="W117" s="340">
        <f t="shared" si="34"/>
        <v>28757.288050994212</v>
      </c>
      <c r="Y117" s="340">
        <v>29344.060346836748</v>
      </c>
      <c r="AA117" s="340">
        <v>28651.772725039373</v>
      </c>
      <c r="AC117" s="340">
        <v>28757.288050994212</v>
      </c>
    </row>
    <row r="118" spans="1:29">
      <c r="A118" s="523">
        <f t="shared" si="50"/>
        <v>108</v>
      </c>
      <c r="B118" s="538"/>
      <c r="C118" s="528"/>
      <c r="D118" s="528"/>
      <c r="F118" s="563"/>
      <c r="G118" s="560"/>
      <c r="H118" s="563"/>
      <c r="I118" s="560"/>
      <c r="J118" s="563"/>
      <c r="L118" s="514">
        <f t="shared" si="44"/>
        <v>111</v>
      </c>
      <c r="M118" s="963"/>
      <c r="N118" s="963"/>
      <c r="O118" s="506"/>
      <c r="P118" s="966"/>
      <c r="Q118" s="962">
        <f t="shared" si="45"/>
        <v>111</v>
      </c>
      <c r="R118" s="963"/>
      <c r="S118" s="963"/>
      <c r="T118" s="506"/>
      <c r="W118" s="340">
        <f t="shared" si="34"/>
        <v>0</v>
      </c>
    </row>
    <row r="119" spans="1:29">
      <c r="A119" s="523">
        <f t="shared" si="50"/>
        <v>109</v>
      </c>
      <c r="B119" s="538"/>
      <c r="C119" s="525" t="s">
        <v>95</v>
      </c>
      <c r="D119" s="528"/>
      <c r="F119" s="563"/>
      <c r="G119" s="560"/>
      <c r="H119" s="563"/>
      <c r="I119" s="560"/>
      <c r="J119" s="563"/>
      <c r="L119" s="514">
        <f t="shared" si="44"/>
        <v>112</v>
      </c>
      <c r="M119" s="963"/>
      <c r="N119" s="963"/>
      <c r="O119" s="506"/>
      <c r="P119" s="966"/>
      <c r="Q119" s="962">
        <f t="shared" si="45"/>
        <v>112</v>
      </c>
      <c r="R119" s="1610"/>
      <c r="S119" s="1610"/>
      <c r="T119" s="506"/>
      <c r="W119" s="340">
        <f t="shared" si="34"/>
        <v>0</v>
      </c>
    </row>
    <row r="120" spans="1:29">
      <c r="A120" s="523">
        <f t="shared" si="50"/>
        <v>110</v>
      </c>
      <c r="B120" s="538"/>
      <c r="C120" s="525"/>
      <c r="D120" s="525" t="s">
        <v>163</v>
      </c>
      <c r="F120" s="563"/>
      <c r="G120" s="560"/>
      <c r="H120" s="563"/>
      <c r="I120" s="560"/>
      <c r="J120" s="563"/>
      <c r="L120" s="514">
        <f t="shared" si="44"/>
        <v>113</v>
      </c>
      <c r="M120" s="963"/>
      <c r="N120" s="963"/>
      <c r="O120" s="506"/>
      <c r="P120" s="966"/>
      <c r="Q120" s="962">
        <f t="shared" si="45"/>
        <v>113</v>
      </c>
      <c r="R120" s="1610"/>
      <c r="S120" s="1610"/>
      <c r="T120" s="506"/>
      <c r="W120" s="340">
        <f t="shared" si="34"/>
        <v>0</v>
      </c>
    </row>
    <row r="121" spans="1:29">
      <c r="A121" s="523">
        <f t="shared" si="50"/>
        <v>111</v>
      </c>
      <c r="B121" s="529">
        <v>920</v>
      </c>
      <c r="C121" s="525"/>
      <c r="D121" s="528" t="s">
        <v>179</v>
      </c>
      <c r="F121" s="556">
        <f t="shared" ref="F121:F132" si="55">HLOOKUP($J$1,$M$8:$T$144,$L121,FALSE)</f>
        <v>634761.88000000268</v>
      </c>
      <c r="G121" s="560"/>
      <c r="H121" s="556">
        <f t="shared" ref="H121:H132" si="56">IF($F$143="Y",W121,HLOOKUP($J$1,$R$8:$T$145,Q121,FALSE))</f>
        <v>670928.51405423996</v>
      </c>
      <c r="I121" s="560"/>
      <c r="J121" s="558">
        <f t="shared" ref="J121:J132" si="57">-F121+H121</f>
        <v>36166.634054237278</v>
      </c>
      <c r="L121" s="514">
        <f t="shared" si="44"/>
        <v>114</v>
      </c>
      <c r="M121" s="965">
        <v>558196.07999999681</v>
      </c>
      <c r="N121" s="965">
        <v>76565.800000005867</v>
      </c>
      <c r="O121" s="937">
        <f t="shared" ref="O121:O133" si="58">M121+N121</f>
        <v>634761.88000000268</v>
      </c>
      <c r="P121" s="966"/>
      <c r="Q121" s="514">
        <f t="shared" si="45"/>
        <v>114</v>
      </c>
      <c r="R121" s="967">
        <v>593785.90169708058</v>
      </c>
      <c r="S121" s="967">
        <v>94522.501161151362</v>
      </c>
      <c r="T121" s="937">
        <f t="shared" ref="T121:T133" si="59">R121+S121</f>
        <v>688308.40285823192</v>
      </c>
      <c r="W121" s="340">
        <f t="shared" si="34"/>
        <v>670928.51405423996</v>
      </c>
      <c r="Y121" s="340">
        <v>684992.0654335958</v>
      </c>
      <c r="AA121" s="340">
        <v>668103.76449918048</v>
      </c>
      <c r="AC121" s="340">
        <v>670928.51405423996</v>
      </c>
    </row>
    <row r="122" spans="1:29">
      <c r="A122" s="523">
        <f t="shared" si="50"/>
        <v>112</v>
      </c>
      <c r="B122" s="529">
        <v>921</v>
      </c>
      <c r="C122" s="540"/>
      <c r="D122" s="528" t="s">
        <v>180</v>
      </c>
      <c r="F122" s="656">
        <f t="shared" si="55"/>
        <v>194.51</v>
      </c>
      <c r="G122" s="532"/>
      <c r="H122" s="656">
        <f t="shared" si="56"/>
        <v>218.63506464219145</v>
      </c>
      <c r="I122" s="532"/>
      <c r="J122" s="657">
        <f t="shared" si="57"/>
        <v>24.125064642191461</v>
      </c>
      <c r="L122" s="514">
        <f t="shared" si="44"/>
        <v>115</v>
      </c>
      <c r="M122" s="965">
        <v>94.52</v>
      </c>
      <c r="N122" s="965">
        <v>99.99</v>
      </c>
      <c r="O122" s="937">
        <f t="shared" si="58"/>
        <v>194.51</v>
      </c>
      <c r="P122" s="966"/>
      <c r="Q122" s="514">
        <f t="shared" si="45"/>
        <v>115</v>
      </c>
      <c r="R122" s="967">
        <v>100.54646644671594</v>
      </c>
      <c r="S122" s="967">
        <v>123.44029437559328</v>
      </c>
      <c r="T122" s="937">
        <f t="shared" si="59"/>
        <v>223.98676082230924</v>
      </c>
      <c r="W122" s="340">
        <f t="shared" si="34"/>
        <v>218.63506464219145</v>
      </c>
      <c r="Y122" s="340">
        <v>223.83797358091621</v>
      </c>
      <c r="AA122" s="340">
        <v>217.11233136710985</v>
      </c>
      <c r="AC122" s="340">
        <v>218.63506464219145</v>
      </c>
    </row>
    <row r="123" spans="1:29">
      <c r="A123" s="523">
        <f t="shared" si="50"/>
        <v>113</v>
      </c>
      <c r="B123" s="529">
        <v>922</v>
      </c>
      <c r="C123" s="528"/>
      <c r="D123" s="539" t="s">
        <v>181</v>
      </c>
      <c r="F123" s="656">
        <f t="shared" si="55"/>
        <v>0</v>
      </c>
      <c r="G123" s="532"/>
      <c r="H123" s="656">
        <f t="shared" si="56"/>
        <v>0</v>
      </c>
      <c r="I123" s="532"/>
      <c r="J123" s="657">
        <f t="shared" si="57"/>
        <v>0</v>
      </c>
      <c r="L123" s="514">
        <f t="shared" si="44"/>
        <v>116</v>
      </c>
      <c r="M123" s="965">
        <v>0</v>
      </c>
      <c r="N123" s="965">
        <v>0</v>
      </c>
      <c r="O123" s="937">
        <f t="shared" si="58"/>
        <v>0</v>
      </c>
      <c r="P123" s="966"/>
      <c r="Q123" s="514">
        <f t="shared" si="45"/>
        <v>116</v>
      </c>
      <c r="R123" s="967">
        <v>0</v>
      </c>
      <c r="S123" s="967">
        <v>0</v>
      </c>
      <c r="T123" s="937">
        <f t="shared" si="59"/>
        <v>0</v>
      </c>
      <c r="W123" s="340">
        <f t="shared" si="34"/>
        <v>0</v>
      </c>
      <c r="Y123" s="340">
        <v>0</v>
      </c>
      <c r="AA123" s="340">
        <v>0</v>
      </c>
      <c r="AC123" s="340">
        <v>0</v>
      </c>
    </row>
    <row r="124" spans="1:29">
      <c r="A124" s="523">
        <f t="shared" si="50"/>
        <v>114</v>
      </c>
      <c r="B124" s="529">
        <v>923</v>
      </c>
      <c r="C124" s="525"/>
      <c r="D124" s="528" t="s">
        <v>222</v>
      </c>
      <c r="F124" s="656">
        <f t="shared" si="55"/>
        <v>0</v>
      </c>
      <c r="G124" s="532"/>
      <c r="H124" s="656">
        <f t="shared" si="56"/>
        <v>0</v>
      </c>
      <c r="I124" s="532"/>
      <c r="J124" s="657">
        <f t="shared" si="57"/>
        <v>0</v>
      </c>
      <c r="L124" s="514">
        <f t="shared" si="44"/>
        <v>117</v>
      </c>
      <c r="M124" s="965">
        <v>0</v>
      </c>
      <c r="N124" s="965">
        <v>0</v>
      </c>
      <c r="O124" s="937">
        <f t="shared" si="58"/>
        <v>0</v>
      </c>
      <c r="P124" s="966"/>
      <c r="Q124" s="514">
        <f t="shared" si="45"/>
        <v>117</v>
      </c>
      <c r="R124" s="967">
        <v>0</v>
      </c>
      <c r="S124" s="967">
        <v>0</v>
      </c>
      <c r="T124" s="937">
        <f t="shared" si="59"/>
        <v>0</v>
      </c>
      <c r="W124" s="340">
        <f t="shared" si="34"/>
        <v>0</v>
      </c>
      <c r="Y124" s="340">
        <v>0</v>
      </c>
      <c r="AA124" s="340">
        <v>0</v>
      </c>
      <c r="AC124" s="340">
        <v>0</v>
      </c>
    </row>
    <row r="125" spans="1:29">
      <c r="A125" s="523">
        <f t="shared" si="50"/>
        <v>115</v>
      </c>
      <c r="B125" s="529">
        <v>924</v>
      </c>
      <c r="C125" s="528"/>
      <c r="D125" s="528" t="s">
        <v>157</v>
      </c>
      <c r="F125" s="656">
        <f t="shared" si="55"/>
        <v>0</v>
      </c>
      <c r="G125" s="532"/>
      <c r="H125" s="656">
        <f t="shared" si="56"/>
        <v>0</v>
      </c>
      <c r="I125" s="532"/>
      <c r="J125" s="657">
        <f t="shared" si="57"/>
        <v>0</v>
      </c>
      <c r="L125" s="514">
        <f t="shared" si="44"/>
        <v>118</v>
      </c>
      <c r="M125" s="965">
        <v>0</v>
      </c>
      <c r="N125" s="965">
        <v>0</v>
      </c>
      <c r="O125" s="937">
        <f t="shared" si="58"/>
        <v>0</v>
      </c>
      <c r="P125" s="966"/>
      <c r="Q125" s="514">
        <f t="shared" si="45"/>
        <v>118</v>
      </c>
      <c r="R125" s="967">
        <v>0</v>
      </c>
      <c r="S125" s="967">
        <v>0</v>
      </c>
      <c r="T125" s="937">
        <f t="shared" si="59"/>
        <v>0</v>
      </c>
      <c r="W125" s="340">
        <f t="shared" si="34"/>
        <v>0</v>
      </c>
      <c r="Y125" s="340">
        <v>0</v>
      </c>
      <c r="AA125" s="340">
        <v>0</v>
      </c>
      <c r="AC125" s="340">
        <v>0</v>
      </c>
    </row>
    <row r="126" spans="1:29">
      <c r="A126" s="523">
        <f t="shared" si="50"/>
        <v>116</v>
      </c>
      <c r="B126" s="529">
        <v>925</v>
      </c>
      <c r="C126" s="528"/>
      <c r="D126" s="528" t="s">
        <v>158</v>
      </c>
      <c r="F126" s="656">
        <f t="shared" si="55"/>
        <v>0</v>
      </c>
      <c r="G126" s="532"/>
      <c r="H126" s="656">
        <f t="shared" si="56"/>
        <v>0</v>
      </c>
      <c r="I126" s="532"/>
      <c r="J126" s="657">
        <f t="shared" si="57"/>
        <v>0</v>
      </c>
      <c r="L126" s="514">
        <f t="shared" si="44"/>
        <v>119</v>
      </c>
      <c r="M126" s="965">
        <v>0</v>
      </c>
      <c r="N126" s="965">
        <v>0</v>
      </c>
      <c r="O126" s="937">
        <f t="shared" si="58"/>
        <v>0</v>
      </c>
      <c r="P126" s="966"/>
      <c r="Q126" s="514">
        <f t="shared" si="45"/>
        <v>119</v>
      </c>
      <c r="R126" s="967">
        <v>0</v>
      </c>
      <c r="S126" s="967">
        <v>0</v>
      </c>
      <c r="T126" s="937">
        <f t="shared" si="59"/>
        <v>0</v>
      </c>
      <c r="W126" s="340">
        <f t="shared" si="34"/>
        <v>0</v>
      </c>
      <c r="Y126" s="340">
        <v>0</v>
      </c>
      <c r="AA126" s="340">
        <v>0</v>
      </c>
      <c r="AC126" s="340">
        <v>0</v>
      </c>
    </row>
    <row r="127" spans="1:29">
      <c r="A127" s="523">
        <f t="shared" si="50"/>
        <v>117</v>
      </c>
      <c r="B127" s="529">
        <v>926</v>
      </c>
      <c r="C127" s="528"/>
      <c r="D127" s="528" t="s">
        <v>246</v>
      </c>
      <c r="F127" s="656">
        <f t="shared" si="55"/>
        <v>1677994.4999999991</v>
      </c>
      <c r="G127" s="532"/>
      <c r="H127" s="656">
        <f t="shared" si="56"/>
        <v>1845194.9618520718</v>
      </c>
      <c r="I127" s="532"/>
      <c r="J127" s="657">
        <f>-F127+H127</f>
        <v>167200.46185207274</v>
      </c>
      <c r="L127" s="514">
        <f t="shared" si="44"/>
        <v>120</v>
      </c>
      <c r="M127" s="965">
        <v>1055510.4799999967</v>
      </c>
      <c r="N127" s="965">
        <v>622484.02000000235</v>
      </c>
      <c r="O127" s="937">
        <f t="shared" si="58"/>
        <v>1677994.4999999991</v>
      </c>
      <c r="P127" s="966"/>
      <c r="Q127" s="514">
        <f t="shared" si="45"/>
        <v>120</v>
      </c>
      <c r="R127" s="967">
        <v>1122808.3904091909</v>
      </c>
      <c r="S127" s="967">
        <v>768472.95402443246</v>
      </c>
      <c r="T127" s="937">
        <f t="shared" si="59"/>
        <v>1891281.3444336234</v>
      </c>
      <c r="W127" s="340">
        <f t="shared" si="34"/>
        <v>1845194.9618520718</v>
      </c>
      <c r="Y127" s="340">
        <v>1887276.1929896197</v>
      </c>
      <c r="AA127" s="340">
        <v>1834120.4838054264</v>
      </c>
      <c r="AC127" s="340">
        <v>1845194.9618520718</v>
      </c>
    </row>
    <row r="128" spans="1:29">
      <c r="A128" s="523">
        <f t="shared" si="50"/>
        <v>118</v>
      </c>
      <c r="B128" s="529">
        <v>927</v>
      </c>
      <c r="C128" s="528"/>
      <c r="D128" s="528" t="s">
        <v>335</v>
      </c>
      <c r="F128" s="656">
        <f t="shared" si="55"/>
        <v>0</v>
      </c>
      <c r="G128" s="532"/>
      <c r="H128" s="656">
        <f t="shared" si="56"/>
        <v>0</v>
      </c>
      <c r="I128" s="532"/>
      <c r="J128" s="657">
        <f t="shared" si="57"/>
        <v>0</v>
      </c>
      <c r="K128" s="532"/>
      <c r="L128" s="514">
        <f t="shared" si="44"/>
        <v>121</v>
      </c>
      <c r="M128" s="965">
        <v>0</v>
      </c>
      <c r="N128" s="965">
        <v>0</v>
      </c>
      <c r="O128" s="937">
        <f t="shared" si="58"/>
        <v>0</v>
      </c>
      <c r="P128" s="966"/>
      <c r="Q128" s="514">
        <f t="shared" si="45"/>
        <v>121</v>
      </c>
      <c r="R128" s="967">
        <v>0</v>
      </c>
      <c r="S128" s="967">
        <v>0</v>
      </c>
      <c r="T128" s="937">
        <f t="shared" si="59"/>
        <v>0</v>
      </c>
      <c r="W128" s="340">
        <f t="shared" si="34"/>
        <v>0</v>
      </c>
      <c r="Y128" s="340">
        <v>0</v>
      </c>
      <c r="AA128" s="340">
        <v>0</v>
      </c>
      <c r="AC128" s="340">
        <v>0</v>
      </c>
    </row>
    <row r="129" spans="1:29">
      <c r="A129" s="523">
        <f t="shared" si="50"/>
        <v>119</v>
      </c>
      <c r="B129" s="529">
        <v>928</v>
      </c>
      <c r="C129" s="528"/>
      <c r="D129" s="528" t="s">
        <v>134</v>
      </c>
      <c r="F129" s="656">
        <f t="shared" si="55"/>
        <v>0</v>
      </c>
      <c r="G129" s="532"/>
      <c r="H129" s="656">
        <f t="shared" si="56"/>
        <v>0</v>
      </c>
      <c r="I129" s="532"/>
      <c r="J129" s="657">
        <f t="shared" si="57"/>
        <v>0</v>
      </c>
      <c r="L129" s="514">
        <f t="shared" si="44"/>
        <v>122</v>
      </c>
      <c r="M129" s="965">
        <v>0</v>
      </c>
      <c r="N129" s="965">
        <v>0</v>
      </c>
      <c r="O129" s="937">
        <f t="shared" si="58"/>
        <v>0</v>
      </c>
      <c r="P129" s="966"/>
      <c r="Q129" s="514">
        <f t="shared" si="45"/>
        <v>122</v>
      </c>
      <c r="R129" s="967">
        <v>0</v>
      </c>
      <c r="S129" s="967">
        <v>0</v>
      </c>
      <c r="T129" s="937">
        <f t="shared" si="59"/>
        <v>0</v>
      </c>
      <c r="W129" s="340">
        <f t="shared" si="34"/>
        <v>0</v>
      </c>
      <c r="Y129" s="340">
        <v>0</v>
      </c>
      <c r="AA129" s="340">
        <v>0</v>
      </c>
      <c r="AC129" s="340">
        <v>0</v>
      </c>
    </row>
    <row r="130" spans="1:29">
      <c r="A130" s="523">
        <f t="shared" si="50"/>
        <v>120</v>
      </c>
      <c r="B130" s="529">
        <v>930.1</v>
      </c>
      <c r="C130" s="528"/>
      <c r="D130" s="528" t="s">
        <v>182</v>
      </c>
      <c r="F130" s="656">
        <f t="shared" si="55"/>
        <v>0</v>
      </c>
      <c r="G130" s="532"/>
      <c r="H130" s="656">
        <f t="shared" si="56"/>
        <v>0</v>
      </c>
      <c r="I130" s="532"/>
      <c r="J130" s="657">
        <f t="shared" si="57"/>
        <v>0</v>
      </c>
      <c r="L130" s="514">
        <f t="shared" si="44"/>
        <v>123</v>
      </c>
      <c r="M130" s="965">
        <v>0</v>
      </c>
      <c r="N130" s="965">
        <v>0</v>
      </c>
      <c r="O130" s="937">
        <f t="shared" si="58"/>
        <v>0</v>
      </c>
      <c r="P130" s="966"/>
      <c r="Q130" s="514">
        <f t="shared" si="45"/>
        <v>123</v>
      </c>
      <c r="R130" s="967">
        <v>0</v>
      </c>
      <c r="S130" s="967">
        <v>0</v>
      </c>
      <c r="T130" s="937">
        <f t="shared" si="59"/>
        <v>0</v>
      </c>
      <c r="W130" s="340">
        <f t="shared" si="34"/>
        <v>0</v>
      </c>
      <c r="Y130" s="340">
        <v>0</v>
      </c>
      <c r="AA130" s="340">
        <v>0</v>
      </c>
      <c r="AC130" s="340">
        <v>0</v>
      </c>
    </row>
    <row r="131" spans="1:29">
      <c r="A131" s="523">
        <f t="shared" si="50"/>
        <v>121</v>
      </c>
      <c r="B131" s="529">
        <v>930.2</v>
      </c>
      <c r="C131" s="528"/>
      <c r="D131" s="528" t="s">
        <v>183</v>
      </c>
      <c r="F131" s="656">
        <f t="shared" si="55"/>
        <v>-63.510000000000005</v>
      </c>
      <c r="G131" s="532"/>
      <c r="H131" s="656">
        <f t="shared" si="56"/>
        <v>-70.664864622662492</v>
      </c>
      <c r="I131" s="532"/>
      <c r="J131" s="657">
        <f t="shared" si="57"/>
        <v>-7.1548646226624868</v>
      </c>
      <c r="L131" s="514">
        <f t="shared" si="44"/>
        <v>124</v>
      </c>
      <c r="M131" s="965">
        <v>-35.1</v>
      </c>
      <c r="N131" s="965">
        <v>-28.41</v>
      </c>
      <c r="O131" s="937">
        <f t="shared" si="58"/>
        <v>-63.510000000000005</v>
      </c>
      <c r="P131" s="966"/>
      <c r="Q131" s="514">
        <f t="shared" si="45"/>
        <v>124</v>
      </c>
      <c r="R131" s="967">
        <v>-37.337928187470695</v>
      </c>
      <c r="S131" s="967">
        <v>-35.072894921598213</v>
      </c>
      <c r="T131" s="937">
        <f t="shared" si="59"/>
        <v>-72.4108231090689</v>
      </c>
      <c r="W131" s="340">
        <f t="shared" si="34"/>
        <v>-70.664864622662492</v>
      </c>
      <c r="Y131" s="340">
        <v>-72.314204675692011</v>
      </c>
      <c r="AA131" s="340">
        <v>-70.204064573567834</v>
      </c>
      <c r="AC131" s="340">
        <v>-70.664864622662492</v>
      </c>
    </row>
    <row r="132" spans="1:29">
      <c r="A132" s="523">
        <f t="shared" si="50"/>
        <v>122</v>
      </c>
      <c r="B132" s="529">
        <v>931</v>
      </c>
      <c r="C132" s="528"/>
      <c r="D132" s="528" t="s">
        <v>185</v>
      </c>
      <c r="F132" s="656">
        <f t="shared" si="55"/>
        <v>0</v>
      </c>
      <c r="G132" s="532"/>
      <c r="H132" s="656">
        <f t="shared" si="56"/>
        <v>0</v>
      </c>
      <c r="I132" s="532"/>
      <c r="J132" s="657">
        <f t="shared" si="57"/>
        <v>0</v>
      </c>
      <c r="L132" s="514">
        <f t="shared" si="44"/>
        <v>125</v>
      </c>
      <c r="M132" s="965">
        <v>0</v>
      </c>
      <c r="N132" s="965">
        <v>0</v>
      </c>
      <c r="O132" s="937">
        <f t="shared" si="58"/>
        <v>0</v>
      </c>
      <c r="P132" s="966"/>
      <c r="Q132" s="514">
        <f t="shared" si="45"/>
        <v>125</v>
      </c>
      <c r="R132" s="967">
        <v>0</v>
      </c>
      <c r="S132" s="967">
        <v>0</v>
      </c>
      <c r="T132" s="937">
        <f t="shared" si="59"/>
        <v>0</v>
      </c>
      <c r="W132" s="340">
        <f t="shared" si="34"/>
        <v>0</v>
      </c>
      <c r="Y132" s="340">
        <v>0</v>
      </c>
      <c r="AA132" s="340">
        <v>0</v>
      </c>
      <c r="AC132" s="340">
        <v>0</v>
      </c>
    </row>
    <row r="133" spans="1:29">
      <c r="A133" s="523">
        <f t="shared" si="50"/>
        <v>123</v>
      </c>
      <c r="B133" s="538"/>
      <c r="C133" s="534" t="s">
        <v>164</v>
      </c>
      <c r="D133" s="528"/>
      <c r="F133" s="564">
        <f>(SUM(F121:F132))</f>
        <v>2312887.3800000018</v>
      </c>
      <c r="G133" s="560"/>
      <c r="H133" s="564">
        <f>(SUM(H121:H132))</f>
        <v>2516271.4461063314</v>
      </c>
      <c r="I133" s="560"/>
      <c r="J133" s="564">
        <f>(SUM(J121:J132))</f>
        <v>203384.06610632956</v>
      </c>
      <c r="L133" s="514">
        <f t="shared" si="44"/>
        <v>126</v>
      </c>
      <c r="M133" s="937">
        <f>SUM(M121:M132)</f>
        <v>1613765.9799999935</v>
      </c>
      <c r="N133" s="937">
        <f>SUM(N121:N132)</f>
        <v>699121.40000000817</v>
      </c>
      <c r="O133" s="937">
        <f t="shared" si="58"/>
        <v>2312887.3800000018</v>
      </c>
      <c r="P133" s="966"/>
      <c r="Q133" s="514">
        <f t="shared" si="45"/>
        <v>126</v>
      </c>
      <c r="R133" s="937">
        <f>(SUM(R121:R132))</f>
        <v>1716657.5006445306</v>
      </c>
      <c r="S133" s="937">
        <f>(SUM(S121:S132))</f>
        <v>863083.82258503779</v>
      </c>
      <c r="T133" s="937">
        <f t="shared" si="59"/>
        <v>2579741.3232295685</v>
      </c>
      <c r="W133" s="340">
        <f t="shared" si="34"/>
        <v>2516271.4461063314</v>
      </c>
      <c r="Y133" s="340">
        <v>2572419.7821921208</v>
      </c>
      <c r="AA133" s="340">
        <v>2502371.1565714004</v>
      </c>
      <c r="AC133" s="340">
        <v>2516271.4461063314</v>
      </c>
    </row>
    <row r="134" spans="1:29">
      <c r="A134" s="523">
        <f t="shared" si="50"/>
        <v>124</v>
      </c>
      <c r="B134" s="538"/>
      <c r="C134" s="525"/>
      <c r="D134" s="528"/>
      <c r="F134" s="563"/>
      <c r="G134" s="560"/>
      <c r="H134" s="563"/>
      <c r="I134" s="560"/>
      <c r="J134" s="563"/>
      <c r="L134" s="514">
        <f t="shared" si="44"/>
        <v>127</v>
      </c>
      <c r="M134" s="963"/>
      <c r="N134" s="963"/>
      <c r="O134" s="506"/>
      <c r="P134" s="966"/>
      <c r="Q134" s="962">
        <f t="shared" si="45"/>
        <v>127</v>
      </c>
      <c r="R134" s="1610"/>
      <c r="S134" s="1610"/>
      <c r="T134" s="506"/>
      <c r="W134" s="340">
        <f t="shared" si="34"/>
        <v>0</v>
      </c>
    </row>
    <row r="135" spans="1:29">
      <c r="A135" s="523">
        <f t="shared" si="50"/>
        <v>125</v>
      </c>
      <c r="B135" s="533"/>
      <c r="C135" s="540"/>
      <c r="D135" s="525" t="s">
        <v>166</v>
      </c>
      <c r="F135" s="563"/>
      <c r="G135" s="560"/>
      <c r="H135" s="563"/>
      <c r="I135" s="560"/>
      <c r="J135" s="563"/>
      <c r="L135" s="514">
        <f t="shared" si="44"/>
        <v>128</v>
      </c>
      <c r="M135" s="963"/>
      <c r="N135" s="963"/>
      <c r="O135" s="506"/>
      <c r="P135" s="966"/>
      <c r="Q135" s="962">
        <f t="shared" ref="Q135:Q140" si="60">1+Q134</f>
        <v>128</v>
      </c>
      <c r="R135" s="1610"/>
      <c r="S135" s="1610"/>
      <c r="T135" s="506"/>
      <c r="W135" s="340">
        <f t="shared" si="34"/>
        <v>0</v>
      </c>
    </row>
    <row r="136" spans="1:29">
      <c r="A136" s="523">
        <f t="shared" si="50"/>
        <v>126</v>
      </c>
      <c r="B136" s="529">
        <v>932</v>
      </c>
      <c r="C136" s="528"/>
      <c r="D136" s="528" t="s">
        <v>159</v>
      </c>
      <c r="F136" s="556">
        <f>HLOOKUP($J$1,$M$8:$T$144,$L136,FALSE)</f>
        <v>722.45</v>
      </c>
      <c r="G136" s="560"/>
      <c r="H136" s="556">
        <f>IF($F$143="Y",W136,HLOOKUP($J$1,$R$8:$T$145,Q136,FALSE))</f>
        <v>748.76120595992847</v>
      </c>
      <c r="I136" s="560"/>
      <c r="J136" s="558">
        <f>-F136+H136</f>
        <v>26.311205959928429</v>
      </c>
      <c r="L136" s="514">
        <f t="shared" si="44"/>
        <v>129</v>
      </c>
      <c r="M136" s="965">
        <v>722.45</v>
      </c>
      <c r="N136" s="965">
        <v>0</v>
      </c>
      <c r="O136" s="937">
        <f t="shared" ref="O136:O137" si="61">M136+N136</f>
        <v>722.45</v>
      </c>
      <c r="P136" s="966"/>
      <c r="Q136" s="514">
        <f t="shared" si="60"/>
        <v>129</v>
      </c>
      <c r="R136" s="967">
        <v>768.51242789282628</v>
      </c>
      <c r="S136" s="967">
        <v>0</v>
      </c>
      <c r="T136" s="937">
        <f t="shared" ref="T136:T137" si="62">R136+S136</f>
        <v>768.51242789282628</v>
      </c>
      <c r="W136" s="340">
        <f t="shared" si="34"/>
        <v>748.76120595992847</v>
      </c>
      <c r="Y136" s="340">
        <v>763.75020398145898</v>
      </c>
      <c r="AA136" s="340">
        <v>746.29453191739174</v>
      </c>
      <c r="AC136" s="340">
        <v>748.76120595992847</v>
      </c>
    </row>
    <row r="137" spans="1:29">
      <c r="A137" s="523">
        <f t="shared" si="50"/>
        <v>127</v>
      </c>
      <c r="B137" s="524"/>
      <c r="C137" s="534" t="s">
        <v>385</v>
      </c>
      <c r="D137" s="528"/>
      <c r="F137" s="564">
        <f>F136+F133</f>
        <v>2313609.8300000019</v>
      </c>
      <c r="G137" s="560"/>
      <c r="H137" s="564">
        <f>H136+H133</f>
        <v>2517020.2073122915</v>
      </c>
      <c r="I137" s="560"/>
      <c r="J137" s="564">
        <f>J136+J133</f>
        <v>203410.37731228949</v>
      </c>
      <c r="L137" s="514">
        <f t="shared" si="44"/>
        <v>130</v>
      </c>
      <c r="M137" s="937">
        <f>M133+M136</f>
        <v>1614488.4299999934</v>
      </c>
      <c r="N137" s="937">
        <f>N133+N136</f>
        <v>699121.40000000817</v>
      </c>
      <c r="O137" s="937">
        <f t="shared" si="61"/>
        <v>2313609.8300000015</v>
      </c>
      <c r="P137" s="966"/>
      <c r="Q137" s="514">
        <f t="shared" si="60"/>
        <v>130</v>
      </c>
      <c r="R137" s="937">
        <f>R136+R133</f>
        <v>1717426.0130724234</v>
      </c>
      <c r="S137" s="937">
        <f>S136+S133</f>
        <v>863083.82258503779</v>
      </c>
      <c r="T137" s="937">
        <f t="shared" si="62"/>
        <v>2580509.8356574611</v>
      </c>
      <c r="W137" s="340">
        <f t="shared" si="34"/>
        <v>2517020.2073122915</v>
      </c>
      <c r="Y137" s="340">
        <v>2573183.5323961023</v>
      </c>
      <c r="AA137" s="340">
        <v>2503117.4511033176</v>
      </c>
      <c r="AC137" s="340">
        <v>2517020.2073122915</v>
      </c>
    </row>
    <row r="138" spans="1:29">
      <c r="A138" s="523">
        <f t="shared" si="50"/>
        <v>128</v>
      </c>
      <c r="F138" s="563"/>
      <c r="G138" s="560"/>
      <c r="H138" s="563"/>
      <c r="I138" s="560"/>
      <c r="J138" s="563"/>
      <c r="L138" s="514">
        <f t="shared" si="44"/>
        <v>131</v>
      </c>
      <c r="M138" s="963"/>
      <c r="N138" s="963"/>
      <c r="O138" s="506"/>
      <c r="P138" s="966"/>
      <c r="Q138" s="962">
        <f t="shared" si="60"/>
        <v>131</v>
      </c>
      <c r="R138" s="963"/>
      <c r="S138" s="963"/>
      <c r="T138" s="506"/>
      <c r="W138" s="340">
        <f t="shared" si="34"/>
        <v>0</v>
      </c>
    </row>
    <row r="139" spans="1:29" ht="13.5" thickBot="1">
      <c r="A139" s="523">
        <f t="shared" si="50"/>
        <v>129</v>
      </c>
      <c r="F139" s="565">
        <f>ROUND(F62+F92+F101+F109+F117+F137+F38+F29+F20+F15,0)</f>
        <v>20514558</v>
      </c>
      <c r="G139" s="560"/>
      <c r="H139" s="565">
        <f>ROUND(H62+H92+H101+H109+H117+H137+H38+H29+H20+H15,0)</f>
        <v>22923823</v>
      </c>
      <c r="I139" s="560"/>
      <c r="J139" s="565">
        <f>ROUND(J62+J92+J101+J109+J117+J137+J38+J29+J20+J15,0)</f>
        <v>2409265</v>
      </c>
      <c r="L139" s="514">
        <f t="shared" si="44"/>
        <v>132</v>
      </c>
      <c r="M139" s="937">
        <f>ROUND(M62+M92+M101+M109+M117+M137+M38+M29+M20+M15,0)</f>
        <v>10761852</v>
      </c>
      <c r="N139" s="937">
        <f>ROUND(N62+N92+N101+N109+N117+N137+N38+N29+N20+N15,0)</f>
        <v>9752706</v>
      </c>
      <c r="O139" s="937">
        <f>ROUND(O62+O92+O101+O109+O117+O137+O38+O29+O20+O15,0)</f>
        <v>20514558</v>
      </c>
      <c r="P139" s="966"/>
      <c r="Q139" s="514">
        <f t="shared" si="60"/>
        <v>132</v>
      </c>
      <c r="R139" s="937">
        <f>ROUND(R62+R92+R101+R109+R117+R137+R38+R29+R20+R15,0)</f>
        <v>11448013</v>
      </c>
      <c r="S139" s="937">
        <f>ROUND(S62+S92+S101+S109+S117+S137+S38+S29+S20+S15,0)</f>
        <v>12039973</v>
      </c>
      <c r="T139" s="937">
        <f>ROUND(T62+T92+T101+T109+T117+T137+T38+T29+T20+T15,0)</f>
        <v>23487986</v>
      </c>
      <c r="W139" s="340">
        <f t="shared" si="34"/>
        <v>22923823</v>
      </c>
      <c r="Y139" s="340">
        <v>23463305</v>
      </c>
      <c r="AA139" s="340">
        <v>22770033</v>
      </c>
      <c r="AC139" s="340">
        <v>22923823</v>
      </c>
    </row>
    <row r="140" spans="1:29" ht="13.5" thickTop="1">
      <c r="A140" s="523">
        <f t="shared" si="50"/>
        <v>130</v>
      </c>
      <c r="L140" s="514">
        <f t="shared" si="44"/>
        <v>133</v>
      </c>
      <c r="M140" s="964"/>
      <c r="N140" s="964"/>
      <c r="O140" s="966"/>
      <c r="P140" s="966"/>
      <c r="Q140" s="514">
        <f t="shared" si="60"/>
        <v>133</v>
      </c>
    </row>
    <row r="141" spans="1:29">
      <c r="A141" s="523">
        <f t="shared" si="50"/>
        <v>131</v>
      </c>
      <c r="B141" s="1295" t="s">
        <v>1670</v>
      </c>
      <c r="C141" s="1295"/>
      <c r="D141" s="1295"/>
      <c r="E141" s="1295"/>
      <c r="F141" s="961"/>
      <c r="G141" s="961"/>
      <c r="H141" s="961"/>
      <c r="I141" s="961"/>
      <c r="O141" s="966"/>
      <c r="P141" s="966"/>
      <c r="Q141" s="514"/>
    </row>
    <row r="142" spans="1:29">
      <c r="M142" s="963"/>
      <c r="N142" s="963"/>
      <c r="O142" s="966"/>
      <c r="P142" s="966"/>
      <c r="Q142" s="514"/>
      <c r="R142" s="527"/>
      <c r="S142" s="527"/>
    </row>
    <row r="143" spans="1:29">
      <c r="D143" s="537" t="s">
        <v>1655</v>
      </c>
      <c r="F143" s="340" t="str">
        <f>'Stmt N'!AN1</f>
        <v>Y</v>
      </c>
      <c r="M143" s="964"/>
      <c r="N143" s="964"/>
      <c r="R143" s="881"/>
      <c r="S143" s="881"/>
      <c r="T143" s="881"/>
    </row>
    <row r="144" spans="1:29">
      <c r="D144" s="537" t="s">
        <v>1616</v>
      </c>
      <c r="F144" s="1452">
        <f>'MCC Testimony Table'!F21</f>
        <v>0</v>
      </c>
      <c r="H144" s="1452"/>
      <c r="M144" s="964"/>
      <c r="N144" s="964"/>
      <c r="O144" s="964"/>
      <c r="R144" s="527"/>
      <c r="S144" s="527"/>
      <c r="T144" s="527"/>
    </row>
    <row r="145" spans="4:19">
      <c r="R145" s="527"/>
      <c r="S145" s="527"/>
    </row>
    <row r="146" spans="4:19">
      <c r="D146" s="537" t="s">
        <v>1656</v>
      </c>
      <c r="F146" s="340" t="str">
        <f>'MCC Testimony Table'!F34</f>
        <v>Y</v>
      </c>
    </row>
  </sheetData>
  <mergeCells count="2">
    <mergeCell ref="L7:O7"/>
    <mergeCell ref="Q7:T7"/>
  </mergeCells>
  <conditionalFormatting sqref="K89">
    <cfRule type="cellIs" dxfId="1" priority="1" stopIfTrue="1" operator="equal">
      <formula>FALSE</formula>
    </cfRule>
  </conditionalFormatting>
  <printOptions horizontalCentered="1"/>
  <pageMargins left="0.25" right="0.25" top="0.75" bottom="0.5" header="1" footer="0.5"/>
  <pageSetup scale="70" fitToHeight="2" orientation="portrait" r:id="rId1"/>
  <headerFooter alignWithMargins="0"/>
  <rowBreaks count="1" manualBreakCount="1">
    <brk id="77" max="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28"/>
  <sheetViews>
    <sheetView workbookViewId="0"/>
  </sheetViews>
  <sheetFormatPr defaultRowHeight="12.75"/>
  <cols>
    <col min="1" max="1" width="6.83203125" customWidth="1"/>
    <col min="2" max="2" width="9" bestFit="1" customWidth="1"/>
    <col min="3" max="3" width="55.33203125" customWidth="1"/>
    <col min="4" max="4" width="17.1640625" customWidth="1"/>
    <col min="5" max="5" width="24" style="62" customWidth="1"/>
    <col min="6" max="6" width="16.6640625" customWidth="1"/>
    <col min="7" max="7" width="6.1640625" customWidth="1"/>
    <col min="8" max="8" width="3.6640625" bestFit="1" customWidth="1"/>
    <col min="9" max="11" width="12.83203125" customWidth="1"/>
    <col min="12" max="13" width="2.83203125" customWidth="1"/>
    <col min="14" max="16" width="12.83203125" customWidth="1"/>
  </cols>
  <sheetData>
    <row r="1" spans="1:16">
      <c r="A1" s="69" t="str">
        <f>Company</f>
        <v>BLACK HILLS NEBRASKA GAS, LLC</v>
      </c>
      <c r="E1" s="1013"/>
      <c r="F1" s="72" t="str">
        <f>Attach</f>
        <v>FINAL - BH January 15, 2021 Rev. Req. Model</v>
      </c>
    </row>
    <row r="2" spans="1:16">
      <c r="A2" s="128" t="s">
        <v>825</v>
      </c>
      <c r="F2" s="84" t="s">
        <v>793</v>
      </c>
    </row>
    <row r="3" spans="1:16">
      <c r="A3" s="70" t="str">
        <f>TYEnded</f>
        <v>FOR THE TEST YEAR ENDING DECEMBER 31, 2020</v>
      </c>
      <c r="D3" s="1225"/>
    </row>
    <row r="4" spans="1:16" s="62" customFormat="1">
      <c r="A4" s="70"/>
      <c r="D4" s="1225"/>
    </row>
    <row r="5" spans="1:16" s="62" customFormat="1">
      <c r="A5" s="70"/>
      <c r="C5" s="14"/>
      <c r="D5" s="498"/>
      <c r="E5" s="498"/>
    </row>
    <row r="6" spans="1:16" s="62" customFormat="1">
      <c r="A6" s="70"/>
    </row>
    <row r="7" spans="1:16">
      <c r="A7" s="224"/>
      <c r="B7" s="224"/>
      <c r="C7" s="224"/>
      <c r="D7" s="5" t="s">
        <v>199</v>
      </c>
      <c r="E7" s="5" t="s">
        <v>200</v>
      </c>
      <c r="F7" s="5" t="s">
        <v>41</v>
      </c>
      <c r="H7" s="1781" t="s">
        <v>1054</v>
      </c>
      <c r="I7" s="1781"/>
      <c r="J7" s="1781"/>
      <c r="K7" s="1781"/>
      <c r="L7" s="66"/>
      <c r="M7" s="1782" t="s">
        <v>1179</v>
      </c>
      <c r="N7" s="1782"/>
      <c r="O7" s="1782"/>
      <c r="P7" s="1782"/>
    </row>
    <row r="8" spans="1:16">
      <c r="A8" s="221"/>
      <c r="B8" s="221"/>
      <c r="C8" s="221"/>
      <c r="D8" s="5" t="s">
        <v>1053</v>
      </c>
      <c r="E8" s="507" t="s">
        <v>1055</v>
      </c>
      <c r="F8" s="5"/>
      <c r="H8" s="75">
        <v>1</v>
      </c>
      <c r="I8" s="75" t="str">
        <f>References!$C$17</f>
        <v>Exhibit No. MCC-2 NEG</v>
      </c>
      <c r="J8" s="75" t="str">
        <f>References!$D$17</f>
        <v>Exhibit No. MCC-2 NEGD</v>
      </c>
      <c r="K8" s="75" t="str">
        <f>References!$E$17</f>
        <v>FINAL - BH January 15, 2021 Rev. Req. Model</v>
      </c>
      <c r="M8" s="75">
        <v>1</v>
      </c>
      <c r="N8" s="75" t="str">
        <f>References!$C$17</f>
        <v>Exhibit No. MCC-2 NEG</v>
      </c>
      <c r="O8" s="75" t="str">
        <f>References!$D$17</f>
        <v>Exhibit No. MCC-2 NEGD</v>
      </c>
      <c r="P8" s="75" t="str">
        <f>References!$E$17</f>
        <v>FINAL - BH January 15, 2021 Rev. Req. Model</v>
      </c>
    </row>
    <row r="9" spans="1:16" ht="25.5">
      <c r="A9" s="403" t="s">
        <v>117</v>
      </c>
      <c r="B9" s="403" t="s">
        <v>517</v>
      </c>
      <c r="C9" s="403" t="s">
        <v>196</v>
      </c>
      <c r="D9" s="403" t="s">
        <v>94</v>
      </c>
      <c r="E9" s="1266" t="s">
        <v>1180</v>
      </c>
      <c r="F9" s="1261" t="s">
        <v>12</v>
      </c>
      <c r="H9" s="75">
        <f>1+H8</f>
        <v>2</v>
      </c>
      <c r="I9" s="75" t="str">
        <f>References!$C$18</f>
        <v>NEG</v>
      </c>
      <c r="J9" s="75" t="str">
        <f>References!$D$18</f>
        <v>NEGD</v>
      </c>
      <c r="K9" s="75" t="str">
        <f>References!$E$18</f>
        <v>Tot Co</v>
      </c>
      <c r="M9" s="75">
        <f>1+M8</f>
        <v>2</v>
      </c>
      <c r="N9" s="75" t="str">
        <f>References!$C$18</f>
        <v>NEG</v>
      </c>
      <c r="O9" s="75" t="str">
        <f>References!$D$18</f>
        <v>NEGD</v>
      </c>
      <c r="P9" s="75" t="str">
        <f>References!$E$18</f>
        <v>Tot Co</v>
      </c>
    </row>
    <row r="10" spans="1:16">
      <c r="A10" s="231"/>
      <c r="B10" s="231"/>
      <c r="C10" s="231"/>
      <c r="D10" s="231"/>
      <c r="E10" s="231"/>
      <c r="F10" s="75"/>
      <c r="H10" s="75">
        <f t="shared" ref="H10:H11" si="0">1+H9</f>
        <v>3</v>
      </c>
      <c r="I10" s="75"/>
      <c r="J10" s="75"/>
      <c r="K10" s="75"/>
      <c r="M10" s="75">
        <f t="shared" ref="M10:M11" si="1">1+M9</f>
        <v>3</v>
      </c>
      <c r="N10" s="75"/>
      <c r="O10" s="75"/>
      <c r="P10" s="75"/>
    </row>
    <row r="11" spans="1:16">
      <c r="A11" s="231">
        <v>1</v>
      </c>
      <c r="B11" s="231"/>
      <c r="C11" s="232" t="s">
        <v>469</v>
      </c>
      <c r="D11" s="231"/>
      <c r="E11" s="231"/>
      <c r="F11" s="75"/>
      <c r="H11" s="75">
        <f t="shared" si="0"/>
        <v>4</v>
      </c>
      <c r="I11" s="62"/>
      <c r="J11" s="62"/>
      <c r="K11" s="62"/>
      <c r="M11" s="75">
        <f t="shared" si="1"/>
        <v>4</v>
      </c>
      <c r="N11" s="75"/>
      <c r="O11" s="75"/>
      <c r="P11" s="62"/>
    </row>
    <row r="12" spans="1:16" ht="25.5">
      <c r="A12" s="231">
        <f>A11+1</f>
        <v>2</v>
      </c>
      <c r="B12" s="336">
        <v>926</v>
      </c>
      <c r="C12" s="234" t="s">
        <v>906</v>
      </c>
      <c r="D12" s="547">
        <f>HLOOKUP(Attach,$H$8:$K$62,H12,FALSE)</f>
        <v>835847.2200000002</v>
      </c>
      <c r="E12" s="547">
        <f>HLOOKUP(Attach,$M$8:$P$62,M12,FALSE)</f>
        <v>820367.58606133331</v>
      </c>
      <c r="F12" s="1199">
        <f>+(E12-D12)</f>
        <v>-15479.633938666899</v>
      </c>
      <c r="H12" s="75">
        <f>1+H11</f>
        <v>5</v>
      </c>
      <c r="I12" s="968">
        <v>474155.65000000014</v>
      </c>
      <c r="J12" s="968">
        <v>361691.57</v>
      </c>
      <c r="K12" s="937">
        <f>+I12++J12</f>
        <v>835847.2200000002</v>
      </c>
      <c r="M12" s="75">
        <f>1+M11</f>
        <v>5</v>
      </c>
      <c r="N12" s="968">
        <v>466018.93692800001</v>
      </c>
      <c r="O12" s="968">
        <v>354348.64913333335</v>
      </c>
      <c r="P12" s="937">
        <f>+N12++O12</f>
        <v>820367.58606133331</v>
      </c>
    </row>
    <row r="13" spans="1:16" s="62" customFormat="1">
      <c r="A13" s="231">
        <f t="shared" ref="A13:A23" si="2">A12+1</f>
        <v>3</v>
      </c>
      <c r="B13" s="336"/>
      <c r="C13" s="234"/>
      <c r="D13" s="547"/>
      <c r="E13" s="547"/>
      <c r="F13" s="1199"/>
      <c r="H13" s="75">
        <f t="shared" ref="H13:H21" si="3">1+H12</f>
        <v>6</v>
      </c>
      <c r="M13" s="75">
        <f t="shared" ref="M13:M21" si="4">1+M12</f>
        <v>6</v>
      </c>
      <c r="N13" s="998"/>
      <c r="O13" s="998"/>
    </row>
    <row r="14" spans="1:16" ht="25.5">
      <c r="A14" s="231">
        <f t="shared" si="2"/>
        <v>4</v>
      </c>
      <c r="B14" s="336">
        <v>926</v>
      </c>
      <c r="C14" s="234" t="s">
        <v>641</v>
      </c>
      <c r="D14" s="547">
        <f>HLOOKUP(Attach,$H$8:$K$62,H14,FALSE)</f>
        <v>287460.52999999997</v>
      </c>
      <c r="E14" s="547">
        <f>HLOOKUP(Attach,$M$8:$P$62,M14,FALSE)</f>
        <v>201919.08329386733</v>
      </c>
      <c r="F14" s="1199">
        <f>+(E14-D14)</f>
        <v>-85541.446706132643</v>
      </c>
      <c r="H14" s="75">
        <f t="shared" si="3"/>
        <v>7</v>
      </c>
      <c r="I14" s="968">
        <v>25409.259999999995</v>
      </c>
      <c r="J14" s="968">
        <v>262051.27</v>
      </c>
      <c r="K14" s="937">
        <f>+I14++J14</f>
        <v>287460.52999999997</v>
      </c>
      <c r="L14" s="62"/>
      <c r="M14" s="75">
        <f t="shared" si="4"/>
        <v>7</v>
      </c>
      <c r="N14" s="968">
        <v>15817.187806391585</v>
      </c>
      <c r="O14" s="968">
        <v>186101.89548747573</v>
      </c>
      <c r="P14" s="937">
        <f>+N14++O14</f>
        <v>201919.08329386733</v>
      </c>
    </row>
    <row r="15" spans="1:16" s="62" customFormat="1">
      <c r="A15" s="231">
        <f t="shared" si="2"/>
        <v>5</v>
      </c>
      <c r="B15" s="233"/>
      <c r="C15" s="234"/>
      <c r="D15" s="721"/>
      <c r="E15" s="720"/>
      <c r="F15" s="1199"/>
      <c r="H15" s="75">
        <f t="shared" si="3"/>
        <v>8</v>
      </c>
      <c r="M15" s="75">
        <f t="shared" si="4"/>
        <v>8</v>
      </c>
      <c r="N15" s="75"/>
      <c r="O15" s="75"/>
    </row>
    <row r="16" spans="1:16">
      <c r="A16" s="231">
        <f t="shared" si="2"/>
        <v>6</v>
      </c>
      <c r="B16" s="235"/>
      <c r="C16" s="236" t="s">
        <v>643</v>
      </c>
      <c r="D16" s="554"/>
      <c r="E16" s="720"/>
      <c r="F16" s="1199"/>
      <c r="H16" s="75">
        <f t="shared" si="3"/>
        <v>9</v>
      </c>
      <c r="I16" s="62"/>
      <c r="J16" s="62"/>
      <c r="K16" s="62"/>
      <c r="M16" s="75">
        <f t="shared" si="4"/>
        <v>9</v>
      </c>
      <c r="N16" s="75"/>
      <c r="O16" s="75"/>
      <c r="P16" s="62"/>
    </row>
    <row r="17" spans="1:16" s="62" customFormat="1">
      <c r="A17" s="231">
        <f t="shared" si="2"/>
        <v>7</v>
      </c>
      <c r="B17" s="235">
        <v>926</v>
      </c>
      <c r="C17" s="237" t="s">
        <v>907</v>
      </c>
      <c r="D17" s="547">
        <f>HLOOKUP(Attach,$H$8:$K$62,H17,FALSE)</f>
        <v>782086.29999999958</v>
      </c>
      <c r="E17" s="547">
        <f>HLOOKUP(Attach,$M$8:$P$62,M17,FALSE)</f>
        <v>1217855.9952469997</v>
      </c>
      <c r="F17" s="1199">
        <f>+(E17-D17)</f>
        <v>435769.69524700008</v>
      </c>
      <c r="H17" s="75">
        <f t="shared" si="3"/>
        <v>10</v>
      </c>
      <c r="I17" s="969">
        <v>487092.82</v>
      </c>
      <c r="J17" s="969">
        <v>294993.47999999963</v>
      </c>
      <c r="K17" s="937">
        <f>+I17++J17</f>
        <v>782086.29999999958</v>
      </c>
      <c r="M17" s="75">
        <f t="shared" si="4"/>
        <v>10</v>
      </c>
      <c r="N17" s="969">
        <v>829988.58833866648</v>
      </c>
      <c r="O17" s="969">
        <v>387867.40690833324</v>
      </c>
      <c r="P17" s="937">
        <f>+N17++O17</f>
        <v>1217855.9952469997</v>
      </c>
    </row>
    <row r="18" spans="1:16" s="62" customFormat="1">
      <c r="A18" s="231">
        <f t="shared" si="2"/>
        <v>8</v>
      </c>
      <c r="B18" s="235"/>
      <c r="C18" s="237"/>
      <c r="D18" s="555"/>
      <c r="E18" s="554"/>
      <c r="F18" s="1262"/>
      <c r="H18" s="75">
        <f t="shared" si="3"/>
        <v>11</v>
      </c>
      <c r="M18" s="75">
        <f t="shared" si="4"/>
        <v>11</v>
      </c>
      <c r="N18" s="75"/>
      <c r="O18" s="75"/>
    </row>
    <row r="19" spans="1:16" s="62" customFormat="1">
      <c r="A19" s="231">
        <f t="shared" si="2"/>
        <v>9</v>
      </c>
      <c r="B19" s="235">
        <v>926</v>
      </c>
      <c r="C19" s="237" t="s">
        <v>642</v>
      </c>
      <c r="D19" s="547">
        <f>HLOOKUP(Attach,$H$8:$K$62,H19,FALSE)</f>
        <v>639254.39000000013</v>
      </c>
      <c r="E19" s="547">
        <f>HLOOKUP(Attach,$M$8:$P$62,M19,FALSE)</f>
        <v>633213.6345964591</v>
      </c>
      <c r="F19" s="1199">
        <f>+(E19-D19)</f>
        <v>-6040.7554035410285</v>
      </c>
      <c r="H19" s="75">
        <f t="shared" si="3"/>
        <v>12</v>
      </c>
      <c r="I19" s="969">
        <v>89973.480000000025</v>
      </c>
      <c r="J19" s="969">
        <v>549280.91000000015</v>
      </c>
      <c r="K19" s="937">
        <f>+I19++J19</f>
        <v>639254.39000000013</v>
      </c>
      <c r="M19" s="75">
        <f t="shared" si="4"/>
        <v>12</v>
      </c>
      <c r="N19" s="969">
        <v>62460.933812652955</v>
      </c>
      <c r="O19" s="969">
        <v>570752.70078380615</v>
      </c>
      <c r="P19" s="937">
        <f>+N19++O19</f>
        <v>633213.6345964591</v>
      </c>
    </row>
    <row r="20" spans="1:16">
      <c r="A20" s="231">
        <f t="shared" si="2"/>
        <v>10</v>
      </c>
      <c r="B20" s="62"/>
      <c r="C20" s="62"/>
      <c r="D20" s="722"/>
      <c r="E20" s="555"/>
      <c r="F20" s="1262"/>
      <c r="H20" s="75">
        <f t="shared" si="3"/>
        <v>13</v>
      </c>
      <c r="I20" s="62"/>
      <c r="J20" s="62"/>
      <c r="K20" s="62"/>
      <c r="M20" s="75">
        <f t="shared" si="4"/>
        <v>13</v>
      </c>
      <c r="N20" s="75"/>
      <c r="O20" s="75"/>
      <c r="P20" s="62"/>
    </row>
    <row r="21" spans="1:16" ht="13.5" thickBot="1">
      <c r="A21" s="231">
        <f t="shared" si="2"/>
        <v>11</v>
      </c>
      <c r="B21" s="238"/>
      <c r="C21" s="238" t="s">
        <v>468</v>
      </c>
      <c r="D21" s="723">
        <f>D12+D14+D17+D19</f>
        <v>2544648.44</v>
      </c>
      <c r="E21" s="723">
        <f t="shared" ref="E21" si="5">E12+E14+E17+E19</f>
        <v>2873356.2991986596</v>
      </c>
      <c r="F21" s="1263">
        <f>+(E21-D21)</f>
        <v>328707.85919865966</v>
      </c>
      <c r="H21" s="75">
        <f t="shared" si="3"/>
        <v>14</v>
      </c>
      <c r="I21" s="937">
        <f>SUM(I12:I19)</f>
        <v>1076631.2100000002</v>
      </c>
      <c r="J21" s="937">
        <f>SUM(J12:J19)</f>
        <v>1468017.2299999997</v>
      </c>
      <c r="K21" s="937">
        <f>SUM(K12:K19)</f>
        <v>2544648.44</v>
      </c>
      <c r="M21" s="75">
        <f t="shared" si="4"/>
        <v>14</v>
      </c>
      <c r="N21" s="937">
        <f>N12+N14+N17+N19</f>
        <v>1374285.646885711</v>
      </c>
      <c r="O21" s="937">
        <f>O12+O14+O17+O19</f>
        <v>1499070.6523129486</v>
      </c>
      <c r="P21" s="937">
        <f>SUM(P12:P19)</f>
        <v>2873356.2991986596</v>
      </c>
    </row>
    <row r="22" spans="1:16" ht="13.5" thickTop="1">
      <c r="A22" s="231">
        <f t="shared" si="2"/>
        <v>12</v>
      </c>
    </row>
    <row r="23" spans="1:16">
      <c r="A23" s="231">
        <f t="shared" si="2"/>
        <v>13</v>
      </c>
      <c r="B23" s="1264" t="s">
        <v>1181</v>
      </c>
      <c r="C23" s="1265"/>
      <c r="D23" s="14"/>
      <c r="E23" s="14"/>
      <c r="F23" s="14"/>
    </row>
    <row r="24" spans="1:16">
      <c r="A24" s="231"/>
      <c r="C24" s="8"/>
    </row>
    <row r="26" spans="1:16">
      <c r="D26" s="244"/>
      <c r="F26" s="649"/>
    </row>
    <row r="27" spans="1:16">
      <c r="E27" s="244"/>
      <c r="F27" s="649"/>
    </row>
    <row r="28" spans="1:16">
      <c r="E28" s="244"/>
    </row>
  </sheetData>
  <mergeCells count="2">
    <mergeCell ref="H7:K7"/>
    <mergeCell ref="M7:P7"/>
  </mergeCells>
  <pageMargins left="0.7" right="0.7" top="0.75" bottom="0.75" header="0.3" footer="0.3"/>
  <pageSetup orientation="landscape" verticalDpi="300" r:id="rId1"/>
  <colBreaks count="2" manualBreakCount="2">
    <brk id="6" max="27" man="1"/>
    <brk id="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Z114"/>
  <sheetViews>
    <sheetView topLeftCell="O58" workbookViewId="0">
      <selection activeCell="Y106" sqref="Y106"/>
    </sheetView>
  </sheetViews>
  <sheetFormatPr defaultColWidth="10.6640625" defaultRowHeight="12.75"/>
  <cols>
    <col min="1" max="1" width="6.83203125" style="8" customWidth="1"/>
    <col min="2" max="2" width="10.33203125" style="8" bestFit="1" customWidth="1"/>
    <col min="3" max="3" width="67.83203125" style="8" bestFit="1" customWidth="1"/>
    <col min="4" max="4" width="6.33203125" style="8" customWidth="1"/>
    <col min="5" max="5" width="16.1640625" style="8" customWidth="1"/>
    <col min="6" max="6" width="3.33203125" style="8" customWidth="1"/>
    <col min="7" max="7" width="16.1640625" style="8" customWidth="1"/>
    <col min="8" max="8" width="3.33203125" style="8" customWidth="1"/>
    <col min="9" max="9" width="23" style="8" customWidth="1"/>
    <col min="10" max="10" width="3.33203125" style="8" customWidth="1"/>
    <col min="11" max="11" width="16.1640625" style="8" customWidth="1"/>
    <col min="12" max="12" width="3.33203125" style="8" customWidth="1"/>
    <col min="13" max="13" width="16.1640625" style="8" customWidth="1"/>
    <col min="14" max="14" width="3.33203125" style="8" customWidth="1"/>
    <col min="15" max="15" width="16.1640625" style="8" customWidth="1"/>
    <col min="16" max="16" width="3.33203125" style="8" customWidth="1"/>
    <col min="17" max="17" width="16.1640625" style="8" customWidth="1"/>
    <col min="18" max="18" width="3.33203125" style="8" customWidth="1"/>
    <col min="19" max="19" width="16.1640625" style="8" customWidth="1"/>
    <col min="20" max="20" width="3.33203125" style="8" customWidth="1"/>
    <col min="21" max="21" width="16.1640625" style="8" customWidth="1"/>
    <col min="22" max="22" width="3.33203125" style="8" customWidth="1"/>
    <col min="23" max="23" width="16.1640625" style="8" customWidth="1"/>
    <col min="24" max="24" width="3.33203125" style="8" customWidth="1"/>
    <col min="25" max="25" width="16.1640625" style="8" customWidth="1"/>
    <col min="26" max="26" width="3.33203125" style="8" customWidth="1"/>
    <col min="27" max="27" width="16.1640625" style="8" customWidth="1"/>
    <col min="28" max="28" width="3.33203125" style="162" customWidth="1"/>
    <col min="29" max="29" width="16.1640625" style="162" customWidth="1"/>
    <col min="30" max="30" width="10.6640625" style="162"/>
    <col min="31" max="31" width="5.33203125" style="162" customWidth="1"/>
    <col min="32" max="32" width="21.33203125" style="162" customWidth="1"/>
    <col min="33" max="34" width="21.83203125" style="162" customWidth="1"/>
    <col min="35" max="35" width="4.83203125" style="162" customWidth="1"/>
    <col min="36" max="36" width="6" style="162" bestFit="1" customWidth="1"/>
    <col min="37" max="37" width="21.33203125" style="162" customWidth="1"/>
    <col min="38" max="39" width="21.83203125" style="162" bestFit="1" customWidth="1"/>
    <col min="40" max="40" width="6.1640625" style="162" customWidth="1"/>
    <col min="41" max="41" width="6" style="162" customWidth="1"/>
    <col min="42" max="44" width="21.33203125" style="162" customWidth="1"/>
    <col min="45" max="45" width="3.6640625" style="162" customWidth="1"/>
    <col min="46" max="46" width="5.6640625" style="162" customWidth="1"/>
    <col min="47" max="49" width="21.33203125" style="162" customWidth="1"/>
    <col min="50" max="50" width="2.83203125" style="162" customWidth="1"/>
    <col min="51" max="51" width="7.33203125" style="162" customWidth="1"/>
    <col min="52" max="54" width="21.33203125" style="162" customWidth="1"/>
    <col min="55" max="55" width="3.1640625" style="162" customWidth="1"/>
    <col min="56" max="56" width="10.6640625" style="162"/>
    <col min="57" max="59" width="21.33203125" style="162" customWidth="1"/>
    <col min="60" max="60" width="3.6640625" style="162" customWidth="1"/>
    <col min="61" max="61" width="10.6640625" style="162"/>
    <col min="62" max="64" width="21.33203125" style="162" customWidth="1"/>
    <col min="65" max="65" width="3.33203125" style="162" customWidth="1"/>
    <col min="66" max="66" width="10.6640625" style="162"/>
    <col min="67" max="69" width="21.33203125" style="162" customWidth="1"/>
    <col min="70" max="70" width="3" style="162" customWidth="1"/>
    <col min="71" max="71" width="10.6640625" style="162"/>
    <col min="72" max="74" width="21.33203125" style="162" customWidth="1"/>
    <col min="75" max="75" width="4" style="162" customWidth="1"/>
    <col min="76" max="76" width="37.83203125" style="162" bestFit="1" customWidth="1"/>
    <col min="77" max="16384" width="10.6640625" style="162"/>
  </cols>
  <sheetData>
    <row r="1" spans="1:78" ht="12.75" customHeight="1">
      <c r="A1" s="69" t="str">
        <f>Company</f>
        <v>BLACK HILLS NEBRASKA GAS, LLC</v>
      </c>
      <c r="B1" s="119"/>
      <c r="C1" s="119"/>
      <c r="D1" s="119"/>
      <c r="E1" s="119"/>
      <c r="F1" s="119"/>
      <c r="G1" s="23"/>
      <c r="H1" s="23"/>
      <c r="I1" s="23"/>
      <c r="J1" s="23"/>
      <c r="K1" s="23"/>
      <c r="L1" s="23"/>
      <c r="M1" s="615" t="str">
        <f>Attach</f>
        <v>FINAL - BH January 15, 2021 Rev. Req. Model</v>
      </c>
      <c r="N1" s="23"/>
      <c r="P1" s="23"/>
      <c r="Q1" s="23"/>
      <c r="R1" s="23"/>
      <c r="S1" s="23"/>
      <c r="T1" s="23"/>
      <c r="U1" s="23"/>
      <c r="V1" s="23"/>
      <c r="W1" s="23"/>
      <c r="X1" s="23"/>
      <c r="Y1" s="23"/>
      <c r="Z1" s="23"/>
      <c r="AA1" s="23"/>
      <c r="AC1" s="615" t="str">
        <f>Attach</f>
        <v>FINAL - BH January 15, 2021 Rev. Req. Model</v>
      </c>
      <c r="AR1" s="162" t="str">
        <f>'MCC Testimony Table'!F36</f>
        <v>Y</v>
      </c>
    </row>
    <row r="2" spans="1:78" ht="12.75" customHeight="1">
      <c r="A2" s="70" t="s">
        <v>826</v>
      </c>
      <c r="B2" s="119"/>
      <c r="C2" s="119"/>
      <c r="D2" s="119"/>
      <c r="E2" s="119"/>
      <c r="F2" s="119"/>
      <c r="G2" s="23"/>
      <c r="H2" s="23"/>
      <c r="I2" s="23"/>
      <c r="J2" s="23"/>
      <c r="K2" s="23"/>
      <c r="L2" s="23"/>
      <c r="M2" s="343" t="s">
        <v>794</v>
      </c>
      <c r="N2" s="23"/>
      <c r="P2" s="23"/>
      <c r="Q2" s="23"/>
      <c r="R2" s="23"/>
      <c r="S2" s="23"/>
      <c r="T2" s="23"/>
      <c r="U2" s="23"/>
      <c r="V2" s="23"/>
      <c r="W2" s="23"/>
      <c r="X2" s="23"/>
      <c r="Y2" s="23"/>
      <c r="Z2" s="23"/>
      <c r="AA2" s="23"/>
      <c r="AC2" s="343" t="s">
        <v>794</v>
      </c>
    </row>
    <row r="3" spans="1:78" ht="12.75" customHeight="1">
      <c r="A3" s="70" t="str">
        <f>TYEnded</f>
        <v>FOR THE TEST YEAR ENDING DECEMBER 31, 2020</v>
      </c>
      <c r="B3" s="119"/>
      <c r="C3" s="119"/>
      <c r="D3" s="119"/>
      <c r="E3" s="119"/>
      <c r="F3" s="119"/>
      <c r="G3" s="119"/>
      <c r="H3" s="119"/>
      <c r="I3" s="1174"/>
      <c r="J3" s="119"/>
      <c r="K3" s="119"/>
      <c r="L3" s="119"/>
      <c r="M3" s="119"/>
      <c r="N3" s="119"/>
      <c r="O3" s="119"/>
      <c r="P3" s="119"/>
      <c r="Q3" s="119"/>
      <c r="R3" s="119"/>
      <c r="S3" s="119"/>
      <c r="T3" s="119"/>
      <c r="U3" s="119"/>
      <c r="V3" s="119"/>
      <c r="W3" s="119"/>
      <c r="X3" s="119"/>
      <c r="Y3" s="119"/>
      <c r="Z3" s="119"/>
      <c r="AA3" s="119"/>
    </row>
    <row r="4" spans="1:78" ht="12.75" customHeight="1">
      <c r="A4" s="70"/>
      <c r="B4" s="119"/>
      <c r="C4" s="119"/>
      <c r="D4" s="119"/>
      <c r="E4" s="119"/>
      <c r="F4" s="119"/>
      <c r="G4" s="1174"/>
      <c r="H4" s="119"/>
      <c r="I4" s="1174"/>
      <c r="J4" s="119"/>
      <c r="K4" s="1174"/>
      <c r="L4" s="119"/>
      <c r="M4" s="1174"/>
      <c r="N4" s="119"/>
      <c r="O4" s="1174"/>
      <c r="P4" s="1174"/>
      <c r="Q4" s="1174"/>
      <c r="R4" s="1174"/>
      <c r="S4" s="1174"/>
      <c r="T4" s="119"/>
      <c r="U4" s="1174"/>
      <c r="V4" s="119"/>
      <c r="W4" s="1174"/>
      <c r="X4" s="119"/>
      <c r="Y4" s="1174"/>
      <c r="Z4" s="119"/>
      <c r="AA4" s="1174"/>
    </row>
    <row r="5" spans="1:78" ht="12.75" customHeight="1">
      <c r="A5" s="70"/>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row>
    <row r="6" spans="1:78">
      <c r="C6" s="23"/>
      <c r="D6" s="23"/>
      <c r="E6" s="23"/>
      <c r="F6" s="23"/>
      <c r="Q6" s="23"/>
      <c r="S6" s="23"/>
      <c r="AF6" s="162" t="s">
        <v>762</v>
      </c>
      <c r="AG6" s="1170"/>
      <c r="AK6" s="162" t="s">
        <v>1096</v>
      </c>
      <c r="AP6" s="162" t="s">
        <v>1097</v>
      </c>
      <c r="AU6" s="162" t="s">
        <v>1098</v>
      </c>
      <c r="AZ6" s="162" t="s">
        <v>1099</v>
      </c>
      <c r="BE6" s="162" t="s">
        <v>1174</v>
      </c>
      <c r="BJ6" s="162" t="s">
        <v>1175</v>
      </c>
      <c r="BO6" s="162" t="s">
        <v>1176</v>
      </c>
      <c r="BT6" s="162" t="s">
        <v>1177</v>
      </c>
      <c r="BX6" s="162" t="s">
        <v>1666</v>
      </c>
    </row>
    <row r="7" spans="1:78">
      <c r="A7" s="1"/>
      <c r="B7" s="1"/>
      <c r="C7" s="20"/>
      <c r="D7" s="20"/>
      <c r="E7" s="15" t="s">
        <v>199</v>
      </c>
      <c r="F7" s="15"/>
      <c r="G7" s="15" t="s">
        <v>200</v>
      </c>
      <c r="H7" s="15"/>
      <c r="I7" s="15" t="s">
        <v>41</v>
      </c>
      <c r="J7" s="15"/>
      <c r="K7" s="15" t="s">
        <v>202</v>
      </c>
      <c r="L7" s="15"/>
      <c r="M7" s="15" t="s">
        <v>203</v>
      </c>
      <c r="N7" s="15"/>
      <c r="O7" s="15" t="s">
        <v>204</v>
      </c>
      <c r="P7" s="15"/>
      <c r="Q7" s="15" t="s">
        <v>205</v>
      </c>
      <c r="R7" s="15"/>
      <c r="S7" s="15" t="s">
        <v>206</v>
      </c>
      <c r="T7" s="15"/>
      <c r="U7" s="15" t="s">
        <v>207</v>
      </c>
      <c r="V7" s="1613"/>
      <c r="W7" s="1613" t="s">
        <v>208</v>
      </c>
      <c r="X7" s="401"/>
      <c r="Y7" s="1613" t="s">
        <v>209</v>
      </c>
      <c r="Z7" s="15"/>
      <c r="AA7" s="15" t="s">
        <v>1</v>
      </c>
      <c r="AB7" s="401"/>
      <c r="AC7" s="1613" t="s">
        <v>2</v>
      </c>
      <c r="AZ7" s="1254"/>
      <c r="BX7" s="162" t="s">
        <v>1667</v>
      </c>
    </row>
    <row r="8" spans="1:78" ht="24.75" customHeight="1">
      <c r="A8" s="1"/>
      <c r="B8" s="1"/>
      <c r="C8" s="20"/>
      <c r="D8" s="20"/>
      <c r="E8" s="5" t="s">
        <v>22</v>
      </c>
      <c r="F8" s="5"/>
      <c r="G8" s="5"/>
      <c r="H8" s="5"/>
      <c r="I8" s="5"/>
      <c r="J8" s="5"/>
      <c r="K8" s="5"/>
      <c r="L8" s="5"/>
      <c r="M8" s="5"/>
      <c r="N8" s="5"/>
      <c r="O8" s="5"/>
      <c r="P8" s="5"/>
      <c r="Q8" s="15"/>
      <c r="R8" s="5"/>
      <c r="S8" s="15"/>
      <c r="T8" s="5"/>
      <c r="U8" s="5"/>
      <c r="V8" s="5"/>
      <c r="W8" s="5"/>
      <c r="X8" s="5"/>
      <c r="Y8" s="5"/>
      <c r="Z8" s="5"/>
      <c r="AA8" s="5"/>
      <c r="AB8" s="401"/>
      <c r="AC8" s="401"/>
      <c r="AE8" s="75">
        <v>1</v>
      </c>
      <c r="AF8" s="75" t="str">
        <f>References!$C$17</f>
        <v>Exhibit No. MCC-2 NEG</v>
      </c>
      <c r="AG8" s="75" t="str">
        <f>References!$D$17</f>
        <v>Exhibit No. MCC-2 NEGD</v>
      </c>
      <c r="AH8" s="75" t="str">
        <f>References!$E$17</f>
        <v>FINAL - BH January 15, 2021 Rev. Req. Model</v>
      </c>
      <c r="AJ8" s="75">
        <v>1</v>
      </c>
      <c r="AK8" s="75" t="str">
        <f>References!$C$17</f>
        <v>Exhibit No. MCC-2 NEG</v>
      </c>
      <c r="AL8" s="75" t="str">
        <f>References!$D$17</f>
        <v>Exhibit No. MCC-2 NEGD</v>
      </c>
      <c r="AM8" s="75" t="str">
        <f>References!$E$17</f>
        <v>FINAL - BH January 15, 2021 Rev. Req. Model</v>
      </c>
      <c r="AO8" s="75">
        <v>1</v>
      </c>
      <c r="AP8" s="75" t="str">
        <f>References!$C$17</f>
        <v>Exhibit No. MCC-2 NEG</v>
      </c>
      <c r="AQ8" s="75" t="str">
        <f>References!$D$17</f>
        <v>Exhibit No. MCC-2 NEGD</v>
      </c>
      <c r="AR8" s="75" t="str">
        <f>References!$E$17</f>
        <v>FINAL - BH January 15, 2021 Rev. Req. Model</v>
      </c>
      <c r="AT8" s="75">
        <v>1</v>
      </c>
      <c r="AU8" s="75" t="str">
        <f>References!$C$17</f>
        <v>Exhibit No. MCC-2 NEG</v>
      </c>
      <c r="AV8" s="75" t="str">
        <f>References!$D$17</f>
        <v>Exhibit No. MCC-2 NEGD</v>
      </c>
      <c r="AW8" s="75" t="str">
        <f>References!$E$17</f>
        <v>FINAL - BH January 15, 2021 Rev. Req. Model</v>
      </c>
      <c r="AY8" s="75">
        <v>1</v>
      </c>
      <c r="AZ8" s="75" t="str">
        <f>References!$C$17</f>
        <v>Exhibit No. MCC-2 NEG</v>
      </c>
      <c r="BA8" s="75" t="str">
        <f>References!$D$17</f>
        <v>Exhibit No. MCC-2 NEGD</v>
      </c>
      <c r="BB8" s="75" t="str">
        <f>References!$E$17</f>
        <v>FINAL - BH January 15, 2021 Rev. Req. Model</v>
      </c>
      <c r="BD8" s="75">
        <v>1</v>
      </c>
      <c r="BE8" s="75" t="str">
        <f>References!$C$17</f>
        <v>Exhibit No. MCC-2 NEG</v>
      </c>
      <c r="BF8" s="75" t="str">
        <f>References!$D$17</f>
        <v>Exhibit No. MCC-2 NEGD</v>
      </c>
      <c r="BG8" s="75" t="str">
        <f>References!$E$17</f>
        <v>FINAL - BH January 15, 2021 Rev. Req. Model</v>
      </c>
      <c r="BI8" s="75">
        <v>1</v>
      </c>
      <c r="BJ8" s="75" t="str">
        <f>References!$C$17</f>
        <v>Exhibit No. MCC-2 NEG</v>
      </c>
      <c r="BK8" s="75" t="str">
        <f>References!$D$17</f>
        <v>Exhibit No. MCC-2 NEGD</v>
      </c>
      <c r="BL8" s="75" t="str">
        <f>References!$E$17</f>
        <v>FINAL - BH January 15, 2021 Rev. Req. Model</v>
      </c>
      <c r="BN8" s="75">
        <v>1</v>
      </c>
      <c r="BO8" s="75" t="str">
        <f>References!$C$17</f>
        <v>Exhibit No. MCC-2 NEG</v>
      </c>
      <c r="BP8" s="75" t="str">
        <f>References!$D$17</f>
        <v>Exhibit No. MCC-2 NEGD</v>
      </c>
      <c r="BQ8" s="75" t="str">
        <f>References!$E$17</f>
        <v>FINAL - BH January 15, 2021 Rev. Req. Model</v>
      </c>
      <c r="BS8" s="75">
        <v>1</v>
      </c>
      <c r="BT8" s="75" t="str">
        <f>References!$C$17</f>
        <v>Exhibit No. MCC-2 NEG</v>
      </c>
      <c r="BU8" s="75" t="str">
        <f>References!$D$17</f>
        <v>Exhibit No. MCC-2 NEGD</v>
      </c>
      <c r="BV8" s="75" t="str">
        <f>References!$E$17</f>
        <v>FINAL - BH January 15, 2021 Rev. Req. Model</v>
      </c>
      <c r="BX8" s="75" t="str">
        <f>References!$E$17</f>
        <v>FINAL - BH January 15, 2021 Rev. Req. Model</v>
      </c>
    </row>
    <row r="9" spans="1:78" ht="56.45" customHeight="1">
      <c r="A9" s="389" t="s">
        <v>117</v>
      </c>
      <c r="B9" s="390" t="s">
        <v>517</v>
      </c>
      <c r="C9" s="391" t="s">
        <v>124</v>
      </c>
      <c r="D9" s="389"/>
      <c r="E9" s="362" t="s">
        <v>1053</v>
      </c>
      <c r="F9" s="389"/>
      <c r="G9" s="381" t="s">
        <v>1091</v>
      </c>
      <c r="H9" s="381"/>
      <c r="I9" s="381" t="s">
        <v>1466</v>
      </c>
      <c r="J9" s="381"/>
      <c r="K9" s="381" t="s">
        <v>1092</v>
      </c>
      <c r="L9" s="381"/>
      <c r="M9" s="381" t="s">
        <v>1093</v>
      </c>
      <c r="N9" s="381"/>
      <c r="O9" s="381" t="s">
        <v>1172</v>
      </c>
      <c r="P9" s="381"/>
      <c r="Q9" s="381" t="s">
        <v>1094</v>
      </c>
      <c r="R9" s="381"/>
      <c r="S9" s="381" t="s">
        <v>1173</v>
      </c>
      <c r="T9" s="381"/>
      <c r="U9" s="381" t="s">
        <v>1095</v>
      </c>
      <c r="V9" s="381"/>
      <c r="W9" s="381" t="s">
        <v>1622</v>
      </c>
      <c r="X9" s="381"/>
      <c r="Y9" s="381" t="s">
        <v>1623</v>
      </c>
      <c r="Z9" s="381"/>
      <c r="AA9" s="381" t="s">
        <v>817</v>
      </c>
      <c r="AB9" s="402"/>
      <c r="AC9" s="381" t="s">
        <v>455</v>
      </c>
      <c r="AE9" s="75">
        <f>AE8+1</f>
        <v>2</v>
      </c>
      <c r="AF9" s="75" t="str">
        <f>References!$C$18</f>
        <v>NEG</v>
      </c>
      <c r="AG9" s="75" t="str">
        <f>References!$D$18</f>
        <v>NEGD</v>
      </c>
      <c r="AH9" s="75" t="str">
        <f>References!$E$18</f>
        <v>Tot Co</v>
      </c>
      <c r="AJ9" s="75">
        <f>AJ8+1</f>
        <v>2</v>
      </c>
      <c r="AK9" s="75" t="str">
        <f>References!$C$18</f>
        <v>NEG</v>
      </c>
      <c r="AL9" s="75" t="str">
        <f>References!$D$18</f>
        <v>NEGD</v>
      </c>
      <c r="AM9" s="75" t="str">
        <f>References!$E$18</f>
        <v>Tot Co</v>
      </c>
      <c r="AO9" s="75">
        <f>AO8+1</f>
        <v>2</v>
      </c>
      <c r="AP9" s="75" t="str">
        <f>References!$C$18</f>
        <v>NEG</v>
      </c>
      <c r="AQ9" s="75" t="str">
        <f>References!$D$18</f>
        <v>NEGD</v>
      </c>
      <c r="AR9" s="75" t="str">
        <f>References!$E$18</f>
        <v>Tot Co</v>
      </c>
      <c r="AT9" s="75">
        <f>AT8+1</f>
        <v>2</v>
      </c>
      <c r="AU9" s="75" t="str">
        <f>References!$C$18</f>
        <v>NEG</v>
      </c>
      <c r="AV9" s="75" t="str">
        <f>References!$D$18</f>
        <v>NEGD</v>
      </c>
      <c r="AW9" s="75" t="str">
        <f>References!$E$18</f>
        <v>Tot Co</v>
      </c>
      <c r="AY9" s="75">
        <f>AY8+1</f>
        <v>2</v>
      </c>
      <c r="AZ9" s="75" t="str">
        <f>References!$C$18</f>
        <v>NEG</v>
      </c>
      <c r="BA9" s="75" t="str">
        <f>References!$D$18</f>
        <v>NEGD</v>
      </c>
      <c r="BB9" s="75" t="str">
        <f>References!$E$18</f>
        <v>Tot Co</v>
      </c>
      <c r="BD9" s="75">
        <f>BD8+1</f>
        <v>2</v>
      </c>
      <c r="BE9" s="75" t="str">
        <f>References!$C$18</f>
        <v>NEG</v>
      </c>
      <c r="BF9" s="75" t="str">
        <f>References!$D$18</f>
        <v>NEGD</v>
      </c>
      <c r="BG9" s="75" t="str">
        <f>References!$E$18</f>
        <v>Tot Co</v>
      </c>
      <c r="BI9" s="75">
        <f>BI8+1</f>
        <v>2</v>
      </c>
      <c r="BJ9" s="75" t="str">
        <f>References!$C$18</f>
        <v>NEG</v>
      </c>
      <c r="BK9" s="75" t="str">
        <f>References!$D$18</f>
        <v>NEGD</v>
      </c>
      <c r="BL9" s="75" t="str">
        <f>References!$E$18</f>
        <v>Tot Co</v>
      </c>
      <c r="BN9" s="75">
        <f>BN8+1</f>
        <v>2</v>
      </c>
      <c r="BO9" s="75" t="str">
        <f>References!$C$18</f>
        <v>NEG</v>
      </c>
      <c r="BP9" s="75" t="str">
        <f>References!$D$18</f>
        <v>NEGD</v>
      </c>
      <c r="BQ9" s="75" t="str">
        <f>References!$E$18</f>
        <v>Tot Co</v>
      </c>
      <c r="BS9" s="75">
        <f>BS8+1</f>
        <v>2</v>
      </c>
      <c r="BT9" s="75" t="str">
        <f>References!$C$18</f>
        <v>NEG</v>
      </c>
      <c r="BU9" s="75" t="str">
        <f>References!$D$18</f>
        <v>NEGD</v>
      </c>
      <c r="BV9" s="75" t="str">
        <f>References!$E$18</f>
        <v>Tot Co</v>
      </c>
      <c r="BX9" s="162" t="s">
        <v>1668</v>
      </c>
      <c r="BY9" s="75" t="str">
        <f>References!$C$18</f>
        <v>NEG</v>
      </c>
      <c r="BZ9" s="75" t="str">
        <f>References!$D$18</f>
        <v>NEGD</v>
      </c>
    </row>
    <row r="10" spans="1:78">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E10" s="75">
        <f t="shared" ref="AE10:AE79" si="0">AE9+1</f>
        <v>3</v>
      </c>
      <c r="AF10" s="75"/>
      <c r="AG10" s="75"/>
      <c r="AH10" s="75"/>
      <c r="AJ10" s="75">
        <f t="shared" ref="AJ10:AJ79" si="1">AJ9+1</f>
        <v>3</v>
      </c>
      <c r="AK10" s="75"/>
      <c r="AL10" s="75"/>
      <c r="AM10" s="75"/>
      <c r="AO10" s="75">
        <f t="shared" ref="AO10:AO73" si="2">AO9+1</f>
        <v>3</v>
      </c>
      <c r="AP10" s="75"/>
      <c r="AQ10" s="75"/>
      <c r="AR10" s="75"/>
      <c r="AT10" s="75">
        <f t="shared" ref="AT10:AT73" si="3">AT9+1</f>
        <v>3</v>
      </c>
      <c r="AU10" s="75"/>
      <c r="AV10" s="75"/>
      <c r="AW10" s="75"/>
      <c r="AY10" s="75">
        <f t="shared" ref="AY10:AY73" si="4">AY9+1</f>
        <v>3</v>
      </c>
      <c r="AZ10" s="75"/>
      <c r="BA10" s="75"/>
      <c r="BB10" s="75"/>
      <c r="BD10" s="75">
        <f t="shared" ref="BD10:BD73" si="5">BD9+1</f>
        <v>3</v>
      </c>
      <c r="BE10" s="75"/>
      <c r="BF10" s="75"/>
      <c r="BG10" s="75"/>
      <c r="BI10" s="75">
        <f t="shared" ref="BI10:BI73" si="6">BI9+1</f>
        <v>3</v>
      </c>
      <c r="BJ10" s="75"/>
      <c r="BK10" s="75"/>
      <c r="BL10" s="75"/>
      <c r="BN10" s="75">
        <f t="shared" ref="BN10:BN73" si="7">BN9+1</f>
        <v>3</v>
      </c>
      <c r="BO10" s="75"/>
      <c r="BP10" s="75"/>
      <c r="BQ10" s="75"/>
      <c r="BS10" s="75">
        <f t="shared" ref="BS10:BS73" si="8">BS9+1</f>
        <v>3</v>
      </c>
      <c r="BT10" s="75"/>
      <c r="BU10" s="75"/>
      <c r="BV10" s="75"/>
    </row>
    <row r="11" spans="1:78">
      <c r="A11" s="827">
        <f t="shared" ref="A11:A15" si="9">A10+1</f>
        <v>1</v>
      </c>
      <c r="B11" s="827">
        <v>850</v>
      </c>
      <c r="C11" s="23" t="str">
        <f>VLOOKUP(B11,'Stmt H'!$B:$D,3,FALSE)</f>
        <v>Operation Supervision &amp; Engineering</v>
      </c>
      <c r="D11" s="23"/>
      <c r="E11" s="475">
        <f>HLOOKUP(Attach,$AF$8:$BG$205,AE11,FALSE)</f>
        <v>154995.4</v>
      </c>
      <c r="F11" s="23"/>
      <c r="G11" s="475">
        <f>HLOOKUP(Attach,$AK$8:$AM$205,AJ11,FALSE)</f>
        <v>3156.8113600000215</v>
      </c>
      <c r="H11" s="475"/>
      <c r="I11" s="475">
        <f>HLOOKUP(Attach,$AP$8:$AR$205,AO11,FALSE)</f>
        <v>-6051.2598620000208</v>
      </c>
      <c r="J11" s="475"/>
      <c r="K11" s="475">
        <f>HLOOKUP(Attach,$AU$8:$AW$205,AT11,FALSE)</f>
        <v>0</v>
      </c>
      <c r="L11" s="475"/>
      <c r="M11" s="475">
        <f>HLOOKUP(Attach,$AZ$8:$BB$205,AY11,FALSE)</f>
        <v>0</v>
      </c>
      <c r="N11" s="475"/>
      <c r="O11" s="475">
        <f>HLOOKUP(Attach,$BE$8:$BG$205,BD11,FALSE)</f>
        <v>0</v>
      </c>
      <c r="P11" s="475"/>
      <c r="Q11" s="475">
        <f>HLOOKUP(Attach,$BJ$8:$BL$205,BI11,FALSE)</f>
        <v>0</v>
      </c>
      <c r="R11" s="475"/>
      <c r="S11" s="475">
        <f>HLOOKUP(Attach,$BO$8:$BQ$205,BN11,FALSE)</f>
        <v>0</v>
      </c>
      <c r="T11" s="475"/>
      <c r="U11" s="475">
        <f>HLOOKUP(Attach,$BT$8:$BV$205,BS11,FALSE)</f>
        <v>0</v>
      </c>
      <c r="V11" s="475"/>
      <c r="W11" s="475">
        <v>0</v>
      </c>
      <c r="X11" s="475"/>
      <c r="Y11" s="475">
        <v>0</v>
      </c>
      <c r="Z11" s="475"/>
      <c r="AA11" s="475">
        <f>G11+E11+I11+K11+M11+O11+Q11+S11+U11+W11+Y11</f>
        <v>152100.95149800001</v>
      </c>
      <c r="AC11" s="553">
        <f>AA11-E11</f>
        <v>-2894.4485019999847</v>
      </c>
      <c r="AE11" s="75">
        <f t="shared" si="0"/>
        <v>4</v>
      </c>
      <c r="AF11" s="1168">
        <v>154995.4</v>
      </c>
      <c r="AG11" s="1176">
        <v>0</v>
      </c>
      <c r="AH11" s="937">
        <f>+AF11++AG11</f>
        <v>154995.4</v>
      </c>
      <c r="AJ11" s="75">
        <f t="shared" si="1"/>
        <v>4</v>
      </c>
      <c r="AK11" s="1176">
        <v>3156.8113600000215</v>
      </c>
      <c r="AL11" s="1176">
        <v>0</v>
      </c>
      <c r="AM11" s="937">
        <f>+AK11++AL11</f>
        <v>3156.8113600000215</v>
      </c>
      <c r="AO11" s="75">
        <f t="shared" si="2"/>
        <v>4</v>
      </c>
      <c r="AP11" s="1176">
        <v>-770.04372899999726</v>
      </c>
      <c r="AQ11" s="1176">
        <v>0</v>
      </c>
      <c r="AR11" s="937">
        <f>IF($AR$1="Y",BX11,AP11++AQ11)</f>
        <v>-6051.2598620000208</v>
      </c>
      <c r="AT11" s="75">
        <f t="shared" si="3"/>
        <v>4</v>
      </c>
      <c r="AU11" s="1176"/>
      <c r="AV11" s="1176"/>
      <c r="AW11" s="937">
        <f>+AU11++AV11</f>
        <v>0</v>
      </c>
      <c r="AY11" s="75">
        <f t="shared" si="4"/>
        <v>4</v>
      </c>
      <c r="AZ11" s="1176"/>
      <c r="BA11" s="1176"/>
      <c r="BB11" s="937">
        <f>+AZ11++BA11</f>
        <v>0</v>
      </c>
      <c r="BD11" s="75">
        <f t="shared" si="5"/>
        <v>4</v>
      </c>
      <c r="BE11" s="1176"/>
      <c r="BF11" s="1176"/>
      <c r="BG11" s="937">
        <f>+BE11++BF11</f>
        <v>0</v>
      </c>
      <c r="BI11" s="75">
        <f t="shared" si="6"/>
        <v>4</v>
      </c>
      <c r="BJ11" s="1176"/>
      <c r="BK11" s="1176"/>
      <c r="BL11" s="937">
        <f>+BJ11++BK11</f>
        <v>0</v>
      </c>
      <c r="BN11" s="75">
        <f t="shared" si="7"/>
        <v>4</v>
      </c>
      <c r="BO11" s="1176"/>
      <c r="BP11" s="1176"/>
      <c r="BQ11" s="937">
        <f>+BO11++BP11</f>
        <v>0</v>
      </c>
      <c r="BS11" s="75">
        <f t="shared" si="8"/>
        <v>4</v>
      </c>
      <c r="BT11" s="1176"/>
      <c r="BU11" s="1176"/>
      <c r="BV11" s="937">
        <f>+BT11++BU11</f>
        <v>0</v>
      </c>
      <c r="BX11" s="1773">
        <f>BY11+BZ11</f>
        <v>-6051.2598620000208</v>
      </c>
      <c r="BY11" s="857">
        <v>-6051.2598620000208</v>
      </c>
      <c r="BZ11" s="162">
        <v>0</v>
      </c>
    </row>
    <row r="12" spans="1:78">
      <c r="A12" s="827">
        <f t="shared" si="9"/>
        <v>2</v>
      </c>
      <c r="B12" s="827"/>
      <c r="C12" s="23"/>
      <c r="D12" s="23"/>
      <c r="E12" s="768"/>
      <c r="F12" s="207"/>
      <c r="G12" s="768"/>
      <c r="H12" s="768"/>
      <c r="I12" s="768"/>
      <c r="J12" s="768"/>
      <c r="K12" s="768"/>
      <c r="L12" s="768"/>
      <c r="M12" s="768"/>
      <c r="N12" s="768"/>
      <c r="O12" s="768"/>
      <c r="P12" s="768"/>
      <c r="Q12" s="768"/>
      <c r="R12" s="768"/>
      <c r="S12" s="768"/>
      <c r="T12" s="768"/>
      <c r="U12" s="768"/>
      <c r="V12" s="768"/>
      <c r="W12" s="768"/>
      <c r="X12" s="768"/>
      <c r="Y12" s="768"/>
      <c r="Z12" s="768"/>
      <c r="AA12" s="768"/>
      <c r="AB12" s="857"/>
      <c r="AC12" s="857"/>
      <c r="AE12" s="75">
        <f t="shared" si="0"/>
        <v>5</v>
      </c>
      <c r="AF12" s="1175"/>
      <c r="AG12" s="1177"/>
      <c r="AH12" s="75"/>
      <c r="AJ12" s="75">
        <f t="shared" si="1"/>
        <v>5</v>
      </c>
      <c r="AK12" s="1177"/>
      <c r="AL12" s="1177"/>
      <c r="AO12" s="75">
        <f t="shared" si="2"/>
        <v>5</v>
      </c>
      <c r="AP12" s="75"/>
      <c r="AQ12" s="75"/>
      <c r="AT12" s="75">
        <f t="shared" si="3"/>
        <v>5</v>
      </c>
      <c r="AU12" s="75"/>
      <c r="AV12" s="75"/>
      <c r="AY12" s="75">
        <f t="shared" si="4"/>
        <v>5</v>
      </c>
      <c r="AZ12" s="75"/>
      <c r="BA12" s="75"/>
      <c r="BD12" s="75">
        <f t="shared" si="5"/>
        <v>5</v>
      </c>
      <c r="BE12" s="75"/>
      <c r="BF12" s="75"/>
      <c r="BI12" s="75">
        <f t="shared" si="6"/>
        <v>5</v>
      </c>
      <c r="BJ12" s="75"/>
      <c r="BK12" s="75"/>
      <c r="BN12" s="75">
        <f t="shared" si="7"/>
        <v>5</v>
      </c>
      <c r="BO12" s="75"/>
      <c r="BP12" s="75"/>
      <c r="BS12" s="75">
        <f t="shared" si="8"/>
        <v>5</v>
      </c>
      <c r="BT12" s="75"/>
      <c r="BU12" s="75"/>
      <c r="BX12" s="1773">
        <f t="shared" ref="BX12:BX75" si="10">BY12+BZ12</f>
        <v>0</v>
      </c>
      <c r="BY12" s="857">
        <v>0</v>
      </c>
      <c r="BZ12" s="162">
        <v>0</v>
      </c>
    </row>
    <row r="13" spans="1:78">
      <c r="A13" s="827">
        <f t="shared" si="9"/>
        <v>3</v>
      </c>
      <c r="B13" s="827">
        <v>851</v>
      </c>
      <c r="C13" s="23" t="str">
        <f>VLOOKUP(B13,'Stmt H'!$B:$D,3,FALSE)</f>
        <v>System Control &amp; Load Dispatching</v>
      </c>
      <c r="D13" s="23"/>
      <c r="E13" s="768">
        <f>HLOOKUP(Attach,$AF$8:$BG$205,AE13,FALSE)</f>
        <v>671.45999999999992</v>
      </c>
      <c r="F13" s="207"/>
      <c r="G13" s="768">
        <f>HLOOKUP(Attach,$AK$8:$AM$205,AJ13,FALSE)</f>
        <v>16.991374000000064</v>
      </c>
      <c r="H13" s="768"/>
      <c r="I13" s="768">
        <f>HLOOKUP(Attach,$AP$8:$AR$205,AO13,FALSE)</f>
        <v>-33.553413999999975</v>
      </c>
      <c r="J13" s="768"/>
      <c r="K13" s="768">
        <f>HLOOKUP(Attach,$AU$8:$AW$205,AT13,FALSE)</f>
        <v>0</v>
      </c>
      <c r="L13" s="768"/>
      <c r="M13" s="768">
        <f>HLOOKUP(Attach,$AZ$8:$BB$205,AY13,FALSE)</f>
        <v>0</v>
      </c>
      <c r="N13" s="768"/>
      <c r="O13" s="768">
        <f>HLOOKUP(Attach,$BE$8:$BG$205,BD13,FALSE)</f>
        <v>0</v>
      </c>
      <c r="P13" s="768"/>
      <c r="Q13" s="768">
        <f>HLOOKUP(Attach,$BJ$8:$BL$205,BI13,FALSE)</f>
        <v>0</v>
      </c>
      <c r="R13" s="768"/>
      <c r="S13" s="768">
        <f>HLOOKUP(Attach,$BO$8:$BQ$205,BN13,FALSE)</f>
        <v>0</v>
      </c>
      <c r="T13" s="768"/>
      <c r="U13" s="768">
        <f>HLOOKUP(Attach,$BT$8:$BV$205,BS13,FALSE)</f>
        <v>0</v>
      </c>
      <c r="V13" s="768"/>
      <c r="W13" s="768">
        <v>0</v>
      </c>
      <c r="X13" s="768"/>
      <c r="Y13" s="768">
        <v>0</v>
      </c>
      <c r="Z13" s="768"/>
      <c r="AA13" s="768">
        <f>G13+E13+I13+K13+M13+O13+Q13+S13+U13+W13+Y13</f>
        <v>654.89796000000001</v>
      </c>
      <c r="AB13" s="857"/>
      <c r="AC13" s="857">
        <f>AA13-E13</f>
        <v>-16.562039999999911</v>
      </c>
      <c r="AE13" s="75">
        <f t="shared" si="0"/>
        <v>6</v>
      </c>
      <c r="AF13" s="1168">
        <v>671.45999999999992</v>
      </c>
      <c r="AG13" s="1176">
        <v>0</v>
      </c>
      <c r="AH13" s="937">
        <f>+AF13++AG13</f>
        <v>671.45999999999992</v>
      </c>
      <c r="AJ13" s="75">
        <f t="shared" si="1"/>
        <v>6</v>
      </c>
      <c r="AK13" s="1176">
        <v>16.991374000000064</v>
      </c>
      <c r="AL13" s="1176">
        <v>0</v>
      </c>
      <c r="AM13" s="937">
        <f>+AK13++AL13</f>
        <v>16.991374000000064</v>
      </c>
      <c r="AO13" s="75">
        <f t="shared" si="2"/>
        <v>6</v>
      </c>
      <c r="AP13" s="1176">
        <v>-4.0425800000000436</v>
      </c>
      <c r="AQ13" s="1176">
        <v>0</v>
      </c>
      <c r="AR13" s="937">
        <f>IF($AR$1="Y",BX13,AP13++AQ13)</f>
        <v>-33.553413999999975</v>
      </c>
      <c r="AT13" s="75">
        <f t="shared" si="3"/>
        <v>6</v>
      </c>
      <c r="AU13" s="1176"/>
      <c r="AV13" s="1176"/>
      <c r="AW13" s="937">
        <f>+AU13++AV13</f>
        <v>0</v>
      </c>
      <c r="AY13" s="75">
        <f t="shared" si="4"/>
        <v>6</v>
      </c>
      <c r="AZ13" s="1176"/>
      <c r="BA13" s="1176"/>
      <c r="BB13" s="937">
        <f>+AZ13++BA13</f>
        <v>0</v>
      </c>
      <c r="BD13" s="75">
        <f t="shared" si="5"/>
        <v>6</v>
      </c>
      <c r="BE13" s="1176"/>
      <c r="BF13" s="1176"/>
      <c r="BG13" s="937">
        <f>+BE13++BF13</f>
        <v>0</v>
      </c>
      <c r="BI13" s="75">
        <f t="shared" si="6"/>
        <v>6</v>
      </c>
      <c r="BJ13" s="1176"/>
      <c r="BK13" s="1176"/>
      <c r="BL13" s="937">
        <f>+BJ13++BK13</f>
        <v>0</v>
      </c>
      <c r="BN13" s="75">
        <f t="shared" si="7"/>
        <v>6</v>
      </c>
      <c r="BO13" s="1176"/>
      <c r="BP13" s="1176"/>
      <c r="BQ13" s="937">
        <f>+BO13++BP13</f>
        <v>0</v>
      </c>
      <c r="BS13" s="75">
        <f t="shared" si="8"/>
        <v>6</v>
      </c>
      <c r="BT13" s="1176"/>
      <c r="BU13" s="1176"/>
      <c r="BV13" s="937">
        <f>+BT13++BU13</f>
        <v>0</v>
      </c>
      <c r="BX13" s="1773">
        <f t="shared" si="10"/>
        <v>-33.553413999999975</v>
      </c>
      <c r="BY13" s="857">
        <v>-33.553413999999975</v>
      </c>
      <c r="BZ13" s="162">
        <v>0</v>
      </c>
    </row>
    <row r="14" spans="1:78">
      <c r="A14" s="827">
        <f t="shared" si="9"/>
        <v>4</v>
      </c>
      <c r="C14" s="23"/>
      <c r="D14" s="23"/>
      <c r="E14" s="768"/>
      <c r="F14" s="207"/>
      <c r="G14" s="768"/>
      <c r="H14" s="768"/>
      <c r="I14" s="768"/>
      <c r="J14" s="768"/>
      <c r="K14" s="768"/>
      <c r="L14" s="768"/>
      <c r="M14" s="768"/>
      <c r="N14" s="768"/>
      <c r="O14" s="768"/>
      <c r="P14" s="768"/>
      <c r="Q14" s="768"/>
      <c r="R14" s="768"/>
      <c r="S14" s="768"/>
      <c r="T14" s="768"/>
      <c r="U14" s="768"/>
      <c r="V14" s="768"/>
      <c r="W14" s="768"/>
      <c r="X14" s="768"/>
      <c r="Y14" s="768"/>
      <c r="Z14" s="768"/>
      <c r="AA14" s="768"/>
      <c r="AB14" s="857"/>
      <c r="AC14" s="857"/>
      <c r="AE14" s="75">
        <f t="shared" si="0"/>
        <v>7</v>
      </c>
      <c r="AF14" s="1175"/>
      <c r="AG14" s="1177"/>
      <c r="AH14" s="75"/>
      <c r="AJ14" s="75">
        <f t="shared" si="1"/>
        <v>7</v>
      </c>
      <c r="AK14" s="1177"/>
      <c r="AL14" s="1177"/>
      <c r="AO14" s="75">
        <f t="shared" si="2"/>
        <v>7</v>
      </c>
      <c r="AP14" s="75"/>
      <c r="AQ14" s="75"/>
      <c r="AT14" s="75">
        <f t="shared" si="3"/>
        <v>7</v>
      </c>
      <c r="AU14" s="75"/>
      <c r="AV14" s="75"/>
      <c r="AY14" s="75">
        <f t="shared" si="4"/>
        <v>7</v>
      </c>
      <c r="AZ14" s="75"/>
      <c r="BA14" s="75"/>
      <c r="BD14" s="75">
        <f t="shared" si="5"/>
        <v>7</v>
      </c>
      <c r="BE14" s="75"/>
      <c r="BF14" s="75"/>
      <c r="BI14" s="75">
        <f t="shared" si="6"/>
        <v>7</v>
      </c>
      <c r="BJ14" s="75"/>
      <c r="BK14" s="75"/>
      <c r="BN14" s="75">
        <f t="shared" si="7"/>
        <v>7</v>
      </c>
      <c r="BO14" s="75"/>
      <c r="BP14" s="75"/>
      <c r="BS14" s="75">
        <f t="shared" si="8"/>
        <v>7</v>
      </c>
      <c r="BT14" s="75"/>
      <c r="BU14" s="75"/>
      <c r="BX14" s="1773">
        <f t="shared" si="10"/>
        <v>0</v>
      </c>
      <c r="BY14" s="857">
        <v>0</v>
      </c>
      <c r="BZ14" s="162">
        <v>0</v>
      </c>
    </row>
    <row r="15" spans="1:78">
      <c r="A15" s="827">
        <f t="shared" si="9"/>
        <v>5</v>
      </c>
      <c r="B15" s="103">
        <v>859</v>
      </c>
      <c r="C15" s="23" t="str">
        <f>VLOOKUP(B15,'Stmt H'!$B:$D,3,FALSE)</f>
        <v>Other Expenses</v>
      </c>
      <c r="D15" s="23"/>
      <c r="E15" s="768">
        <f>HLOOKUP(Attach,$AF$8:$BG$205,AE15,FALSE)</f>
        <v>62427.17</v>
      </c>
      <c r="F15" s="207"/>
      <c r="G15" s="768">
        <f>HLOOKUP(Attach,$AK$8:$AM$205,AJ15,FALSE)</f>
        <v>1187.8694580000083</v>
      </c>
      <c r="H15" s="768"/>
      <c r="I15" s="768">
        <f>HLOOKUP(Attach,$AP$8:$AR$205,AO15,FALSE)</f>
        <v>-2353.5456990000021</v>
      </c>
      <c r="J15" s="768"/>
      <c r="K15" s="768">
        <f>HLOOKUP(Attach,$AU$8:$AW$205,AT15,FALSE)</f>
        <v>0</v>
      </c>
      <c r="L15" s="768"/>
      <c r="M15" s="768">
        <f>HLOOKUP(Attach,$AZ$8:$BB$205,AY15,FALSE)</f>
        <v>0</v>
      </c>
      <c r="N15" s="768"/>
      <c r="O15" s="768">
        <f>HLOOKUP(Attach,$BE$8:$BG$205,BD15,FALSE)</f>
        <v>0</v>
      </c>
      <c r="P15" s="768"/>
      <c r="Q15" s="768">
        <f>HLOOKUP(Attach,$BJ$8:$BL$205,BI15,FALSE)</f>
        <v>0</v>
      </c>
      <c r="R15" s="768"/>
      <c r="S15" s="768">
        <f>HLOOKUP(Attach,$BO$8:$BQ$205,BN15,FALSE)</f>
        <v>0</v>
      </c>
      <c r="T15" s="768"/>
      <c r="U15" s="768">
        <f>HLOOKUP(Attach,$BT$8:$BV$205,BS15,FALSE)</f>
        <v>0</v>
      </c>
      <c r="V15" s="768"/>
      <c r="W15" s="768">
        <v>0</v>
      </c>
      <c r="X15" s="768"/>
      <c r="Y15" s="768">
        <v>0</v>
      </c>
      <c r="Z15" s="768"/>
      <c r="AA15" s="768">
        <f>G15+E15+I15+K15+M15+O15+Q15+S15+U15+W15+Y15</f>
        <v>61261.493759000005</v>
      </c>
      <c r="AB15" s="857"/>
      <c r="AC15" s="857">
        <f>AA15-E15</f>
        <v>-1165.6762409999938</v>
      </c>
      <c r="AD15" s="329"/>
      <c r="AE15" s="75">
        <f t="shared" si="0"/>
        <v>8</v>
      </c>
      <c r="AF15" s="1168">
        <v>62427.17</v>
      </c>
      <c r="AG15" s="1176">
        <v>0</v>
      </c>
      <c r="AH15" s="937">
        <f>+AF15++AG15</f>
        <v>62427.17</v>
      </c>
      <c r="AJ15" s="75">
        <f t="shared" si="1"/>
        <v>8</v>
      </c>
      <c r="AK15" s="1176">
        <v>1187.8694580000083</v>
      </c>
      <c r="AL15" s="1176">
        <v>0</v>
      </c>
      <c r="AM15" s="937">
        <f>+AK15++AL15</f>
        <v>1187.8694580000083</v>
      </c>
      <c r="AO15" s="75">
        <f t="shared" si="2"/>
        <v>8</v>
      </c>
      <c r="AP15" s="1176">
        <v>-283.26520999999775</v>
      </c>
      <c r="AQ15" s="1176">
        <v>0</v>
      </c>
      <c r="AR15" s="937">
        <f>IF($AR$1="Y",BX15,AP15++AQ15)</f>
        <v>-2353.5456990000021</v>
      </c>
      <c r="AT15" s="75">
        <f t="shared" si="3"/>
        <v>8</v>
      </c>
      <c r="AU15" s="1176"/>
      <c r="AV15" s="1176"/>
      <c r="AW15" s="937">
        <f>+AU15++AV15</f>
        <v>0</v>
      </c>
      <c r="AY15" s="75">
        <f t="shared" si="4"/>
        <v>8</v>
      </c>
      <c r="AZ15" s="1176"/>
      <c r="BA15" s="1176"/>
      <c r="BB15" s="937">
        <f>+AZ15++BA15</f>
        <v>0</v>
      </c>
      <c r="BD15" s="75">
        <f t="shared" si="5"/>
        <v>8</v>
      </c>
      <c r="BE15" s="1176"/>
      <c r="BF15" s="1176"/>
      <c r="BG15" s="937">
        <f>+BE15++BF15</f>
        <v>0</v>
      </c>
      <c r="BI15" s="75">
        <f t="shared" si="6"/>
        <v>8</v>
      </c>
      <c r="BJ15" s="1176"/>
      <c r="BK15" s="1176"/>
      <c r="BL15" s="937">
        <f>+BJ15++BK15</f>
        <v>0</v>
      </c>
      <c r="BN15" s="75">
        <f t="shared" si="7"/>
        <v>8</v>
      </c>
      <c r="BO15" s="1176"/>
      <c r="BP15" s="1176"/>
      <c r="BQ15" s="937">
        <f>+BO15++BP15</f>
        <v>0</v>
      </c>
      <c r="BS15" s="75">
        <f t="shared" si="8"/>
        <v>8</v>
      </c>
      <c r="BT15" s="1176"/>
      <c r="BU15" s="1176"/>
      <c r="BV15" s="937">
        <f>+BT15++BU15</f>
        <v>0</v>
      </c>
      <c r="BX15" s="1773">
        <f t="shared" si="10"/>
        <v>-2353.5456990000021</v>
      </c>
      <c r="BY15" s="857">
        <v>-2353.5456990000021</v>
      </c>
      <c r="BZ15" s="162">
        <v>0</v>
      </c>
    </row>
    <row r="16" spans="1:78">
      <c r="A16" s="7">
        <f>A15+1</f>
        <v>6</v>
      </c>
      <c r="B16" s="103"/>
      <c r="C16" s="23"/>
      <c r="D16" s="23"/>
      <c r="E16" s="768"/>
      <c r="F16" s="207"/>
      <c r="G16" s="768"/>
      <c r="H16" s="768"/>
      <c r="I16" s="768"/>
      <c r="J16" s="768"/>
      <c r="K16" s="768"/>
      <c r="L16" s="768"/>
      <c r="M16" s="768"/>
      <c r="N16" s="768"/>
      <c r="O16" s="768"/>
      <c r="P16" s="768"/>
      <c r="Q16" s="768"/>
      <c r="R16" s="768"/>
      <c r="S16" s="768"/>
      <c r="T16" s="768"/>
      <c r="U16" s="768"/>
      <c r="V16" s="768"/>
      <c r="W16" s="768"/>
      <c r="X16" s="768"/>
      <c r="Y16" s="768"/>
      <c r="Z16" s="768"/>
      <c r="AA16" s="768"/>
      <c r="AB16" s="857"/>
      <c r="AC16" s="857"/>
      <c r="AD16" s="329"/>
      <c r="AE16" s="75">
        <f t="shared" si="0"/>
        <v>9</v>
      </c>
      <c r="AF16" s="1175"/>
      <c r="AG16" s="1177"/>
      <c r="AH16" s="75"/>
      <c r="AJ16" s="75">
        <f t="shared" si="1"/>
        <v>9</v>
      </c>
      <c r="AK16" s="1177"/>
      <c r="AL16" s="1177"/>
      <c r="AO16" s="75">
        <f t="shared" si="2"/>
        <v>9</v>
      </c>
      <c r="AP16" s="75"/>
      <c r="AQ16" s="75"/>
      <c r="AT16" s="75">
        <f t="shared" si="3"/>
        <v>9</v>
      </c>
      <c r="AU16" s="75"/>
      <c r="AV16" s="75"/>
      <c r="AY16" s="75">
        <f t="shared" si="4"/>
        <v>9</v>
      </c>
      <c r="AZ16" s="75"/>
      <c r="BA16" s="75"/>
      <c r="BD16" s="75">
        <f t="shared" si="5"/>
        <v>9</v>
      </c>
      <c r="BE16" s="75"/>
      <c r="BF16" s="75"/>
      <c r="BI16" s="75">
        <f t="shared" si="6"/>
        <v>9</v>
      </c>
      <c r="BJ16" s="75"/>
      <c r="BK16" s="75"/>
      <c r="BN16" s="75">
        <f t="shared" si="7"/>
        <v>9</v>
      </c>
      <c r="BO16" s="75"/>
      <c r="BP16" s="75"/>
      <c r="BS16" s="75">
        <f t="shared" si="8"/>
        <v>9</v>
      </c>
      <c r="BT16" s="75"/>
      <c r="BU16" s="75"/>
      <c r="BX16" s="1773">
        <f t="shared" si="10"/>
        <v>0</v>
      </c>
      <c r="BY16" s="857">
        <v>0</v>
      </c>
      <c r="BZ16" s="162">
        <v>0</v>
      </c>
    </row>
    <row r="17" spans="1:78">
      <c r="A17" s="473">
        <f t="shared" ref="A17:A81" si="11">A16+1</f>
        <v>7</v>
      </c>
      <c r="B17" s="103">
        <v>861</v>
      </c>
      <c r="C17" s="23" t="str">
        <f>VLOOKUP(B17,'Stmt H'!$B:$D,3,FALSE)</f>
        <v>Maintenance Supervision &amp; Engineering</v>
      </c>
      <c r="D17" s="23"/>
      <c r="E17" s="768">
        <f>HLOOKUP(Attach,$AF$8:$BG$205,AE17,FALSE)</f>
        <v>17231.27</v>
      </c>
      <c r="F17" s="207"/>
      <c r="G17" s="768">
        <f>HLOOKUP(Attach,$AK$8:$AM$205,AJ17,FALSE)</f>
        <v>540.93032999999923</v>
      </c>
      <c r="H17" s="768"/>
      <c r="I17" s="768">
        <f>HLOOKUP(Attach,$AP$8:$AR$205,AO17,FALSE)</f>
        <v>-1067.5537499999955</v>
      </c>
      <c r="J17" s="768"/>
      <c r="K17" s="768">
        <f>HLOOKUP(Attach,$AU$8:$AW$205,AT17,FALSE)</f>
        <v>0</v>
      </c>
      <c r="L17" s="768"/>
      <c r="M17" s="768">
        <f>HLOOKUP(Attach,$AZ$8:$BB$205,AY17,FALSE)</f>
        <v>0</v>
      </c>
      <c r="N17" s="768"/>
      <c r="O17" s="768">
        <f>HLOOKUP(Attach,$BE$8:$BG$205,BD17,FALSE)</f>
        <v>0</v>
      </c>
      <c r="P17" s="768"/>
      <c r="Q17" s="768">
        <f>HLOOKUP(Attach,$BJ$8:$BL$205,BI17,FALSE)</f>
        <v>0</v>
      </c>
      <c r="R17" s="768"/>
      <c r="S17" s="768">
        <f>HLOOKUP(Attach,$BO$8:$BQ$205,BN17,FALSE)</f>
        <v>0</v>
      </c>
      <c r="T17" s="768"/>
      <c r="U17" s="768">
        <f>HLOOKUP(Attach,$BT$8:$BV$205,BS17,FALSE)</f>
        <v>0</v>
      </c>
      <c r="V17" s="768"/>
      <c r="W17" s="768">
        <v>0</v>
      </c>
      <c r="X17" s="768"/>
      <c r="Y17" s="768">
        <v>0</v>
      </c>
      <c r="Z17" s="768"/>
      <c r="AA17" s="768">
        <f>G17+E17+I17+K17+M17+O17+Q17+S17+U17+W17+Y17</f>
        <v>16704.646580000004</v>
      </c>
      <c r="AB17" s="857"/>
      <c r="AC17" s="857">
        <f>AA17-E17</f>
        <v>-526.62341999999626</v>
      </c>
      <c r="AD17" s="329"/>
      <c r="AE17" s="75">
        <f t="shared" si="0"/>
        <v>10</v>
      </c>
      <c r="AF17" s="1168">
        <v>17231.27</v>
      </c>
      <c r="AG17" s="1176">
        <v>0</v>
      </c>
      <c r="AH17" s="937">
        <f>+AF17++AG17</f>
        <v>17231.27</v>
      </c>
      <c r="AJ17" s="75">
        <f t="shared" si="1"/>
        <v>10</v>
      </c>
      <c r="AK17" s="1176">
        <v>540.93032999999923</v>
      </c>
      <c r="AL17" s="1176">
        <v>0</v>
      </c>
      <c r="AM17" s="937">
        <f>+AK17++AL17</f>
        <v>540.93032999999923</v>
      </c>
      <c r="AO17" s="75">
        <f t="shared" si="2"/>
        <v>10</v>
      </c>
      <c r="AP17" s="1176">
        <v>-130.04329299999881</v>
      </c>
      <c r="AQ17" s="1176">
        <v>0</v>
      </c>
      <c r="AR17" s="937">
        <f>IF($AR$1="Y",BX17,AP17++AQ17)</f>
        <v>-1067.5537499999955</v>
      </c>
      <c r="AT17" s="75">
        <f t="shared" si="3"/>
        <v>10</v>
      </c>
      <c r="AU17" s="1176"/>
      <c r="AV17" s="1176"/>
      <c r="AW17" s="937">
        <f>+AU17++AV17</f>
        <v>0</v>
      </c>
      <c r="AY17" s="75">
        <f t="shared" si="4"/>
        <v>10</v>
      </c>
      <c r="AZ17" s="1176"/>
      <c r="BA17" s="1176"/>
      <c r="BB17" s="937">
        <f>+AZ17++BA17</f>
        <v>0</v>
      </c>
      <c r="BD17" s="75">
        <f t="shared" si="5"/>
        <v>10</v>
      </c>
      <c r="BE17" s="1176"/>
      <c r="BF17" s="1176"/>
      <c r="BG17" s="937">
        <f>+BE17++BF17</f>
        <v>0</v>
      </c>
      <c r="BI17" s="75">
        <f t="shared" si="6"/>
        <v>10</v>
      </c>
      <c r="BJ17" s="1176"/>
      <c r="BK17" s="1176"/>
      <c r="BL17" s="937">
        <f>+BJ17++BK17</f>
        <v>0</v>
      </c>
      <c r="BN17" s="75">
        <f t="shared" si="7"/>
        <v>10</v>
      </c>
      <c r="BO17" s="1176"/>
      <c r="BP17" s="1176"/>
      <c r="BQ17" s="937">
        <f>+BO17++BP17</f>
        <v>0</v>
      </c>
      <c r="BS17" s="75">
        <f t="shared" si="8"/>
        <v>10</v>
      </c>
      <c r="BT17" s="1176"/>
      <c r="BU17" s="1176"/>
      <c r="BV17" s="937">
        <f>+BT17++BU17</f>
        <v>0</v>
      </c>
      <c r="BX17" s="1773">
        <f t="shared" si="10"/>
        <v>-1067.5537499999955</v>
      </c>
      <c r="BY17" s="857">
        <v>-1067.5537499999955</v>
      </c>
      <c r="BZ17" s="162">
        <v>0</v>
      </c>
    </row>
    <row r="18" spans="1:78">
      <c r="A18" s="473">
        <f t="shared" si="11"/>
        <v>8</v>
      </c>
      <c r="B18" s="103"/>
      <c r="C18" s="23"/>
      <c r="D18" s="23"/>
      <c r="E18" s="768"/>
      <c r="F18" s="207"/>
      <c r="G18" s="768"/>
      <c r="H18" s="768"/>
      <c r="I18" s="768"/>
      <c r="J18" s="768"/>
      <c r="K18" s="768"/>
      <c r="L18" s="768"/>
      <c r="M18" s="768"/>
      <c r="N18" s="768"/>
      <c r="O18" s="768"/>
      <c r="P18" s="768"/>
      <c r="Q18" s="768"/>
      <c r="R18" s="768"/>
      <c r="S18" s="768"/>
      <c r="T18" s="768"/>
      <c r="U18" s="768"/>
      <c r="V18" s="768"/>
      <c r="W18" s="768"/>
      <c r="X18" s="768"/>
      <c r="Y18" s="768"/>
      <c r="Z18" s="768"/>
      <c r="AA18" s="768"/>
      <c r="AB18" s="857"/>
      <c r="AC18" s="857"/>
      <c r="AD18" s="329"/>
      <c r="AE18" s="75">
        <f t="shared" si="0"/>
        <v>11</v>
      </c>
      <c r="AF18" s="1175"/>
      <c r="AG18" s="1177"/>
      <c r="AH18" s="75"/>
      <c r="AJ18" s="75">
        <f t="shared" si="1"/>
        <v>11</v>
      </c>
      <c r="AK18" s="1177"/>
      <c r="AL18" s="1177"/>
      <c r="AO18" s="75">
        <f t="shared" si="2"/>
        <v>11</v>
      </c>
      <c r="AP18" s="75"/>
      <c r="AQ18" s="75"/>
      <c r="AT18" s="75">
        <f t="shared" si="3"/>
        <v>11</v>
      </c>
      <c r="AU18" s="75"/>
      <c r="AV18" s="75"/>
      <c r="AY18" s="75">
        <f t="shared" si="4"/>
        <v>11</v>
      </c>
      <c r="AZ18" s="75"/>
      <c r="BA18" s="75"/>
      <c r="BD18" s="75">
        <f t="shared" si="5"/>
        <v>11</v>
      </c>
      <c r="BE18" s="75"/>
      <c r="BF18" s="75"/>
      <c r="BI18" s="75">
        <f t="shared" si="6"/>
        <v>11</v>
      </c>
      <c r="BJ18" s="75"/>
      <c r="BK18" s="75"/>
      <c r="BN18" s="75">
        <f t="shared" si="7"/>
        <v>11</v>
      </c>
      <c r="BO18" s="75"/>
      <c r="BP18" s="75"/>
      <c r="BS18" s="75">
        <f t="shared" si="8"/>
        <v>11</v>
      </c>
      <c r="BT18" s="75"/>
      <c r="BU18" s="75"/>
      <c r="BX18" s="1773">
        <f t="shared" si="10"/>
        <v>0</v>
      </c>
      <c r="BY18" s="857">
        <v>0</v>
      </c>
      <c r="BZ18" s="162">
        <v>0</v>
      </c>
    </row>
    <row r="19" spans="1:78">
      <c r="A19" s="726">
        <f t="shared" si="11"/>
        <v>9</v>
      </c>
      <c r="B19" s="103">
        <v>863</v>
      </c>
      <c r="C19" s="23" t="str">
        <f>VLOOKUP(B19,'Stmt H'!$B:$D,3,FALSE)</f>
        <v>Maintenance of Mains</v>
      </c>
      <c r="D19" s="23"/>
      <c r="E19" s="768">
        <f>HLOOKUP(Attach,$AF$8:$BG$205,AE19,FALSE)</f>
        <v>90.71</v>
      </c>
      <c r="F19" s="207"/>
      <c r="G19" s="768">
        <f>HLOOKUP(Attach,$AK$8:$AM$205,AJ19,FALSE)</f>
        <v>-0.24791499999999189</v>
      </c>
      <c r="H19" s="768"/>
      <c r="I19" s="768">
        <f>HLOOKUP(Attach,$AP$8:$AR$205,AO19,FALSE)</f>
        <v>-0.33896800000000837</v>
      </c>
      <c r="J19" s="768"/>
      <c r="K19" s="768">
        <f>HLOOKUP(Attach,$AU$8:$AW$205,AT19,FALSE)</f>
        <v>0</v>
      </c>
      <c r="L19" s="768"/>
      <c r="M19" s="768">
        <f>HLOOKUP(Attach,$AZ$8:$BB$205,AY19,FALSE)</f>
        <v>0</v>
      </c>
      <c r="N19" s="768"/>
      <c r="O19" s="768">
        <f>HLOOKUP(Attach,$BE$8:$BG$205,BD19,FALSE)</f>
        <v>0</v>
      </c>
      <c r="P19" s="768"/>
      <c r="Q19" s="768">
        <f>HLOOKUP(Attach,$BJ$8:$BL$205,BI19,FALSE)</f>
        <v>0</v>
      </c>
      <c r="R19" s="768"/>
      <c r="S19" s="768">
        <f>HLOOKUP(Attach,$BO$8:$BQ$205,BN19,FALSE)</f>
        <v>0</v>
      </c>
      <c r="T19" s="768"/>
      <c r="U19" s="768">
        <f>HLOOKUP(Attach,$BT$8:$BV$205,BS19,FALSE)</f>
        <v>0</v>
      </c>
      <c r="V19" s="768"/>
      <c r="W19" s="768">
        <v>0</v>
      </c>
      <c r="X19" s="768"/>
      <c r="Y19" s="768">
        <v>0</v>
      </c>
      <c r="Z19" s="768"/>
      <c r="AA19" s="768">
        <f>G19+E19+I19+K19+M19+O19+Q19+S19+U19+W19+Y19</f>
        <v>90.123116999999993</v>
      </c>
      <c r="AB19" s="857"/>
      <c r="AC19" s="857">
        <f>AA19-E19</f>
        <v>-0.58688300000000027</v>
      </c>
      <c r="AD19" s="329"/>
      <c r="AE19" s="75">
        <f t="shared" si="0"/>
        <v>12</v>
      </c>
      <c r="AF19" s="1168">
        <v>90.71</v>
      </c>
      <c r="AG19" s="1176">
        <v>0</v>
      </c>
      <c r="AH19" s="937">
        <f>+AF19++AG19</f>
        <v>90.71</v>
      </c>
      <c r="AJ19" s="75">
        <f t="shared" si="1"/>
        <v>12</v>
      </c>
      <c r="AK19" s="1176">
        <v>-0.24791499999999189</v>
      </c>
      <c r="AL19" s="1176">
        <v>0</v>
      </c>
      <c r="AM19" s="937">
        <f>+AK19++AL19</f>
        <v>-0.24791499999999189</v>
      </c>
      <c r="AO19" s="75">
        <f t="shared" si="2"/>
        <v>12</v>
      </c>
      <c r="AP19" s="1176">
        <v>0</v>
      </c>
      <c r="AQ19" s="1176">
        <v>0</v>
      </c>
      <c r="AR19" s="937">
        <f>IF($AR$1="Y",BX19,AP19++AQ19)</f>
        <v>-0.33896800000000837</v>
      </c>
      <c r="AT19" s="75">
        <f t="shared" si="3"/>
        <v>12</v>
      </c>
      <c r="AU19" s="1176"/>
      <c r="AV19" s="1176"/>
      <c r="AW19" s="937">
        <f>+AU19++AV19</f>
        <v>0</v>
      </c>
      <c r="AY19" s="75">
        <f t="shared" si="4"/>
        <v>12</v>
      </c>
      <c r="AZ19" s="1176"/>
      <c r="BA19" s="1176"/>
      <c r="BB19" s="937">
        <f>+AZ19++BA19</f>
        <v>0</v>
      </c>
      <c r="BD19" s="75">
        <f t="shared" si="5"/>
        <v>12</v>
      </c>
      <c r="BE19" s="1176"/>
      <c r="BF19" s="1176"/>
      <c r="BG19" s="937">
        <f>+BE19++BF19</f>
        <v>0</v>
      </c>
      <c r="BI19" s="75">
        <f t="shared" si="6"/>
        <v>12</v>
      </c>
      <c r="BJ19" s="1176"/>
      <c r="BK19" s="1176"/>
      <c r="BL19" s="937">
        <f>+BJ19++BK19</f>
        <v>0</v>
      </c>
      <c r="BN19" s="75">
        <f t="shared" si="7"/>
        <v>12</v>
      </c>
      <c r="BO19" s="1176"/>
      <c r="BP19" s="1176"/>
      <c r="BQ19" s="937">
        <f>+BO19++BP19</f>
        <v>0</v>
      </c>
      <c r="BS19" s="75">
        <f t="shared" si="8"/>
        <v>12</v>
      </c>
      <c r="BT19" s="1176"/>
      <c r="BU19" s="1176"/>
      <c r="BV19" s="937">
        <f>+BT19++BU19</f>
        <v>0</v>
      </c>
      <c r="BX19" s="1773">
        <f t="shared" si="10"/>
        <v>-0.33896800000000837</v>
      </c>
      <c r="BY19" s="857">
        <v>-0.33896800000000837</v>
      </c>
      <c r="BZ19" s="162">
        <v>0</v>
      </c>
    </row>
    <row r="20" spans="1:78">
      <c r="A20" s="726">
        <f t="shared" si="11"/>
        <v>10</v>
      </c>
      <c r="B20" s="103"/>
      <c r="C20" s="23"/>
      <c r="D20" s="23"/>
      <c r="E20" s="768"/>
      <c r="F20" s="207"/>
      <c r="G20" s="768"/>
      <c r="H20" s="768"/>
      <c r="I20" s="768"/>
      <c r="J20" s="768"/>
      <c r="K20" s="768"/>
      <c r="L20" s="768"/>
      <c r="M20" s="768"/>
      <c r="N20" s="768"/>
      <c r="O20" s="768"/>
      <c r="P20" s="768"/>
      <c r="Q20" s="768"/>
      <c r="R20" s="768"/>
      <c r="S20" s="768"/>
      <c r="T20" s="768"/>
      <c r="U20" s="768"/>
      <c r="V20" s="768"/>
      <c r="W20" s="768"/>
      <c r="X20" s="768"/>
      <c r="Y20" s="768"/>
      <c r="Z20" s="768"/>
      <c r="AA20" s="768"/>
      <c r="AB20" s="857"/>
      <c r="AC20" s="857"/>
      <c r="AD20" s="329"/>
      <c r="AE20" s="75">
        <f t="shared" si="0"/>
        <v>13</v>
      </c>
      <c r="AF20" s="1175"/>
      <c r="AG20" s="1177"/>
      <c r="AH20" s="75"/>
      <c r="AJ20" s="75">
        <f t="shared" si="1"/>
        <v>13</v>
      </c>
      <c r="AK20" s="1177"/>
      <c r="AL20" s="1177"/>
      <c r="AM20" s="75"/>
      <c r="AO20" s="75">
        <f t="shared" si="2"/>
        <v>13</v>
      </c>
      <c r="AP20" s="75"/>
      <c r="AQ20" s="75"/>
      <c r="AR20" s="75"/>
      <c r="AT20" s="75">
        <f t="shared" si="3"/>
        <v>13</v>
      </c>
      <c r="AU20" s="75"/>
      <c r="AV20" s="75"/>
      <c r="AW20" s="75"/>
      <c r="AY20" s="75">
        <f t="shared" si="4"/>
        <v>13</v>
      </c>
      <c r="AZ20" s="75"/>
      <c r="BA20" s="75"/>
      <c r="BB20" s="75"/>
      <c r="BD20" s="75">
        <f t="shared" si="5"/>
        <v>13</v>
      </c>
      <c r="BE20" s="75"/>
      <c r="BF20" s="75"/>
      <c r="BG20" s="75"/>
      <c r="BI20" s="75">
        <f t="shared" si="6"/>
        <v>13</v>
      </c>
      <c r="BJ20" s="75"/>
      <c r="BK20" s="75"/>
      <c r="BL20" s="75"/>
      <c r="BN20" s="75">
        <f t="shared" si="7"/>
        <v>13</v>
      </c>
      <c r="BO20" s="75"/>
      <c r="BP20" s="75"/>
      <c r="BQ20" s="75"/>
      <c r="BS20" s="75">
        <f t="shared" si="8"/>
        <v>13</v>
      </c>
      <c r="BT20" s="75"/>
      <c r="BU20" s="75"/>
      <c r="BV20" s="75"/>
      <c r="BX20" s="1773">
        <f t="shared" si="10"/>
        <v>0</v>
      </c>
      <c r="BY20" s="857">
        <v>0</v>
      </c>
      <c r="BZ20" s="162">
        <v>0</v>
      </c>
    </row>
    <row r="21" spans="1:78">
      <c r="A21" s="726">
        <f t="shared" si="11"/>
        <v>11</v>
      </c>
      <c r="B21" s="7">
        <v>866</v>
      </c>
      <c r="C21" s="23" t="str">
        <f>VLOOKUP(B21,'Stmt H'!$B:$D,3,FALSE)</f>
        <v>Maintenance of Communication Equipment</v>
      </c>
      <c r="D21" s="23"/>
      <c r="E21" s="768">
        <f>HLOOKUP(Attach,$AF$8:$BG$205,AE21,FALSE)</f>
        <v>2.04</v>
      </c>
      <c r="F21" s="207"/>
      <c r="G21" s="768">
        <f>HLOOKUP(Attach,$AK$8:$AM$205,AJ21,FALSE)</f>
        <v>4.6174999999999855E-2</v>
      </c>
      <c r="H21" s="768"/>
      <c r="I21" s="768">
        <f>HLOOKUP(Attach,$AP$8:$AR$205,AO21,FALSE)</f>
        <v>-0.10167499999999974</v>
      </c>
      <c r="J21" s="768"/>
      <c r="K21" s="768">
        <f>HLOOKUP(Attach,$AU$8:$AW$205,AT21,FALSE)</f>
        <v>0</v>
      </c>
      <c r="L21" s="768"/>
      <c r="M21" s="768">
        <f>HLOOKUP(Attach,$AZ$8:$BB$205,AY21,FALSE)</f>
        <v>0</v>
      </c>
      <c r="N21" s="768"/>
      <c r="O21" s="768">
        <f>HLOOKUP(Attach,$BE$8:$BG$205,BD21,FALSE)</f>
        <v>0</v>
      </c>
      <c r="P21" s="768"/>
      <c r="Q21" s="768">
        <f>HLOOKUP(Attach,$BJ$8:$BL$205,BI21,FALSE)</f>
        <v>0</v>
      </c>
      <c r="R21" s="768"/>
      <c r="S21" s="768">
        <f>HLOOKUP(Attach,$BO$8:$BQ$205,BN21,FALSE)</f>
        <v>0</v>
      </c>
      <c r="T21" s="768"/>
      <c r="U21" s="768">
        <f>HLOOKUP(Attach,$BT$8:$BV$205,BS21,FALSE)</f>
        <v>0</v>
      </c>
      <c r="V21" s="768"/>
      <c r="W21" s="768">
        <v>0</v>
      </c>
      <c r="X21" s="768"/>
      <c r="Y21" s="768">
        <v>0</v>
      </c>
      <c r="Z21" s="768"/>
      <c r="AA21" s="768">
        <f>G21+E21+I21+K21+M21+O21+Q21+S21+U21+W21+Y21</f>
        <v>1.9845000000000002</v>
      </c>
      <c r="AB21" s="857"/>
      <c r="AC21" s="857">
        <f>AA21-E21</f>
        <v>-5.5499999999999883E-2</v>
      </c>
      <c r="AD21" s="329"/>
      <c r="AE21" s="75">
        <f t="shared" si="0"/>
        <v>14</v>
      </c>
      <c r="AF21" s="1168">
        <v>2.04</v>
      </c>
      <c r="AG21" s="1176">
        <v>0</v>
      </c>
      <c r="AH21" s="937">
        <f>+AF21++AG21</f>
        <v>2.04</v>
      </c>
      <c r="AJ21" s="75">
        <f t="shared" si="1"/>
        <v>14</v>
      </c>
      <c r="AK21" s="1176">
        <v>4.6174999999999855E-2</v>
      </c>
      <c r="AL21" s="1176">
        <v>0</v>
      </c>
      <c r="AM21" s="937">
        <f>+AK21++AL21</f>
        <v>4.6174999999999855E-2</v>
      </c>
      <c r="AO21" s="75">
        <f t="shared" si="2"/>
        <v>14</v>
      </c>
      <c r="AP21" s="1176">
        <v>-1.2249999999999872E-2</v>
      </c>
      <c r="AQ21" s="1176">
        <v>0</v>
      </c>
      <c r="AR21" s="937">
        <f>IF($AR$1="Y",BX21,AP21++AQ21)</f>
        <v>-0.10167499999999974</v>
      </c>
      <c r="AT21" s="75">
        <f t="shared" si="3"/>
        <v>14</v>
      </c>
      <c r="AU21" s="1176"/>
      <c r="AV21" s="1176"/>
      <c r="AW21" s="937">
        <f>+AU21++AV21</f>
        <v>0</v>
      </c>
      <c r="AY21" s="75">
        <f t="shared" si="4"/>
        <v>14</v>
      </c>
      <c r="AZ21" s="1176"/>
      <c r="BA21" s="1176"/>
      <c r="BB21" s="937">
        <f>+AZ21++BA21</f>
        <v>0</v>
      </c>
      <c r="BD21" s="75">
        <f t="shared" si="5"/>
        <v>14</v>
      </c>
      <c r="BE21" s="1176"/>
      <c r="BF21" s="1176"/>
      <c r="BG21" s="937">
        <f>+BE21++BF21</f>
        <v>0</v>
      </c>
      <c r="BI21" s="75">
        <f t="shared" si="6"/>
        <v>14</v>
      </c>
      <c r="BJ21" s="1176"/>
      <c r="BK21" s="1176"/>
      <c r="BL21" s="937">
        <f>+BJ21++BK21</f>
        <v>0</v>
      </c>
      <c r="BN21" s="75">
        <f t="shared" si="7"/>
        <v>14</v>
      </c>
      <c r="BO21" s="1176"/>
      <c r="BP21" s="1176"/>
      <c r="BQ21" s="937">
        <f>+BO21++BP21</f>
        <v>0</v>
      </c>
      <c r="BS21" s="75">
        <f t="shared" si="8"/>
        <v>14</v>
      </c>
      <c r="BT21" s="1176"/>
      <c r="BU21" s="1176"/>
      <c r="BV21" s="937">
        <f>+BT21++BU21</f>
        <v>0</v>
      </c>
      <c r="BX21" s="1773">
        <f t="shared" si="10"/>
        <v>-0.10167499999999974</v>
      </c>
      <c r="BY21" s="857">
        <v>-0.10167499999999974</v>
      </c>
      <c r="BZ21" s="162">
        <v>0</v>
      </c>
    </row>
    <row r="22" spans="1:78">
      <c r="A22" s="726">
        <f t="shared" si="11"/>
        <v>12</v>
      </c>
      <c r="B22" s="7"/>
      <c r="C22" s="23"/>
      <c r="D22" s="23"/>
      <c r="E22" s="768"/>
      <c r="F22" s="207"/>
      <c r="G22" s="768"/>
      <c r="H22" s="768"/>
      <c r="I22" s="768"/>
      <c r="J22" s="768"/>
      <c r="K22" s="768"/>
      <c r="L22" s="768"/>
      <c r="M22" s="768"/>
      <c r="N22" s="768"/>
      <c r="O22" s="768"/>
      <c r="P22" s="768"/>
      <c r="Q22" s="768"/>
      <c r="R22" s="768"/>
      <c r="S22" s="768"/>
      <c r="T22" s="768"/>
      <c r="U22" s="768"/>
      <c r="V22" s="768"/>
      <c r="W22" s="768"/>
      <c r="X22" s="768"/>
      <c r="Y22" s="768"/>
      <c r="Z22" s="768"/>
      <c r="AA22" s="768"/>
      <c r="AB22" s="857"/>
      <c r="AC22" s="857"/>
      <c r="AD22" s="329"/>
      <c r="AE22" s="75">
        <f t="shared" si="0"/>
        <v>15</v>
      </c>
      <c r="AF22" s="1175"/>
      <c r="AG22" s="1177"/>
      <c r="AH22" s="75"/>
      <c r="AJ22" s="75">
        <f t="shared" si="1"/>
        <v>15</v>
      </c>
      <c r="AK22" s="1177"/>
      <c r="AL22" s="1177"/>
      <c r="AO22" s="75">
        <f t="shared" si="2"/>
        <v>15</v>
      </c>
      <c r="AP22" s="75"/>
      <c r="AQ22" s="75"/>
      <c r="AT22" s="75">
        <f t="shared" si="3"/>
        <v>15</v>
      </c>
      <c r="AU22" s="75"/>
      <c r="AV22" s="75"/>
      <c r="AY22" s="75">
        <f t="shared" si="4"/>
        <v>15</v>
      </c>
      <c r="AZ22" s="75"/>
      <c r="BA22" s="75"/>
      <c r="BD22" s="75">
        <f t="shared" si="5"/>
        <v>15</v>
      </c>
      <c r="BE22" s="75"/>
      <c r="BF22" s="75"/>
      <c r="BI22" s="75">
        <f t="shared" si="6"/>
        <v>15</v>
      </c>
      <c r="BJ22" s="75"/>
      <c r="BK22" s="75"/>
      <c r="BN22" s="75">
        <f t="shared" si="7"/>
        <v>15</v>
      </c>
      <c r="BO22" s="75"/>
      <c r="BP22" s="75"/>
      <c r="BS22" s="75">
        <f t="shared" si="8"/>
        <v>15</v>
      </c>
      <c r="BT22" s="75"/>
      <c r="BU22" s="75"/>
      <c r="BX22" s="1773">
        <f t="shared" si="10"/>
        <v>0</v>
      </c>
      <c r="BY22" s="857">
        <v>0</v>
      </c>
      <c r="BZ22" s="162">
        <v>0</v>
      </c>
    </row>
    <row r="23" spans="1:78">
      <c r="A23" s="726">
        <f t="shared" si="11"/>
        <v>13</v>
      </c>
      <c r="B23" s="7">
        <v>870</v>
      </c>
      <c r="C23" s="23" t="str">
        <f>VLOOKUP(B23,'Stmt H'!$B:$D,3,FALSE)</f>
        <v>Dist. Operating and Supervision Engineering</v>
      </c>
      <c r="D23" s="23"/>
      <c r="E23" s="768">
        <f>HLOOKUP(Attach,$AF$8:$BG$205,AE23,FALSE)</f>
        <v>1658969.7000000002</v>
      </c>
      <c r="F23" s="207"/>
      <c r="G23" s="768">
        <f>HLOOKUP(Attach,$AK$8:$AM$205,AJ23,FALSE)</f>
        <v>4826.2092959998408</v>
      </c>
      <c r="H23" s="768"/>
      <c r="I23" s="768">
        <f>HLOOKUP(Attach,$AP$8:$AR$205,AO23,FALSE)</f>
        <v>-24182.620254000067</v>
      </c>
      <c r="J23" s="768"/>
      <c r="K23" s="768">
        <f>HLOOKUP(Attach,$AU$8:$AW$205,AT23,FALSE)</f>
        <v>0</v>
      </c>
      <c r="L23" s="768"/>
      <c r="M23" s="768">
        <f>HLOOKUP(Attach,$AZ$8:$BB$205,AY23,FALSE)</f>
        <v>0</v>
      </c>
      <c r="N23" s="768"/>
      <c r="O23" s="768">
        <f>HLOOKUP(Attach,$BE$8:$BG$205,BD23,FALSE)</f>
        <v>0</v>
      </c>
      <c r="P23" s="768"/>
      <c r="Q23" s="768">
        <f>HLOOKUP(Attach,$BJ$8:$BL$205,BI23,FALSE)</f>
        <v>0</v>
      </c>
      <c r="R23" s="768"/>
      <c r="S23" s="768">
        <f>HLOOKUP(Attach,$BO$8:$BQ$205,BN23,FALSE)</f>
        <v>0</v>
      </c>
      <c r="T23" s="768"/>
      <c r="U23" s="768">
        <f>HLOOKUP(Attach,$BT$8:$BV$205,BS23,FALSE)</f>
        <v>0</v>
      </c>
      <c r="V23" s="768"/>
      <c r="W23" s="768">
        <v>0</v>
      </c>
      <c r="X23" s="768"/>
      <c r="Y23" s="768">
        <v>0</v>
      </c>
      <c r="Z23" s="768"/>
      <c r="AA23" s="768">
        <f>G23+E23+I23+K23+M23+O23+Q23+S23+U23+W23+Y23</f>
        <v>1639613.2890419997</v>
      </c>
      <c r="AB23" s="857"/>
      <c r="AC23" s="857">
        <f>AA23-E23</f>
        <v>-19356.410958000459</v>
      </c>
      <c r="AD23" s="329"/>
      <c r="AE23" s="75">
        <f t="shared" si="0"/>
        <v>16</v>
      </c>
      <c r="AF23" s="1168">
        <v>911961.74</v>
      </c>
      <c r="AG23" s="1176">
        <v>747007.96000000008</v>
      </c>
      <c r="AH23" s="937">
        <f>+AF23++AG23</f>
        <v>1658969.7000000002</v>
      </c>
      <c r="AJ23" s="75">
        <f t="shared" si="1"/>
        <v>16</v>
      </c>
      <c r="AK23" s="1176">
        <v>19317.064959999989</v>
      </c>
      <c r="AL23" s="1176">
        <v>-14490.855664000148</v>
      </c>
      <c r="AM23" s="937">
        <f>+AK23++AL23</f>
        <v>4826.2092959998408</v>
      </c>
      <c r="AO23" s="75">
        <f t="shared" si="2"/>
        <v>16</v>
      </c>
      <c r="AP23" s="1176">
        <v>-3127.5552140000509</v>
      </c>
      <c r="AQ23" s="1176">
        <v>2235.2977880000835</v>
      </c>
      <c r="AR23" s="937">
        <f>IF($AR$1="Y",BX23,AP23++AQ23)</f>
        <v>-24182.620254000067</v>
      </c>
      <c r="AT23" s="75">
        <f t="shared" si="3"/>
        <v>16</v>
      </c>
      <c r="AU23" s="1176"/>
      <c r="AV23" s="1176"/>
      <c r="AW23" s="937">
        <f>+AU23++AV23</f>
        <v>0</v>
      </c>
      <c r="AY23" s="75">
        <f t="shared" si="4"/>
        <v>16</v>
      </c>
      <c r="AZ23" s="1176"/>
      <c r="BA23" s="1176"/>
      <c r="BB23" s="937">
        <f>+AZ23++BA23</f>
        <v>0</v>
      </c>
      <c r="BD23" s="75">
        <f t="shared" si="5"/>
        <v>16</v>
      </c>
      <c r="BE23" s="1176"/>
      <c r="BF23" s="1176"/>
      <c r="BG23" s="937">
        <f>+BE23++BF23</f>
        <v>0</v>
      </c>
      <c r="BI23" s="75">
        <f t="shared" si="6"/>
        <v>16</v>
      </c>
      <c r="BJ23" s="1176"/>
      <c r="BK23" s="1176"/>
      <c r="BL23" s="937">
        <f>+BJ23++BK23</f>
        <v>0</v>
      </c>
      <c r="BN23" s="75">
        <f t="shared" si="7"/>
        <v>16</v>
      </c>
      <c r="BO23" s="1176"/>
      <c r="BP23" s="1176"/>
      <c r="BQ23" s="937">
        <f>+BO23++BP23</f>
        <v>0</v>
      </c>
      <c r="BS23" s="75">
        <f t="shared" si="8"/>
        <v>16</v>
      </c>
      <c r="BT23" s="1176"/>
      <c r="BU23" s="1176"/>
      <c r="BV23" s="937">
        <f>+BT23++BU23</f>
        <v>0</v>
      </c>
      <c r="BX23" s="1773">
        <f t="shared" si="10"/>
        <v>-24182.620254000067</v>
      </c>
      <c r="BY23" s="857">
        <v>-37355.401368000195</v>
      </c>
      <c r="BZ23" s="162">
        <v>13172.781114000129</v>
      </c>
    </row>
    <row r="24" spans="1:78">
      <c r="A24" s="726">
        <f t="shared" si="11"/>
        <v>14</v>
      </c>
      <c r="B24" s="7"/>
      <c r="C24" s="23"/>
      <c r="D24" s="23"/>
      <c r="E24" s="768"/>
      <c r="F24" s="207"/>
      <c r="G24" s="768"/>
      <c r="H24" s="768"/>
      <c r="I24" s="768"/>
      <c r="J24" s="768"/>
      <c r="K24" s="768"/>
      <c r="L24" s="768"/>
      <c r="M24" s="768"/>
      <c r="N24" s="768"/>
      <c r="O24" s="768"/>
      <c r="P24" s="768"/>
      <c r="Q24" s="768"/>
      <c r="R24" s="768"/>
      <c r="S24" s="768"/>
      <c r="T24" s="768"/>
      <c r="U24" s="768"/>
      <c r="V24" s="768"/>
      <c r="W24" s="768"/>
      <c r="X24" s="768"/>
      <c r="Y24" s="768"/>
      <c r="Z24" s="768"/>
      <c r="AA24" s="768"/>
      <c r="AB24" s="857"/>
      <c r="AC24" s="857"/>
      <c r="AD24" s="329"/>
      <c r="AE24" s="75">
        <f t="shared" si="0"/>
        <v>17</v>
      </c>
      <c r="AF24" s="1175"/>
      <c r="AG24" s="1177"/>
      <c r="AH24" s="75"/>
      <c r="AJ24" s="75">
        <f t="shared" si="1"/>
        <v>17</v>
      </c>
      <c r="AK24" s="1177"/>
      <c r="AL24" s="1177"/>
      <c r="AO24" s="75">
        <f t="shared" si="2"/>
        <v>17</v>
      </c>
      <c r="AP24" s="75"/>
      <c r="AQ24" s="75"/>
      <c r="AT24" s="75">
        <f t="shared" si="3"/>
        <v>17</v>
      </c>
      <c r="AU24" s="75"/>
      <c r="AV24" s="75"/>
      <c r="AY24" s="75">
        <f t="shared" si="4"/>
        <v>17</v>
      </c>
      <c r="AZ24" s="75"/>
      <c r="BA24" s="75"/>
      <c r="BD24" s="75">
        <f t="shared" si="5"/>
        <v>17</v>
      </c>
      <c r="BE24" s="75"/>
      <c r="BF24" s="75"/>
      <c r="BI24" s="75">
        <f t="shared" si="6"/>
        <v>17</v>
      </c>
      <c r="BJ24" s="75"/>
      <c r="BK24" s="75"/>
      <c r="BN24" s="75">
        <f t="shared" si="7"/>
        <v>17</v>
      </c>
      <c r="BO24" s="75"/>
      <c r="BP24" s="75"/>
      <c r="BS24" s="75">
        <f t="shared" si="8"/>
        <v>17</v>
      </c>
      <c r="BT24" s="75"/>
      <c r="BU24" s="75"/>
      <c r="BX24" s="1773">
        <f t="shared" si="10"/>
        <v>0</v>
      </c>
      <c r="BY24" s="857">
        <v>0</v>
      </c>
      <c r="BZ24" s="162">
        <v>0</v>
      </c>
    </row>
    <row r="25" spans="1:78">
      <c r="A25" s="726">
        <f t="shared" si="11"/>
        <v>15</v>
      </c>
      <c r="B25" s="103">
        <v>871</v>
      </c>
      <c r="C25" s="23" t="str">
        <f>VLOOKUP(B25,'Stmt H'!$B:$D,3,FALSE)</f>
        <v>Dist. Load Dispatching</v>
      </c>
      <c r="D25" s="23"/>
      <c r="E25" s="768">
        <f>HLOOKUP(Attach,$AF$8:$BG$205,AE25,FALSE)</f>
        <v>963.42000000000007</v>
      </c>
      <c r="F25" s="207"/>
      <c r="G25" s="768">
        <f>HLOOKUP(Attach,$AK$8:$AM$205,AJ25,FALSE)</f>
        <v>0</v>
      </c>
      <c r="H25" s="768"/>
      <c r="I25" s="768">
        <f>HLOOKUP(Attach,$AP$8:$AR$205,AO25,FALSE)</f>
        <v>0</v>
      </c>
      <c r="J25" s="768"/>
      <c r="K25" s="768">
        <f>HLOOKUP(Attach,$AU$8:$AW$205,AT25,FALSE)</f>
        <v>0</v>
      </c>
      <c r="L25" s="768"/>
      <c r="M25" s="768">
        <f>HLOOKUP(Attach,$AZ$8:$BB$205,AY25,FALSE)</f>
        <v>0</v>
      </c>
      <c r="N25" s="768"/>
      <c r="O25" s="768">
        <f>HLOOKUP(Attach,$BE$8:$BG$205,BD25,FALSE)</f>
        <v>0</v>
      </c>
      <c r="P25" s="768"/>
      <c r="Q25" s="768">
        <f>HLOOKUP(Attach,$BJ$8:$BL$205,BI25,FALSE)</f>
        <v>0</v>
      </c>
      <c r="R25" s="768"/>
      <c r="S25" s="768">
        <f>HLOOKUP(Attach,$BO$8:$BQ$205,BN25,FALSE)</f>
        <v>0</v>
      </c>
      <c r="T25" s="768"/>
      <c r="U25" s="768">
        <f>HLOOKUP(Attach,$BT$8:$BV$205,BS25,FALSE)</f>
        <v>0</v>
      </c>
      <c r="V25" s="768"/>
      <c r="W25" s="768">
        <v>0</v>
      </c>
      <c r="X25" s="768"/>
      <c r="Y25" s="768">
        <v>0</v>
      </c>
      <c r="Z25" s="768"/>
      <c r="AA25" s="768">
        <f>G25+E25+I25+K25+M25+O25+Q25+S25+U25+W25+Y25</f>
        <v>963.42000000000007</v>
      </c>
      <c r="AB25" s="857"/>
      <c r="AC25" s="857">
        <f>AA25-E25</f>
        <v>0</v>
      </c>
      <c r="AD25" s="329"/>
      <c r="AE25" s="75">
        <f t="shared" si="0"/>
        <v>18</v>
      </c>
      <c r="AF25" s="1168">
        <v>0</v>
      </c>
      <c r="AG25" s="1176">
        <v>963.42000000000007</v>
      </c>
      <c r="AH25" s="937">
        <f>+AF25++AG25</f>
        <v>963.42000000000007</v>
      </c>
      <c r="AJ25" s="75">
        <f t="shared" si="1"/>
        <v>18</v>
      </c>
      <c r="AK25" s="1176">
        <v>0</v>
      </c>
      <c r="AL25" s="1176">
        <v>0</v>
      </c>
      <c r="AM25" s="937">
        <f>+AK25++AL25</f>
        <v>0</v>
      </c>
      <c r="AO25" s="75">
        <f t="shared" si="2"/>
        <v>18</v>
      </c>
      <c r="AP25" s="1176">
        <v>0</v>
      </c>
      <c r="AQ25" s="1176">
        <v>0</v>
      </c>
      <c r="AR25" s="937">
        <f>IF($AR$1="Y",BX25,AP25++AQ25)</f>
        <v>0</v>
      </c>
      <c r="AT25" s="75">
        <f t="shared" si="3"/>
        <v>18</v>
      </c>
      <c r="AU25" s="1176"/>
      <c r="AV25" s="1176"/>
      <c r="AW25" s="937">
        <f>+AU25++AV25</f>
        <v>0</v>
      </c>
      <c r="AY25" s="75">
        <f t="shared" si="4"/>
        <v>18</v>
      </c>
      <c r="AZ25" s="1176"/>
      <c r="BA25" s="1176"/>
      <c r="BB25" s="937">
        <f>+AZ25++BA25</f>
        <v>0</v>
      </c>
      <c r="BD25" s="75">
        <f t="shared" si="5"/>
        <v>18</v>
      </c>
      <c r="BE25" s="1176"/>
      <c r="BF25" s="1176"/>
      <c r="BG25" s="937">
        <f>+BE25++BF25</f>
        <v>0</v>
      </c>
      <c r="BI25" s="75">
        <f t="shared" si="6"/>
        <v>18</v>
      </c>
      <c r="BJ25" s="1176"/>
      <c r="BK25" s="1176"/>
      <c r="BL25" s="937">
        <f>+BJ25++BK25</f>
        <v>0</v>
      </c>
      <c r="BN25" s="75">
        <f t="shared" si="7"/>
        <v>18</v>
      </c>
      <c r="BO25" s="1176"/>
      <c r="BP25" s="1176"/>
      <c r="BQ25" s="937">
        <f>+BO25++BP25</f>
        <v>0</v>
      </c>
      <c r="BS25" s="75">
        <f t="shared" si="8"/>
        <v>18</v>
      </c>
      <c r="BT25" s="1176"/>
      <c r="BU25" s="1176"/>
      <c r="BV25" s="937">
        <f>+BT25++BU25</f>
        <v>0</v>
      </c>
      <c r="BX25" s="1773">
        <f t="shared" si="10"/>
        <v>0</v>
      </c>
      <c r="BY25" s="857">
        <v>0</v>
      </c>
      <c r="BZ25" s="162">
        <v>0</v>
      </c>
    </row>
    <row r="26" spans="1:78">
      <c r="A26" s="726">
        <f t="shared" si="11"/>
        <v>16</v>
      </c>
      <c r="B26" s="103"/>
      <c r="C26" s="23"/>
      <c r="D26" s="23"/>
      <c r="E26" s="768"/>
      <c r="F26" s="207"/>
      <c r="G26" s="768"/>
      <c r="H26" s="768"/>
      <c r="I26" s="768"/>
      <c r="J26" s="768"/>
      <c r="K26" s="768"/>
      <c r="L26" s="768"/>
      <c r="M26" s="768"/>
      <c r="N26" s="768"/>
      <c r="O26" s="768"/>
      <c r="P26" s="768"/>
      <c r="Q26" s="768"/>
      <c r="R26" s="768"/>
      <c r="S26" s="768"/>
      <c r="T26" s="768"/>
      <c r="U26" s="768"/>
      <c r="V26" s="768"/>
      <c r="W26" s="768"/>
      <c r="X26" s="768"/>
      <c r="Y26" s="768"/>
      <c r="Z26" s="768"/>
      <c r="AA26" s="768"/>
      <c r="AB26" s="857"/>
      <c r="AC26" s="857"/>
      <c r="AD26" s="329"/>
      <c r="AE26" s="75">
        <f t="shared" si="0"/>
        <v>19</v>
      </c>
      <c r="AF26" s="1175"/>
      <c r="AG26" s="1177"/>
      <c r="AH26" s="75"/>
      <c r="AJ26" s="75">
        <f t="shared" si="1"/>
        <v>19</v>
      </c>
      <c r="AK26" s="1177"/>
      <c r="AL26" s="1177"/>
      <c r="AO26" s="75">
        <f t="shared" si="2"/>
        <v>19</v>
      </c>
      <c r="AP26" s="75"/>
      <c r="AQ26" s="75"/>
      <c r="AT26" s="75">
        <f t="shared" si="3"/>
        <v>19</v>
      </c>
      <c r="AU26" s="75"/>
      <c r="AV26" s="75"/>
      <c r="AY26" s="75">
        <f t="shared" si="4"/>
        <v>19</v>
      </c>
      <c r="AZ26" s="75"/>
      <c r="BA26" s="75"/>
      <c r="BD26" s="75">
        <f t="shared" si="5"/>
        <v>19</v>
      </c>
      <c r="BE26" s="75"/>
      <c r="BF26" s="75"/>
      <c r="BI26" s="75">
        <f t="shared" si="6"/>
        <v>19</v>
      </c>
      <c r="BJ26" s="75"/>
      <c r="BK26" s="75"/>
      <c r="BN26" s="75">
        <f t="shared" si="7"/>
        <v>19</v>
      </c>
      <c r="BO26" s="75"/>
      <c r="BP26" s="75"/>
      <c r="BS26" s="75">
        <f t="shared" si="8"/>
        <v>19</v>
      </c>
      <c r="BT26" s="75"/>
      <c r="BU26" s="75"/>
      <c r="BX26" s="1773">
        <f t="shared" si="10"/>
        <v>0</v>
      </c>
      <c r="BY26" s="857">
        <v>0</v>
      </c>
      <c r="BZ26" s="162">
        <v>0</v>
      </c>
    </row>
    <row r="27" spans="1:78">
      <c r="A27" s="726">
        <f t="shared" si="11"/>
        <v>17</v>
      </c>
      <c r="B27" s="103">
        <v>874</v>
      </c>
      <c r="C27" s="23" t="str">
        <f>VLOOKUP(B27,'Stmt H'!$B:$D,3,FALSE)</f>
        <v>Oper./Inspect Underground Dist. Mains - Gas</v>
      </c>
      <c r="D27" s="23"/>
      <c r="E27" s="768">
        <f>HLOOKUP(Attach,$AF$8:$BG$205,AE27,FALSE)</f>
        <v>9056.8499999999985</v>
      </c>
      <c r="F27" s="207"/>
      <c r="G27" s="768">
        <f>HLOOKUP(Attach,$AK$8:$AM$205,AJ27,FALSE)</f>
        <v>32.88513600000033</v>
      </c>
      <c r="H27" s="768"/>
      <c r="I27" s="768">
        <f>HLOOKUP(Attach,$AP$8:$AR$205,AO27,FALSE)</f>
        <v>-197.66851200000019</v>
      </c>
      <c r="J27" s="768"/>
      <c r="K27" s="768">
        <f>HLOOKUP(Attach,$AU$8:$AW$205,AT27,FALSE)</f>
        <v>0</v>
      </c>
      <c r="L27" s="768"/>
      <c r="M27" s="768">
        <f>HLOOKUP(Attach,$AZ$8:$BB$205,AY27,FALSE)</f>
        <v>0</v>
      </c>
      <c r="N27" s="768"/>
      <c r="O27" s="768">
        <f>HLOOKUP(Attach,$BE$8:$BG$205,BD27,FALSE)</f>
        <v>0</v>
      </c>
      <c r="P27" s="768"/>
      <c r="Q27" s="768">
        <f>HLOOKUP(Attach,$BJ$8:$BL$205,BI27,FALSE)</f>
        <v>0</v>
      </c>
      <c r="R27" s="768"/>
      <c r="S27" s="768">
        <f>HLOOKUP(Attach,$BO$8:$BQ$205,BN27,FALSE)</f>
        <v>0</v>
      </c>
      <c r="T27" s="768"/>
      <c r="U27" s="768">
        <f>HLOOKUP(Attach,$BT$8:$BV$205,BS27,FALSE)</f>
        <v>0</v>
      </c>
      <c r="V27" s="768"/>
      <c r="W27" s="768">
        <v>0</v>
      </c>
      <c r="X27" s="768"/>
      <c r="Y27" s="768">
        <v>0</v>
      </c>
      <c r="Z27" s="768"/>
      <c r="AA27" s="768">
        <f>G27+E27+I27+K27+M27+O27+Q27+S27+U27+W27+Y27</f>
        <v>8892.0666239999991</v>
      </c>
      <c r="AB27" s="857"/>
      <c r="AC27" s="857">
        <f>AA27-E27</f>
        <v>-164.78337599999941</v>
      </c>
      <c r="AD27" s="329"/>
      <c r="AE27" s="75">
        <f t="shared" si="0"/>
        <v>20</v>
      </c>
      <c r="AF27" s="1168">
        <v>4718.3099999999995</v>
      </c>
      <c r="AG27" s="1176">
        <v>4338.5399999999991</v>
      </c>
      <c r="AH27" s="937">
        <f>+AF27++AG27</f>
        <v>9056.8499999999985</v>
      </c>
      <c r="AJ27" s="75">
        <f t="shared" si="1"/>
        <v>20</v>
      </c>
      <c r="AK27" s="1176">
        <v>150.01952000000074</v>
      </c>
      <c r="AL27" s="1176">
        <v>-117.13438400000041</v>
      </c>
      <c r="AM27" s="937">
        <f>+AK27++AL27</f>
        <v>32.88513600000033</v>
      </c>
      <c r="AO27" s="75">
        <f t="shared" si="2"/>
        <v>20</v>
      </c>
      <c r="AP27" s="1176">
        <v>-25.623696000000564</v>
      </c>
      <c r="AQ27" s="1176">
        <v>18.302640000000792</v>
      </c>
      <c r="AR27" s="937">
        <f>IF($AR$1="Y",BX27,AP27++AQ27)</f>
        <v>-197.66851200000019</v>
      </c>
      <c r="AT27" s="75">
        <f t="shared" si="3"/>
        <v>20</v>
      </c>
      <c r="AU27" s="1176"/>
      <c r="AV27" s="1176"/>
      <c r="AW27" s="937">
        <f>+AU27++AV27</f>
        <v>0</v>
      </c>
      <c r="AY27" s="75">
        <f t="shared" si="4"/>
        <v>20</v>
      </c>
      <c r="AZ27" s="1176"/>
      <c r="BA27" s="1176"/>
      <c r="BB27" s="937">
        <f>+AZ27++BA27</f>
        <v>0</v>
      </c>
      <c r="BD27" s="75">
        <f t="shared" si="5"/>
        <v>20</v>
      </c>
      <c r="BE27" s="1176"/>
      <c r="BF27" s="1176"/>
      <c r="BG27" s="937">
        <f>+BE27++BF27</f>
        <v>0</v>
      </c>
      <c r="BI27" s="75">
        <f t="shared" si="6"/>
        <v>20</v>
      </c>
      <c r="BJ27" s="1176"/>
      <c r="BK27" s="1176"/>
      <c r="BL27" s="937">
        <f>+BJ27++BK27</f>
        <v>0</v>
      </c>
      <c r="BN27" s="75">
        <f t="shared" si="7"/>
        <v>20</v>
      </c>
      <c r="BO27" s="1176"/>
      <c r="BP27" s="1176"/>
      <c r="BQ27" s="937">
        <f>+BO27++BP27</f>
        <v>0</v>
      </c>
      <c r="BS27" s="75">
        <f t="shared" si="8"/>
        <v>20</v>
      </c>
      <c r="BT27" s="1176"/>
      <c r="BU27" s="1176"/>
      <c r="BV27" s="937">
        <f>+BT27++BU27</f>
        <v>0</v>
      </c>
      <c r="BX27" s="1773">
        <f t="shared" si="10"/>
        <v>-197.66851200000019</v>
      </c>
      <c r="BY27" s="857">
        <v>-300.16329600000063</v>
      </c>
      <c r="BZ27" s="162">
        <v>102.49478400000044</v>
      </c>
    </row>
    <row r="28" spans="1:78">
      <c r="A28" s="726">
        <f t="shared" si="11"/>
        <v>18</v>
      </c>
      <c r="B28" s="103"/>
      <c r="C28" s="23"/>
      <c r="D28" s="23"/>
      <c r="E28" s="768"/>
      <c r="F28" s="207"/>
      <c r="G28" s="768"/>
      <c r="H28" s="768"/>
      <c r="I28" s="768"/>
      <c r="J28" s="768"/>
      <c r="K28" s="768"/>
      <c r="L28" s="768"/>
      <c r="M28" s="768"/>
      <c r="N28" s="768"/>
      <c r="O28" s="768"/>
      <c r="P28" s="768"/>
      <c r="Q28" s="768"/>
      <c r="R28" s="768"/>
      <c r="S28" s="768"/>
      <c r="T28" s="768"/>
      <c r="U28" s="768"/>
      <c r="V28" s="768"/>
      <c r="W28" s="768"/>
      <c r="X28" s="768"/>
      <c r="Y28" s="768"/>
      <c r="Z28" s="768"/>
      <c r="AA28" s="768"/>
      <c r="AB28" s="857"/>
      <c r="AC28" s="857"/>
      <c r="AD28" s="329"/>
      <c r="AE28" s="75">
        <f t="shared" si="0"/>
        <v>21</v>
      </c>
      <c r="AF28" s="1175"/>
      <c r="AG28" s="1177"/>
      <c r="AH28" s="75"/>
      <c r="AJ28" s="75">
        <f t="shared" si="1"/>
        <v>21</v>
      </c>
      <c r="AK28" s="1177"/>
      <c r="AL28" s="1177"/>
      <c r="AO28" s="75">
        <f t="shared" si="2"/>
        <v>21</v>
      </c>
      <c r="AP28" s="75"/>
      <c r="AQ28" s="75"/>
      <c r="AT28" s="75">
        <f t="shared" si="3"/>
        <v>21</v>
      </c>
      <c r="AU28" s="75"/>
      <c r="AV28" s="75"/>
      <c r="AY28" s="75">
        <f t="shared" si="4"/>
        <v>21</v>
      </c>
      <c r="AZ28" s="75"/>
      <c r="BA28" s="75"/>
      <c r="BD28" s="75">
        <f t="shared" si="5"/>
        <v>21</v>
      </c>
      <c r="BE28" s="75"/>
      <c r="BF28" s="75"/>
      <c r="BI28" s="75">
        <f t="shared" si="6"/>
        <v>21</v>
      </c>
      <c r="BJ28" s="75"/>
      <c r="BK28" s="75"/>
      <c r="BN28" s="75">
        <f t="shared" si="7"/>
        <v>21</v>
      </c>
      <c r="BO28" s="75"/>
      <c r="BP28" s="75"/>
      <c r="BS28" s="75">
        <f t="shared" si="8"/>
        <v>21</v>
      </c>
      <c r="BT28" s="75"/>
      <c r="BU28" s="75"/>
      <c r="BX28" s="1773">
        <f t="shared" si="10"/>
        <v>0</v>
      </c>
      <c r="BY28" s="857">
        <v>0</v>
      </c>
      <c r="BZ28" s="162">
        <v>0</v>
      </c>
    </row>
    <row r="29" spans="1:78">
      <c r="A29" s="726">
        <f t="shared" si="11"/>
        <v>19</v>
      </c>
      <c r="B29" s="103">
        <v>875</v>
      </c>
      <c r="C29" s="23" t="str">
        <f>VLOOKUP(B29,'Stmt H'!$B:$D,3,FALSE)</f>
        <v>Dist. Measuring &amp; Regulating Station Expense - General</v>
      </c>
      <c r="D29" s="23"/>
      <c r="E29" s="768">
        <f>HLOOKUP(Attach,$AF$8:$BG$205,AE29,FALSE)</f>
        <v>0</v>
      </c>
      <c r="F29" s="207"/>
      <c r="G29" s="768">
        <f>HLOOKUP(Attach,$AK$8:$AM$205,AJ29,FALSE)</f>
        <v>0</v>
      </c>
      <c r="H29" s="768"/>
      <c r="I29" s="768">
        <f>HLOOKUP(Attach,$AP$8:$AR$205,AO29,FALSE)</f>
        <v>0</v>
      </c>
      <c r="J29" s="768"/>
      <c r="K29" s="768">
        <f>HLOOKUP(Attach,$AU$8:$AW$205,AT29,FALSE)</f>
        <v>0</v>
      </c>
      <c r="L29" s="768"/>
      <c r="M29" s="768">
        <f>HLOOKUP(Attach,$AZ$8:$BB$205,AY29,FALSE)</f>
        <v>0</v>
      </c>
      <c r="N29" s="768"/>
      <c r="O29" s="768">
        <f>HLOOKUP(Attach,$BE$8:$BG$205,BD29,FALSE)</f>
        <v>0</v>
      </c>
      <c r="P29" s="768"/>
      <c r="Q29" s="768">
        <f>HLOOKUP(Attach,$BJ$8:$BL$205,BI29,FALSE)</f>
        <v>0</v>
      </c>
      <c r="R29" s="768"/>
      <c r="S29" s="768">
        <f>HLOOKUP(Attach,$BO$8:$BQ$205,BN29,FALSE)</f>
        <v>0</v>
      </c>
      <c r="T29" s="768"/>
      <c r="U29" s="768">
        <f>HLOOKUP(Attach,$BT$8:$BV$205,BS29,FALSE)</f>
        <v>0</v>
      </c>
      <c r="V29" s="768"/>
      <c r="W29" s="768">
        <v>0</v>
      </c>
      <c r="X29" s="768"/>
      <c r="Y29" s="768">
        <v>0</v>
      </c>
      <c r="Z29" s="768"/>
      <c r="AA29" s="768">
        <f>G29+E29+I29+K29+M29+O29+Q29+S29+U29+W29+Y29</f>
        <v>0</v>
      </c>
      <c r="AB29" s="857"/>
      <c r="AC29" s="857">
        <f>AA29-E29</f>
        <v>0</v>
      </c>
      <c r="AD29" s="329"/>
      <c r="AE29" s="75">
        <f t="shared" si="0"/>
        <v>22</v>
      </c>
      <c r="AF29" s="1168">
        <v>0</v>
      </c>
      <c r="AG29" s="1176">
        <v>0</v>
      </c>
      <c r="AH29" s="937">
        <f>+AF29++AG29</f>
        <v>0</v>
      </c>
      <c r="AJ29" s="75">
        <f t="shared" si="1"/>
        <v>22</v>
      </c>
      <c r="AK29" s="1176">
        <v>0</v>
      </c>
      <c r="AL29" s="1176">
        <v>0</v>
      </c>
      <c r="AM29" s="937">
        <f>+AK29++AL29</f>
        <v>0</v>
      </c>
      <c r="AO29" s="75">
        <f t="shared" si="2"/>
        <v>22</v>
      </c>
      <c r="AP29" s="1176">
        <v>0</v>
      </c>
      <c r="AQ29" s="1176">
        <v>0</v>
      </c>
      <c r="AR29" s="937">
        <f>IF($AR$1="Y",BX29,AP29++AQ29)</f>
        <v>0</v>
      </c>
      <c r="AT29" s="75">
        <f t="shared" si="3"/>
        <v>22</v>
      </c>
      <c r="AU29" s="1176"/>
      <c r="AV29" s="1176"/>
      <c r="AW29" s="937">
        <f>+AU29++AV29</f>
        <v>0</v>
      </c>
      <c r="AY29" s="75">
        <f t="shared" si="4"/>
        <v>22</v>
      </c>
      <c r="AZ29" s="1176"/>
      <c r="BA29" s="1176"/>
      <c r="BB29" s="937">
        <f>+AZ29++BA29</f>
        <v>0</v>
      </c>
      <c r="BD29" s="75">
        <f t="shared" si="5"/>
        <v>22</v>
      </c>
      <c r="BE29" s="1176"/>
      <c r="BF29" s="1176"/>
      <c r="BG29" s="937">
        <f>+BE29++BF29</f>
        <v>0</v>
      </c>
      <c r="BI29" s="75">
        <f t="shared" si="6"/>
        <v>22</v>
      </c>
      <c r="BJ29" s="1176"/>
      <c r="BK29" s="1176"/>
      <c r="BL29" s="937">
        <f>+BJ29++BK29</f>
        <v>0</v>
      </c>
      <c r="BN29" s="75">
        <f t="shared" si="7"/>
        <v>22</v>
      </c>
      <c r="BO29" s="1176"/>
      <c r="BP29" s="1176"/>
      <c r="BQ29" s="937">
        <f>+BO29++BP29</f>
        <v>0</v>
      </c>
      <c r="BS29" s="75">
        <f t="shared" si="8"/>
        <v>22</v>
      </c>
      <c r="BT29" s="1176"/>
      <c r="BU29" s="1176"/>
      <c r="BV29" s="937">
        <f>+BT29++BU29</f>
        <v>0</v>
      </c>
      <c r="BX29" s="1773">
        <f t="shared" si="10"/>
        <v>0</v>
      </c>
      <c r="BY29" s="857">
        <v>0</v>
      </c>
      <c r="BZ29" s="162">
        <v>0</v>
      </c>
    </row>
    <row r="30" spans="1:78">
      <c r="A30" s="726">
        <f t="shared" si="11"/>
        <v>20</v>
      </c>
      <c r="B30" s="103"/>
      <c r="C30" s="23"/>
      <c r="D30" s="23"/>
      <c r="E30" s="768"/>
      <c r="F30" s="207"/>
      <c r="G30" s="768"/>
      <c r="H30" s="768"/>
      <c r="I30" s="768"/>
      <c r="J30" s="768"/>
      <c r="K30" s="768"/>
      <c r="L30" s="768"/>
      <c r="M30" s="768"/>
      <c r="N30" s="768"/>
      <c r="O30" s="768"/>
      <c r="P30" s="768"/>
      <c r="Q30" s="768"/>
      <c r="R30" s="768"/>
      <c r="S30" s="768"/>
      <c r="T30" s="768"/>
      <c r="U30" s="768"/>
      <c r="V30" s="768"/>
      <c r="W30" s="768"/>
      <c r="X30" s="768"/>
      <c r="Y30" s="768"/>
      <c r="Z30" s="768"/>
      <c r="AA30" s="768"/>
      <c r="AB30" s="857"/>
      <c r="AC30" s="857"/>
      <c r="AD30" s="329"/>
      <c r="AE30" s="75">
        <f t="shared" si="0"/>
        <v>23</v>
      </c>
      <c r="AF30" s="1175"/>
      <c r="AG30" s="1177"/>
      <c r="AH30" s="75"/>
      <c r="AJ30" s="75">
        <f t="shared" si="1"/>
        <v>23</v>
      </c>
      <c r="AK30" s="1177"/>
      <c r="AL30" s="1177"/>
      <c r="AM30" s="75"/>
      <c r="AO30" s="75">
        <f t="shared" si="2"/>
        <v>23</v>
      </c>
      <c r="AP30" s="75"/>
      <c r="AQ30" s="75"/>
      <c r="AR30" s="75"/>
      <c r="AT30" s="75">
        <f t="shared" si="3"/>
        <v>23</v>
      </c>
      <c r="AU30" s="75"/>
      <c r="AV30" s="75"/>
      <c r="AW30" s="75"/>
      <c r="AY30" s="75">
        <f t="shared" si="4"/>
        <v>23</v>
      </c>
      <c r="AZ30" s="75"/>
      <c r="BA30" s="75"/>
      <c r="BB30" s="75"/>
      <c r="BD30" s="75">
        <f t="shared" si="5"/>
        <v>23</v>
      </c>
      <c r="BE30" s="75"/>
      <c r="BF30" s="75"/>
      <c r="BG30" s="75"/>
      <c r="BI30" s="75">
        <f t="shared" si="6"/>
        <v>23</v>
      </c>
      <c r="BJ30" s="75"/>
      <c r="BK30" s="75"/>
      <c r="BL30" s="75"/>
      <c r="BN30" s="75">
        <f t="shared" si="7"/>
        <v>23</v>
      </c>
      <c r="BO30" s="75"/>
      <c r="BP30" s="75"/>
      <c r="BQ30" s="75"/>
      <c r="BS30" s="75">
        <f t="shared" si="8"/>
        <v>23</v>
      </c>
      <c r="BT30" s="75"/>
      <c r="BU30" s="75"/>
      <c r="BV30" s="75"/>
      <c r="BX30" s="1773">
        <f t="shared" si="10"/>
        <v>0</v>
      </c>
      <c r="BY30" s="857">
        <v>0</v>
      </c>
      <c r="BZ30" s="162">
        <v>0</v>
      </c>
    </row>
    <row r="31" spans="1:78">
      <c r="A31" s="726">
        <f t="shared" si="11"/>
        <v>21</v>
      </c>
      <c r="B31" s="1172">
        <v>878</v>
      </c>
      <c r="C31" s="23" t="str">
        <f>VLOOKUP(B31,'Stmt H'!$B:$D,3,FALSE)</f>
        <v>Oper./Inspect Meters &amp; Collect Data - Gas</v>
      </c>
      <c r="D31" s="23"/>
      <c r="E31" s="768">
        <f>HLOOKUP(Attach,$AF$8:$BG$205,AE31,FALSE)</f>
        <v>891.2299999999999</v>
      </c>
      <c r="F31" s="207"/>
      <c r="G31" s="768">
        <f>HLOOKUP(Attach,$AK$8:$AM$205,AJ31,FALSE)</f>
        <v>3.8081970000001775</v>
      </c>
      <c r="H31" s="768"/>
      <c r="I31" s="768">
        <f>HLOOKUP(Attach,$AP$8:$AR$205,AO31,FALSE)</f>
        <v>-22.9273740000001</v>
      </c>
      <c r="J31" s="768"/>
      <c r="K31" s="768">
        <f>HLOOKUP(Attach,$AU$8:$AW$205,AT31,FALSE)</f>
        <v>0</v>
      </c>
      <c r="L31" s="768"/>
      <c r="M31" s="768">
        <f>HLOOKUP(Attach,$AZ$8:$BB$205,AY31,FALSE)</f>
        <v>0</v>
      </c>
      <c r="N31" s="768"/>
      <c r="O31" s="768">
        <f>HLOOKUP(Attach,$BE$8:$BG$205,BD31,FALSE)</f>
        <v>0</v>
      </c>
      <c r="P31" s="768"/>
      <c r="Q31" s="768">
        <f>HLOOKUP(Attach,$BJ$8:$BL$205,BI31,FALSE)</f>
        <v>0</v>
      </c>
      <c r="R31" s="768"/>
      <c r="S31" s="768">
        <f>HLOOKUP(Attach,$BO$8:$BQ$205,BN31,FALSE)</f>
        <v>0</v>
      </c>
      <c r="T31" s="768"/>
      <c r="U31" s="768">
        <f>HLOOKUP(Attach,$BT$8:$BV$205,BS31,FALSE)</f>
        <v>0</v>
      </c>
      <c r="V31" s="768"/>
      <c r="W31" s="768">
        <v>0</v>
      </c>
      <c r="X31" s="768"/>
      <c r="Y31" s="768">
        <v>0</v>
      </c>
      <c r="Z31" s="768"/>
      <c r="AA31" s="768">
        <f>G31+E31+I31+K31+M31+O31+Q31+S31+U31+W31+Y31</f>
        <v>872.11082299999998</v>
      </c>
      <c r="AB31" s="857"/>
      <c r="AC31" s="857">
        <f>AA31-E31</f>
        <v>-19.119176999999922</v>
      </c>
      <c r="AD31" s="329"/>
      <c r="AE31" s="75">
        <f t="shared" si="0"/>
        <v>24</v>
      </c>
      <c r="AF31" s="1168">
        <v>506.04999999999995</v>
      </c>
      <c r="AG31" s="1176">
        <v>385.17999999999995</v>
      </c>
      <c r="AH31" s="937">
        <f>+AF31++AG31</f>
        <v>891.2299999999999</v>
      </c>
      <c r="AJ31" s="75">
        <f t="shared" si="1"/>
        <v>24</v>
      </c>
      <c r="AK31" s="1176">
        <v>17.403790000000072</v>
      </c>
      <c r="AL31" s="1176">
        <v>-13.595592999999894</v>
      </c>
      <c r="AM31" s="937">
        <f>+AK31++AL31</f>
        <v>3.8081970000001775</v>
      </c>
      <c r="AO31" s="75">
        <f t="shared" si="2"/>
        <v>24</v>
      </c>
      <c r="AP31" s="1176">
        <v>-2.9720669999999245</v>
      </c>
      <c r="AQ31" s="1176">
        <v>2.1229049999999461</v>
      </c>
      <c r="AR31" s="937">
        <f>IF($AR$1="Y",BX31,AP31++AQ31)</f>
        <v>-22.9273740000001</v>
      </c>
      <c r="AT31" s="75">
        <f t="shared" si="3"/>
        <v>24</v>
      </c>
      <c r="AU31" s="1176"/>
      <c r="AV31" s="1176"/>
      <c r="AW31" s="937">
        <f>+AU31++AV31</f>
        <v>0</v>
      </c>
      <c r="AY31" s="75">
        <f t="shared" si="4"/>
        <v>24</v>
      </c>
      <c r="AZ31" s="1176"/>
      <c r="BA31" s="1176"/>
      <c r="BB31" s="937">
        <f>+AZ31++BA31</f>
        <v>0</v>
      </c>
      <c r="BD31" s="75">
        <f t="shared" si="5"/>
        <v>24</v>
      </c>
      <c r="BE31" s="1176"/>
      <c r="BF31" s="1176"/>
      <c r="BG31" s="937">
        <f>+BE31++BF31</f>
        <v>0</v>
      </c>
      <c r="BI31" s="75">
        <f t="shared" si="6"/>
        <v>24</v>
      </c>
      <c r="BJ31" s="1176"/>
      <c r="BK31" s="1176"/>
      <c r="BL31" s="937">
        <f>+BJ31++BK31</f>
        <v>0</v>
      </c>
      <c r="BN31" s="75">
        <f t="shared" si="7"/>
        <v>24</v>
      </c>
      <c r="BO31" s="1176"/>
      <c r="BP31" s="1176"/>
      <c r="BQ31" s="937">
        <f>+BO31++BP31</f>
        <v>0</v>
      </c>
      <c r="BS31" s="75">
        <f t="shared" si="8"/>
        <v>24</v>
      </c>
      <c r="BT31" s="1176"/>
      <c r="BU31" s="1176"/>
      <c r="BV31" s="937">
        <f>+BT31++BU31</f>
        <v>0</v>
      </c>
      <c r="BX31" s="1773">
        <f t="shared" si="10"/>
        <v>-22.9273740000001</v>
      </c>
      <c r="BY31" s="857">
        <v>-34.815642000000025</v>
      </c>
      <c r="BZ31" s="162">
        <v>11.888267999999925</v>
      </c>
    </row>
    <row r="32" spans="1:78">
      <c r="A32" s="726">
        <f t="shared" si="11"/>
        <v>22</v>
      </c>
      <c r="B32" s="1172"/>
      <c r="C32" s="23"/>
      <c r="D32" s="23"/>
      <c r="E32" s="768"/>
      <c r="F32" s="207"/>
      <c r="G32" s="768"/>
      <c r="H32" s="768"/>
      <c r="I32" s="768"/>
      <c r="J32" s="768"/>
      <c r="K32" s="768"/>
      <c r="L32" s="768"/>
      <c r="M32" s="768"/>
      <c r="N32" s="768"/>
      <c r="O32" s="768"/>
      <c r="P32" s="768"/>
      <c r="Q32" s="768"/>
      <c r="R32" s="768"/>
      <c r="S32" s="768"/>
      <c r="T32" s="768"/>
      <c r="U32" s="768"/>
      <c r="V32" s="768"/>
      <c r="W32" s="768"/>
      <c r="X32" s="768"/>
      <c r="Y32" s="768"/>
      <c r="Z32" s="768"/>
      <c r="AA32" s="768"/>
      <c r="AB32" s="857"/>
      <c r="AC32" s="857"/>
      <c r="AD32" s="329"/>
      <c r="AE32" s="75">
        <f t="shared" si="0"/>
        <v>25</v>
      </c>
      <c r="AF32" s="1175"/>
      <c r="AG32" s="1177"/>
      <c r="AH32" s="75"/>
      <c r="AJ32" s="75">
        <f t="shared" si="1"/>
        <v>25</v>
      </c>
      <c r="AK32" s="1177"/>
      <c r="AL32" s="1177"/>
      <c r="AO32" s="75">
        <f t="shared" si="2"/>
        <v>25</v>
      </c>
      <c r="AP32" s="75"/>
      <c r="AQ32" s="75"/>
      <c r="AT32" s="75">
        <f t="shared" si="3"/>
        <v>25</v>
      </c>
      <c r="AU32" s="75"/>
      <c r="AV32" s="75"/>
      <c r="AY32" s="75">
        <f t="shared" si="4"/>
        <v>25</v>
      </c>
      <c r="AZ32" s="75"/>
      <c r="BA32" s="75"/>
      <c r="BD32" s="75">
        <f t="shared" si="5"/>
        <v>25</v>
      </c>
      <c r="BE32" s="75"/>
      <c r="BF32" s="75"/>
      <c r="BI32" s="75">
        <f t="shared" si="6"/>
        <v>25</v>
      </c>
      <c r="BJ32" s="75"/>
      <c r="BK32" s="75"/>
      <c r="BN32" s="75">
        <f t="shared" si="7"/>
        <v>25</v>
      </c>
      <c r="BO32" s="75"/>
      <c r="BP32" s="75"/>
      <c r="BS32" s="75">
        <f t="shared" si="8"/>
        <v>25</v>
      </c>
      <c r="BT32" s="75"/>
      <c r="BU32" s="75"/>
      <c r="BX32" s="1773">
        <f t="shared" si="10"/>
        <v>0</v>
      </c>
      <c r="BY32" s="857">
        <v>0</v>
      </c>
      <c r="BZ32" s="162">
        <v>0</v>
      </c>
    </row>
    <row r="33" spans="1:78">
      <c r="A33" s="726">
        <f t="shared" si="11"/>
        <v>23</v>
      </c>
      <c r="B33" s="1172">
        <v>880</v>
      </c>
      <c r="C33" s="23" t="str">
        <f>VLOOKUP(B33,'Stmt H'!$B:$D,3,FALSE)</f>
        <v>Dist. Ops. Other Expenses</v>
      </c>
      <c r="D33" s="23"/>
      <c r="E33" s="768">
        <f>HLOOKUP(Attach,$AF$8:$BG$205,AE33,FALSE)</f>
        <v>693055.53000000014</v>
      </c>
      <c r="F33" s="207"/>
      <c r="G33" s="768">
        <f>HLOOKUP(Attach,$AK$8:$AM$205,AJ33,FALSE)</f>
        <v>450.42826499997318</v>
      </c>
      <c r="H33" s="768"/>
      <c r="I33" s="768">
        <f>HLOOKUP(Attach,$AP$8:$AR$205,AO33,FALSE)</f>
        <v>-2812.9379390000104</v>
      </c>
      <c r="J33" s="768"/>
      <c r="K33" s="768">
        <f>HLOOKUP(Attach,$AU$8:$AW$205,AT33,FALSE)</f>
        <v>0</v>
      </c>
      <c r="L33" s="768"/>
      <c r="M33" s="768">
        <f>HLOOKUP(Attach,$AZ$8:$BB$205,AY33,FALSE)</f>
        <v>0</v>
      </c>
      <c r="N33" s="768"/>
      <c r="O33" s="768">
        <f>HLOOKUP(Attach,$BE$8:$BG$205,BD33,FALSE)</f>
        <v>0</v>
      </c>
      <c r="P33" s="768"/>
      <c r="Q33" s="768">
        <f>HLOOKUP(Attach,$BJ$8:$BL$205,BI33,FALSE)</f>
        <v>0</v>
      </c>
      <c r="R33" s="768"/>
      <c r="S33" s="768">
        <f>HLOOKUP(Attach,$BO$8:$BQ$205,BN33,FALSE)</f>
        <v>0</v>
      </c>
      <c r="T33" s="768"/>
      <c r="U33" s="768">
        <f>HLOOKUP(Attach,$BT$8:$BV$205,BS33,FALSE)</f>
        <v>0</v>
      </c>
      <c r="V33" s="768"/>
      <c r="W33" s="768">
        <v>0</v>
      </c>
      <c r="X33" s="768"/>
      <c r="Y33" s="768">
        <v>0</v>
      </c>
      <c r="Z33" s="768"/>
      <c r="AA33" s="768">
        <f>G33+E33+I33+K33+M33+O33+Q33+S33+U33+W33+Y33</f>
        <v>690693.02032600017</v>
      </c>
      <c r="AB33" s="857"/>
      <c r="AC33" s="857">
        <f>AA33-E33</f>
        <v>-2362.5096739999717</v>
      </c>
      <c r="AD33" s="329"/>
      <c r="AE33" s="75">
        <f t="shared" si="0"/>
        <v>26</v>
      </c>
      <c r="AF33" s="1168">
        <v>92857.77</v>
      </c>
      <c r="AG33" s="1176">
        <v>600197.76000000013</v>
      </c>
      <c r="AH33" s="937">
        <f>+AF33++AG33</f>
        <v>693055.53000000014</v>
      </c>
      <c r="AJ33" s="75">
        <f t="shared" si="1"/>
        <v>26</v>
      </c>
      <c r="AK33" s="1176">
        <v>2138.1919159999816</v>
      </c>
      <c r="AL33" s="1176">
        <v>-1687.7636510000084</v>
      </c>
      <c r="AM33" s="937">
        <f>+AK33++AL33</f>
        <v>450.42826499997318</v>
      </c>
      <c r="AO33" s="75">
        <f t="shared" si="2"/>
        <v>26</v>
      </c>
      <c r="AP33" s="1176">
        <v>-366.00438399999985</v>
      </c>
      <c r="AQ33" s="1176">
        <v>261.60267500000191</v>
      </c>
      <c r="AR33" s="937">
        <f>IF($AR$1="Y",BX33,AP33++AQ33)</f>
        <v>-2812.9379390000104</v>
      </c>
      <c r="AT33" s="75">
        <f t="shared" si="3"/>
        <v>26</v>
      </c>
      <c r="AU33" s="1176"/>
      <c r="AV33" s="1176"/>
      <c r="AW33" s="937">
        <f>+AU33++AV33</f>
        <v>0</v>
      </c>
      <c r="AY33" s="75">
        <f t="shared" si="4"/>
        <v>26</v>
      </c>
      <c r="AZ33" s="1176"/>
      <c r="BA33" s="1176"/>
      <c r="BB33" s="937">
        <f>+AZ33++BA33</f>
        <v>0</v>
      </c>
      <c r="BD33" s="75">
        <f t="shared" si="5"/>
        <v>26</v>
      </c>
      <c r="BE33" s="1176"/>
      <c r="BF33" s="1176"/>
      <c r="BG33" s="937">
        <f>+BE33++BF33</f>
        <v>0</v>
      </c>
      <c r="BI33" s="75">
        <f t="shared" si="6"/>
        <v>26</v>
      </c>
      <c r="BJ33" s="1176"/>
      <c r="BK33" s="1176"/>
      <c r="BL33" s="937">
        <f>+BJ33++BK33</f>
        <v>0</v>
      </c>
      <c r="BN33" s="75">
        <f t="shared" si="7"/>
        <v>26</v>
      </c>
      <c r="BO33" s="1176"/>
      <c r="BP33" s="1176"/>
      <c r="BQ33" s="937">
        <f>+BO33++BP33</f>
        <v>0</v>
      </c>
      <c r="BS33" s="75">
        <f t="shared" si="8"/>
        <v>26</v>
      </c>
      <c r="BT33" s="1176"/>
      <c r="BU33" s="1176"/>
      <c r="BV33" s="937">
        <f>+BT33++BU33</f>
        <v>0</v>
      </c>
      <c r="BX33" s="1773">
        <f t="shared" si="10"/>
        <v>-2812.9379390000104</v>
      </c>
      <c r="BY33" s="857">
        <v>-4296.2125360000064</v>
      </c>
      <c r="BZ33" s="162">
        <v>1483.274596999996</v>
      </c>
    </row>
    <row r="34" spans="1:78">
      <c r="A34" s="726">
        <f t="shared" si="11"/>
        <v>24</v>
      </c>
      <c r="B34" s="1172"/>
      <c r="C34" s="23"/>
      <c r="D34" s="23"/>
      <c r="E34" s="768"/>
      <c r="F34" s="207"/>
      <c r="G34" s="768"/>
      <c r="H34" s="768"/>
      <c r="I34" s="768"/>
      <c r="J34" s="768"/>
      <c r="K34" s="768"/>
      <c r="L34" s="768"/>
      <c r="M34" s="768"/>
      <c r="N34" s="768"/>
      <c r="O34" s="768"/>
      <c r="P34" s="768"/>
      <c r="Q34" s="768"/>
      <c r="R34" s="768"/>
      <c r="S34" s="768"/>
      <c r="T34" s="768"/>
      <c r="U34" s="768"/>
      <c r="V34" s="768"/>
      <c r="W34" s="768"/>
      <c r="X34" s="768"/>
      <c r="Y34" s="768"/>
      <c r="Z34" s="768"/>
      <c r="AA34" s="768"/>
      <c r="AB34" s="857"/>
      <c r="AC34" s="857"/>
      <c r="AD34" s="329"/>
      <c r="AE34" s="75">
        <f t="shared" si="0"/>
        <v>27</v>
      </c>
      <c r="AF34" s="1175"/>
      <c r="AG34" s="1177"/>
      <c r="AH34" s="75"/>
      <c r="AJ34" s="75">
        <f t="shared" si="1"/>
        <v>27</v>
      </c>
      <c r="AK34" s="1177"/>
      <c r="AL34" s="1177"/>
      <c r="AO34" s="75">
        <f t="shared" si="2"/>
        <v>27</v>
      </c>
      <c r="AP34" s="75"/>
      <c r="AQ34" s="75"/>
      <c r="AT34" s="75">
        <f t="shared" si="3"/>
        <v>27</v>
      </c>
      <c r="AU34" s="75"/>
      <c r="AV34" s="75"/>
      <c r="AY34" s="75">
        <f t="shared" si="4"/>
        <v>27</v>
      </c>
      <c r="AZ34" s="75"/>
      <c r="BA34" s="75"/>
      <c r="BD34" s="75">
        <f t="shared" si="5"/>
        <v>27</v>
      </c>
      <c r="BE34" s="75"/>
      <c r="BF34" s="75"/>
      <c r="BI34" s="75">
        <f t="shared" si="6"/>
        <v>27</v>
      </c>
      <c r="BJ34" s="75"/>
      <c r="BK34" s="75"/>
      <c r="BN34" s="75">
        <f t="shared" si="7"/>
        <v>27</v>
      </c>
      <c r="BO34" s="75"/>
      <c r="BP34" s="75"/>
      <c r="BS34" s="75">
        <f t="shared" si="8"/>
        <v>27</v>
      </c>
      <c r="BT34" s="75"/>
      <c r="BU34" s="75"/>
      <c r="BX34" s="1773">
        <f t="shared" si="10"/>
        <v>0</v>
      </c>
      <c r="BY34" s="857">
        <v>0</v>
      </c>
      <c r="BZ34" s="162">
        <v>0</v>
      </c>
    </row>
    <row r="35" spans="1:78">
      <c r="A35" s="726">
        <f t="shared" si="11"/>
        <v>25</v>
      </c>
      <c r="B35" s="1172">
        <v>881</v>
      </c>
      <c r="C35" s="23" t="str">
        <f>VLOOKUP(B35,'Stmt H'!$B:$D,3,FALSE)</f>
        <v>Dist. Oper. Rents</v>
      </c>
      <c r="D35" s="23"/>
      <c r="E35" s="768">
        <f>HLOOKUP(Attach,$AF$8:$BG$205,AE35,FALSE)</f>
        <v>21878.83</v>
      </c>
      <c r="F35" s="207"/>
      <c r="G35" s="768">
        <f>HLOOKUP(Attach,$AK$8:$AM$205,AJ35,FALSE)</f>
        <v>3.5122000000003482</v>
      </c>
      <c r="H35" s="768"/>
      <c r="I35" s="768">
        <f>HLOOKUP(Attach,$AP$8:$AR$205,AO35,FALSE)</f>
        <v>-21.092400000000055</v>
      </c>
      <c r="J35" s="768"/>
      <c r="K35" s="768">
        <f>HLOOKUP(Attach,$AU$8:$AW$205,AT35,FALSE)</f>
        <v>0</v>
      </c>
      <c r="L35" s="768"/>
      <c r="M35" s="768">
        <f>HLOOKUP(Attach,$AZ$8:$BB$205,AY35,FALSE)</f>
        <v>0</v>
      </c>
      <c r="N35" s="768"/>
      <c r="O35" s="768">
        <f>HLOOKUP(Attach,$BE$8:$BG$205,BD35,FALSE)</f>
        <v>0</v>
      </c>
      <c r="P35" s="768"/>
      <c r="Q35" s="768">
        <f>HLOOKUP(Attach,$BJ$8:$BL$205,BI35,FALSE)</f>
        <v>0</v>
      </c>
      <c r="R35" s="768"/>
      <c r="S35" s="768">
        <f>HLOOKUP(Attach,$BO$8:$BQ$205,BN35,FALSE)</f>
        <v>0</v>
      </c>
      <c r="T35" s="768"/>
      <c r="U35" s="768">
        <f>HLOOKUP(Attach,$BT$8:$BV$205,BS35,FALSE)</f>
        <v>0</v>
      </c>
      <c r="V35" s="768"/>
      <c r="W35" s="768">
        <v>0</v>
      </c>
      <c r="X35" s="768"/>
      <c r="Y35" s="768">
        <v>0</v>
      </c>
      <c r="Z35" s="768"/>
      <c r="AA35" s="768">
        <f>G35+E35+I35+K35+M35+O35+Q35+S35+U35+W35+Y35</f>
        <v>21861.249800000001</v>
      </c>
      <c r="AB35" s="857"/>
      <c r="AC35" s="857">
        <f>AA35-E35</f>
        <v>-17.580200000000332</v>
      </c>
      <c r="AD35" s="329"/>
      <c r="AE35" s="75">
        <f t="shared" si="0"/>
        <v>28</v>
      </c>
      <c r="AF35" s="1168">
        <v>605.04</v>
      </c>
      <c r="AG35" s="1176">
        <v>21273.79</v>
      </c>
      <c r="AH35" s="937">
        <f>+AF35++AG35</f>
        <v>21878.83</v>
      </c>
      <c r="AJ35" s="75">
        <f t="shared" si="1"/>
        <v>28</v>
      </c>
      <c r="AK35" s="1176">
        <v>16.014000000000237</v>
      </c>
      <c r="AL35" s="1176">
        <v>-12.501799999999889</v>
      </c>
      <c r="AM35" s="937">
        <f>+AK35++AL35</f>
        <v>3.5122000000003482</v>
      </c>
      <c r="AO35" s="75">
        <f t="shared" si="2"/>
        <v>28</v>
      </c>
      <c r="AP35" s="1176">
        <v>-2.7342000000001008</v>
      </c>
      <c r="AQ35" s="1176">
        <v>1.9529999999999745</v>
      </c>
      <c r="AR35" s="937">
        <f>IF($AR$1="Y",BX35,AP35++AQ35)</f>
        <v>-21.092400000000055</v>
      </c>
      <c r="AT35" s="75">
        <f t="shared" si="3"/>
        <v>28</v>
      </c>
      <c r="AU35" s="1176"/>
      <c r="AV35" s="1176"/>
      <c r="AW35" s="937">
        <f>+AU35++AV35</f>
        <v>0</v>
      </c>
      <c r="AY35" s="75">
        <f t="shared" si="4"/>
        <v>28</v>
      </c>
      <c r="AZ35" s="1176"/>
      <c r="BA35" s="1176"/>
      <c r="BB35" s="937">
        <f>+AZ35++BA35</f>
        <v>0</v>
      </c>
      <c r="BD35" s="75">
        <f t="shared" si="5"/>
        <v>28</v>
      </c>
      <c r="BE35" s="1176"/>
      <c r="BF35" s="1176"/>
      <c r="BG35" s="937">
        <f>+BE35++BF35</f>
        <v>0</v>
      </c>
      <c r="BI35" s="75">
        <f t="shared" si="6"/>
        <v>28</v>
      </c>
      <c r="BJ35" s="1176"/>
      <c r="BK35" s="1176"/>
      <c r="BL35" s="937">
        <f>+BJ35++BK35</f>
        <v>0</v>
      </c>
      <c r="BN35" s="75">
        <f t="shared" si="7"/>
        <v>28</v>
      </c>
      <c r="BO35" s="1176"/>
      <c r="BP35" s="1176"/>
      <c r="BQ35" s="937">
        <f>+BO35++BP35</f>
        <v>0</v>
      </c>
      <c r="BS35" s="75">
        <f t="shared" si="8"/>
        <v>28</v>
      </c>
      <c r="BT35" s="1176"/>
      <c r="BU35" s="1176"/>
      <c r="BV35" s="937">
        <f>+BT35++BU35</f>
        <v>0</v>
      </c>
      <c r="BX35" s="1773">
        <f t="shared" si="10"/>
        <v>-21.092400000000055</v>
      </c>
      <c r="BY35" s="857">
        <v>-32.02920000000006</v>
      </c>
      <c r="BZ35" s="162">
        <v>10.936800000000005</v>
      </c>
    </row>
    <row r="36" spans="1:78">
      <c r="A36" s="726">
        <f t="shared" si="11"/>
        <v>26</v>
      </c>
      <c r="B36" s="1172"/>
      <c r="C36" s="23"/>
      <c r="D36" s="23"/>
      <c r="E36" s="768"/>
      <c r="F36" s="207"/>
      <c r="G36" s="768"/>
      <c r="H36" s="768"/>
      <c r="I36" s="768"/>
      <c r="J36" s="768"/>
      <c r="K36" s="768"/>
      <c r="L36" s="768"/>
      <c r="M36" s="768"/>
      <c r="N36" s="768"/>
      <c r="O36" s="768"/>
      <c r="P36" s="768"/>
      <c r="Q36" s="768"/>
      <c r="R36" s="768"/>
      <c r="S36" s="768"/>
      <c r="T36" s="768"/>
      <c r="U36" s="768"/>
      <c r="V36" s="768"/>
      <c r="W36" s="768"/>
      <c r="X36" s="768"/>
      <c r="Y36" s="768"/>
      <c r="Z36" s="768"/>
      <c r="AA36" s="768"/>
      <c r="AB36" s="857"/>
      <c r="AC36" s="857"/>
      <c r="AD36" s="329"/>
      <c r="AE36" s="75">
        <f t="shared" si="0"/>
        <v>29</v>
      </c>
      <c r="AF36" s="1175"/>
      <c r="AG36" s="1177"/>
      <c r="AH36" s="75"/>
      <c r="AJ36" s="75">
        <f t="shared" si="1"/>
        <v>29</v>
      </c>
      <c r="AK36" s="1177"/>
      <c r="AL36" s="1177"/>
      <c r="AO36" s="75">
        <f t="shared" si="2"/>
        <v>29</v>
      </c>
      <c r="AP36" s="75"/>
      <c r="AQ36" s="75"/>
      <c r="AT36" s="75">
        <f t="shared" si="3"/>
        <v>29</v>
      </c>
      <c r="AU36" s="75"/>
      <c r="AV36" s="75"/>
      <c r="AY36" s="75">
        <f t="shared" si="4"/>
        <v>29</v>
      </c>
      <c r="AZ36" s="75"/>
      <c r="BA36" s="75"/>
      <c r="BD36" s="75">
        <f t="shared" si="5"/>
        <v>29</v>
      </c>
      <c r="BE36" s="75"/>
      <c r="BF36" s="75"/>
      <c r="BI36" s="75">
        <f t="shared" si="6"/>
        <v>29</v>
      </c>
      <c r="BJ36" s="75"/>
      <c r="BK36" s="75"/>
      <c r="BN36" s="75">
        <f t="shared" si="7"/>
        <v>29</v>
      </c>
      <c r="BO36" s="75"/>
      <c r="BP36" s="75"/>
      <c r="BS36" s="75">
        <f t="shared" si="8"/>
        <v>29</v>
      </c>
      <c r="BT36" s="75"/>
      <c r="BU36" s="75"/>
      <c r="BX36" s="1773">
        <f t="shared" si="10"/>
        <v>0</v>
      </c>
      <c r="BY36" s="857">
        <v>0</v>
      </c>
      <c r="BZ36" s="162">
        <v>0</v>
      </c>
    </row>
    <row r="37" spans="1:78">
      <c r="A37" s="726">
        <f t="shared" si="11"/>
        <v>27</v>
      </c>
      <c r="B37" s="1172">
        <v>887</v>
      </c>
      <c r="C37" s="23" t="str">
        <f>VLOOKUP(B37,'Stmt H'!$B:$D,3,FALSE)</f>
        <v>Perf. Underground Distribution Line Maintenance - Gas</v>
      </c>
      <c r="D37" s="23"/>
      <c r="E37" s="768">
        <f>HLOOKUP(Attach,$AF$8:$BG$205,AE37,FALSE)</f>
        <v>-846.86</v>
      </c>
      <c r="F37" s="207"/>
      <c r="G37" s="768">
        <f>HLOOKUP(Attach,$AK$8:$AM$205,AJ37,FALSE)</f>
        <v>-2.7896470000000022</v>
      </c>
      <c r="H37" s="768"/>
      <c r="I37" s="768">
        <f>HLOOKUP(Attach,$AP$8:$AR$205,AO37,FALSE)</f>
        <v>16.763274000000081</v>
      </c>
      <c r="J37" s="768"/>
      <c r="K37" s="768">
        <f>HLOOKUP(Attach,$AU$8:$AW$205,AT37,FALSE)</f>
        <v>0</v>
      </c>
      <c r="L37" s="768"/>
      <c r="M37" s="768">
        <f>HLOOKUP(Attach,$AZ$8:$BB$205,AY37,FALSE)</f>
        <v>0</v>
      </c>
      <c r="N37" s="768"/>
      <c r="O37" s="768">
        <f>HLOOKUP(Attach,$BE$8:$BG$205,BD37,FALSE)</f>
        <v>0</v>
      </c>
      <c r="P37" s="768"/>
      <c r="Q37" s="768">
        <f>HLOOKUP(Attach,$BJ$8:$BL$205,BI37,FALSE)</f>
        <v>0</v>
      </c>
      <c r="R37" s="768"/>
      <c r="S37" s="768">
        <f>HLOOKUP(Attach,$BO$8:$BQ$205,BN37,FALSE)</f>
        <v>0</v>
      </c>
      <c r="T37" s="768"/>
      <c r="U37" s="768">
        <f>HLOOKUP(Attach,$BT$8:$BV$205,BS37,FALSE)</f>
        <v>0</v>
      </c>
      <c r="V37" s="768"/>
      <c r="W37" s="768">
        <v>0</v>
      </c>
      <c r="X37" s="768"/>
      <c r="Y37" s="768">
        <v>0</v>
      </c>
      <c r="Z37" s="768"/>
      <c r="AA37" s="768">
        <f>G37+E37+I37+K37+M37+O37+Q37+S37+U37+W37+Y37</f>
        <v>-832.88637299999982</v>
      </c>
      <c r="AB37" s="857"/>
      <c r="AC37" s="857">
        <f>AA37-E37</f>
        <v>13.973627000000192</v>
      </c>
      <c r="AD37" s="329"/>
      <c r="AE37" s="75">
        <f t="shared" si="0"/>
        <v>30</v>
      </c>
      <c r="AF37" s="1168">
        <v>-480.86</v>
      </c>
      <c r="AG37" s="1176">
        <v>-366</v>
      </c>
      <c r="AH37" s="937">
        <f>+AF37++AG37</f>
        <v>-846.86</v>
      </c>
      <c r="AJ37" s="75">
        <f t="shared" si="1"/>
        <v>30</v>
      </c>
      <c r="AK37" s="1176">
        <v>-12.72529000000003</v>
      </c>
      <c r="AL37" s="1176">
        <v>9.9356430000000273</v>
      </c>
      <c r="AM37" s="937">
        <f>+AK37++AL37</f>
        <v>-2.7896470000000022</v>
      </c>
      <c r="AO37" s="75">
        <f t="shared" si="2"/>
        <v>30</v>
      </c>
      <c r="AP37" s="1176">
        <v>2.1730170000000157</v>
      </c>
      <c r="AQ37" s="1176">
        <v>-1.5521550000000275</v>
      </c>
      <c r="AR37" s="937">
        <f>IF($AR$1="Y",BX37,AP37++AQ37)</f>
        <v>16.763274000000081</v>
      </c>
      <c r="AT37" s="75">
        <f t="shared" si="3"/>
        <v>30</v>
      </c>
      <c r="AU37" s="1176"/>
      <c r="AV37" s="1176"/>
      <c r="AW37" s="937">
        <f>+AU37++AV37</f>
        <v>0</v>
      </c>
      <c r="AY37" s="75">
        <f t="shared" si="4"/>
        <v>30</v>
      </c>
      <c r="AZ37" s="1176"/>
      <c r="BA37" s="1176"/>
      <c r="BB37" s="937">
        <f>+AZ37++BA37</f>
        <v>0</v>
      </c>
      <c r="BD37" s="75">
        <f t="shared" si="5"/>
        <v>30</v>
      </c>
      <c r="BE37" s="1176"/>
      <c r="BF37" s="1176"/>
      <c r="BG37" s="937">
        <f>+BE37++BF37</f>
        <v>0</v>
      </c>
      <c r="BI37" s="75">
        <f t="shared" si="6"/>
        <v>30</v>
      </c>
      <c r="BJ37" s="1176"/>
      <c r="BK37" s="1176"/>
      <c r="BL37" s="937">
        <f>+BJ37++BK37</f>
        <v>0</v>
      </c>
      <c r="BN37" s="75">
        <f t="shared" si="7"/>
        <v>30</v>
      </c>
      <c r="BO37" s="1176"/>
      <c r="BP37" s="1176"/>
      <c r="BQ37" s="937">
        <f>+BO37++BP37</f>
        <v>0</v>
      </c>
      <c r="BS37" s="75">
        <f t="shared" si="8"/>
        <v>30</v>
      </c>
      <c r="BT37" s="1176"/>
      <c r="BU37" s="1176"/>
      <c r="BV37" s="937">
        <f>+BT37++BU37</f>
        <v>0</v>
      </c>
      <c r="BX37" s="1773">
        <f t="shared" si="10"/>
        <v>16.763274000000081</v>
      </c>
      <c r="BY37" s="857">
        <v>25.455342000000087</v>
      </c>
      <c r="BZ37" s="162">
        <v>-8.6920680000000061</v>
      </c>
    </row>
    <row r="38" spans="1:78">
      <c r="A38" s="726">
        <f t="shared" si="11"/>
        <v>28</v>
      </c>
      <c r="B38" s="1172"/>
      <c r="C38" s="23"/>
      <c r="D38" s="23"/>
      <c r="E38" s="768"/>
      <c r="F38" s="207"/>
      <c r="G38" s="768"/>
      <c r="H38" s="768"/>
      <c r="I38" s="768"/>
      <c r="J38" s="768"/>
      <c r="K38" s="768"/>
      <c r="L38" s="768"/>
      <c r="M38" s="768"/>
      <c r="N38" s="768"/>
      <c r="O38" s="768"/>
      <c r="P38" s="768"/>
      <c r="Q38" s="768"/>
      <c r="R38" s="768"/>
      <c r="S38" s="768"/>
      <c r="T38" s="768"/>
      <c r="U38" s="768"/>
      <c r="V38" s="768"/>
      <c r="W38" s="768"/>
      <c r="X38" s="768"/>
      <c r="Y38" s="768"/>
      <c r="Z38" s="768"/>
      <c r="AA38" s="768"/>
      <c r="AB38" s="857"/>
      <c r="AC38" s="857"/>
      <c r="AD38" s="329"/>
      <c r="AE38" s="75">
        <f t="shared" si="0"/>
        <v>31</v>
      </c>
      <c r="AF38" s="1175"/>
      <c r="AG38" s="1177"/>
      <c r="AH38" s="75"/>
      <c r="AJ38" s="75">
        <f t="shared" si="1"/>
        <v>31</v>
      </c>
      <c r="AK38" s="1177"/>
      <c r="AL38" s="1177"/>
      <c r="AO38" s="75">
        <f t="shared" si="2"/>
        <v>31</v>
      </c>
      <c r="AP38" s="75"/>
      <c r="AQ38" s="75"/>
      <c r="AT38" s="75">
        <f t="shared" si="3"/>
        <v>31</v>
      </c>
      <c r="AU38" s="75"/>
      <c r="AV38" s="75"/>
      <c r="AY38" s="75">
        <f t="shared" si="4"/>
        <v>31</v>
      </c>
      <c r="AZ38" s="75"/>
      <c r="BA38" s="75"/>
      <c r="BD38" s="75">
        <f t="shared" si="5"/>
        <v>31</v>
      </c>
      <c r="BE38" s="75"/>
      <c r="BF38" s="75"/>
      <c r="BI38" s="75">
        <f t="shared" si="6"/>
        <v>31</v>
      </c>
      <c r="BJ38" s="75"/>
      <c r="BK38" s="75"/>
      <c r="BN38" s="75">
        <f t="shared" si="7"/>
        <v>31</v>
      </c>
      <c r="BO38" s="75"/>
      <c r="BP38" s="75"/>
      <c r="BS38" s="75">
        <f t="shared" si="8"/>
        <v>31</v>
      </c>
      <c r="BT38" s="75"/>
      <c r="BU38" s="75"/>
      <c r="BX38" s="1773">
        <f t="shared" si="10"/>
        <v>0</v>
      </c>
      <c r="BY38" s="857">
        <v>0</v>
      </c>
      <c r="BZ38" s="162">
        <v>0</v>
      </c>
    </row>
    <row r="39" spans="1:78">
      <c r="A39" s="726">
        <f t="shared" si="11"/>
        <v>29</v>
      </c>
      <c r="B39" s="1172">
        <v>888</v>
      </c>
      <c r="C39" s="23" t="str">
        <f>VLOOKUP(B39,'Stmt H'!$B:$D,3,FALSE)</f>
        <v>Dist. Maint. of Compressor Station Equipment</v>
      </c>
      <c r="D39" s="23"/>
      <c r="E39" s="768">
        <f>HLOOKUP(Attach,$AF$8:$BG$205,AE39,FALSE)</f>
        <v>271.20000000000005</v>
      </c>
      <c r="F39" s="207"/>
      <c r="G39" s="768">
        <f>HLOOKUP(Attach,$AK$8:$AM$205,AJ39,FALSE)</f>
        <v>-0.69592100000002688</v>
      </c>
      <c r="H39" s="768"/>
      <c r="I39" s="768">
        <f>HLOOKUP(Attach,$AP$8:$AR$205,AO39,FALSE)</f>
        <v>-1.4113380000000291</v>
      </c>
      <c r="J39" s="768"/>
      <c r="K39" s="768">
        <f>HLOOKUP(Attach,$AU$8:$AW$205,AT39,FALSE)</f>
        <v>0</v>
      </c>
      <c r="L39" s="768"/>
      <c r="M39" s="768">
        <f>HLOOKUP(Attach,$AZ$8:$BB$205,AY39,FALSE)</f>
        <v>0</v>
      </c>
      <c r="N39" s="768"/>
      <c r="O39" s="768">
        <f>HLOOKUP(Attach,$BE$8:$BG$205,BD39,FALSE)</f>
        <v>0</v>
      </c>
      <c r="P39" s="768"/>
      <c r="Q39" s="768">
        <f>HLOOKUP(Attach,$BJ$8:$BL$205,BI39,FALSE)</f>
        <v>0</v>
      </c>
      <c r="R39" s="768"/>
      <c r="S39" s="768">
        <f>HLOOKUP(Attach,$BO$8:$BQ$205,BN39,FALSE)</f>
        <v>0</v>
      </c>
      <c r="T39" s="768"/>
      <c r="U39" s="768">
        <f>HLOOKUP(Attach,$BT$8:$BV$205,BS39,FALSE)</f>
        <v>0</v>
      </c>
      <c r="V39" s="768"/>
      <c r="W39" s="768">
        <v>0</v>
      </c>
      <c r="X39" s="768"/>
      <c r="Y39" s="768">
        <v>0</v>
      </c>
      <c r="Z39" s="768"/>
      <c r="AA39" s="768">
        <f>G39+E39+I39+K39+M39+O39+Q39+S39+U39+W39+Y39</f>
        <v>269.09274100000005</v>
      </c>
      <c r="AB39" s="857"/>
      <c r="AC39" s="857">
        <f>AA39-E39</f>
        <v>-2.1072589999999991</v>
      </c>
      <c r="AD39" s="329"/>
      <c r="AE39" s="75">
        <f t="shared" si="0"/>
        <v>32</v>
      </c>
      <c r="AF39" s="1168">
        <v>184.87000000000003</v>
      </c>
      <c r="AG39" s="1176">
        <v>86.330000000000013</v>
      </c>
      <c r="AH39" s="937">
        <f>+AF39++AG39</f>
        <v>271.20000000000005</v>
      </c>
      <c r="AJ39" s="75">
        <f t="shared" si="1"/>
        <v>32</v>
      </c>
      <c r="AK39" s="1176">
        <v>0.78655399999996689</v>
      </c>
      <c r="AL39" s="1176">
        <v>-1.4824749999999938</v>
      </c>
      <c r="AM39" s="937">
        <f>+AK39++AL39</f>
        <v>-0.69592100000002688</v>
      </c>
      <c r="AO39" s="75">
        <f t="shared" si="2"/>
        <v>32</v>
      </c>
      <c r="AP39" s="1176">
        <v>-0.16082499999998845</v>
      </c>
      <c r="AQ39" s="1176">
        <v>0.11487499999998363</v>
      </c>
      <c r="AR39" s="937">
        <f>IF($AR$1="Y",BX39,AP39++AQ39)</f>
        <v>-1.4113380000000291</v>
      </c>
      <c r="AT39" s="75">
        <f t="shared" si="3"/>
        <v>32</v>
      </c>
      <c r="AU39" s="1176"/>
      <c r="AV39" s="1176"/>
      <c r="AW39" s="937">
        <f>+AU39++AV39</f>
        <v>0</v>
      </c>
      <c r="AY39" s="75">
        <f t="shared" si="4"/>
        <v>32</v>
      </c>
      <c r="AZ39" s="1176"/>
      <c r="BA39" s="1176"/>
      <c r="BB39" s="937">
        <f>+AZ39++BA39</f>
        <v>0</v>
      </c>
      <c r="BD39" s="75">
        <f t="shared" si="5"/>
        <v>32</v>
      </c>
      <c r="BE39" s="1176"/>
      <c r="BF39" s="1176"/>
      <c r="BG39" s="937">
        <f>+BE39++BF39</f>
        <v>0</v>
      </c>
      <c r="BI39" s="75">
        <f t="shared" si="6"/>
        <v>32</v>
      </c>
      <c r="BJ39" s="1176"/>
      <c r="BK39" s="1176"/>
      <c r="BL39" s="937">
        <f>+BJ39++BK39</f>
        <v>0</v>
      </c>
      <c r="BN39" s="75">
        <f t="shared" si="7"/>
        <v>32</v>
      </c>
      <c r="BO39" s="1176"/>
      <c r="BP39" s="1176"/>
      <c r="BQ39" s="937">
        <f>+BO39++BP39</f>
        <v>0</v>
      </c>
      <c r="BS39" s="75">
        <f t="shared" si="8"/>
        <v>32</v>
      </c>
      <c r="BT39" s="1176"/>
      <c r="BU39" s="1176"/>
      <c r="BV39" s="937">
        <f>+BT39++BU39</f>
        <v>0</v>
      </c>
      <c r="BX39" s="1773">
        <f t="shared" si="10"/>
        <v>-1.4113380000000291</v>
      </c>
      <c r="BY39" s="857">
        <v>-2.7373900000000049</v>
      </c>
      <c r="BZ39" s="162">
        <v>1.3260519999999758</v>
      </c>
    </row>
    <row r="40" spans="1:78">
      <c r="A40" s="726">
        <f t="shared" si="11"/>
        <v>30</v>
      </c>
      <c r="B40" s="1172"/>
      <c r="C40" s="23"/>
      <c r="D40" s="23"/>
      <c r="E40" s="768"/>
      <c r="F40" s="207"/>
      <c r="G40" s="768"/>
      <c r="H40" s="768"/>
      <c r="I40" s="768"/>
      <c r="J40" s="768"/>
      <c r="K40" s="768"/>
      <c r="L40" s="768"/>
      <c r="M40" s="768"/>
      <c r="N40" s="768"/>
      <c r="O40" s="768"/>
      <c r="P40" s="768"/>
      <c r="Q40" s="768"/>
      <c r="R40" s="768"/>
      <c r="S40" s="768"/>
      <c r="T40" s="768"/>
      <c r="U40" s="768"/>
      <c r="V40" s="768"/>
      <c r="W40" s="768"/>
      <c r="X40" s="768"/>
      <c r="Y40" s="768"/>
      <c r="Z40" s="768"/>
      <c r="AA40" s="768"/>
      <c r="AB40" s="857"/>
      <c r="AC40" s="857"/>
      <c r="AD40" s="329"/>
      <c r="AE40" s="75">
        <f t="shared" si="0"/>
        <v>33</v>
      </c>
      <c r="AF40" s="1175"/>
      <c r="AG40" s="1177"/>
      <c r="AH40" s="75"/>
      <c r="AJ40" s="75">
        <f t="shared" si="1"/>
        <v>33</v>
      </c>
      <c r="AK40" s="1177"/>
      <c r="AL40" s="1177"/>
      <c r="AM40" s="75"/>
      <c r="AO40" s="75">
        <f t="shared" si="2"/>
        <v>33</v>
      </c>
      <c r="AP40" s="75"/>
      <c r="AQ40" s="75"/>
      <c r="AR40" s="75"/>
      <c r="AT40" s="75">
        <f t="shared" si="3"/>
        <v>33</v>
      </c>
      <c r="AU40" s="75"/>
      <c r="AV40" s="75"/>
      <c r="AW40" s="75"/>
      <c r="AY40" s="75">
        <f t="shared" si="4"/>
        <v>33</v>
      </c>
      <c r="AZ40" s="75"/>
      <c r="BA40" s="75"/>
      <c r="BB40" s="75"/>
      <c r="BD40" s="75">
        <f t="shared" si="5"/>
        <v>33</v>
      </c>
      <c r="BE40" s="75"/>
      <c r="BF40" s="75"/>
      <c r="BG40" s="75"/>
      <c r="BI40" s="75">
        <f t="shared" si="6"/>
        <v>33</v>
      </c>
      <c r="BJ40" s="75"/>
      <c r="BK40" s="75"/>
      <c r="BL40" s="75"/>
      <c r="BN40" s="75">
        <f t="shared" si="7"/>
        <v>33</v>
      </c>
      <c r="BO40" s="75"/>
      <c r="BP40" s="75"/>
      <c r="BQ40" s="75"/>
      <c r="BS40" s="75">
        <f t="shared" si="8"/>
        <v>33</v>
      </c>
      <c r="BT40" s="75"/>
      <c r="BU40" s="75"/>
      <c r="BV40" s="75"/>
      <c r="BX40" s="1773">
        <f t="shared" si="10"/>
        <v>0</v>
      </c>
      <c r="BY40" s="857">
        <v>0</v>
      </c>
      <c r="BZ40" s="162">
        <v>0</v>
      </c>
    </row>
    <row r="41" spans="1:78">
      <c r="A41" s="726">
        <f t="shared" si="11"/>
        <v>31</v>
      </c>
      <c r="B41" s="1172">
        <v>893</v>
      </c>
      <c r="C41" s="23" t="str">
        <f>VLOOKUP(B41,'Stmt H'!$B:$D,3,FALSE)</f>
        <v>Dist. Maint. of Meters &amp; House Regulators</v>
      </c>
      <c r="D41" s="23"/>
      <c r="E41" s="768">
        <f>HLOOKUP(Attach,$AF$8:$BG$205,AE41,FALSE)</f>
        <v>323882.61</v>
      </c>
      <c r="F41" s="207"/>
      <c r="G41" s="768">
        <f>HLOOKUP(Attach,$AK$8:$AM$205,AJ41,FALSE)</f>
        <v>-1112.5818280000094</v>
      </c>
      <c r="H41" s="768"/>
      <c r="I41" s="768">
        <f>HLOOKUP(Attach,$AP$8:$AR$205,AO41,FALSE)</f>
        <v>-1013.1481420000491</v>
      </c>
      <c r="J41" s="768"/>
      <c r="K41" s="768">
        <f>HLOOKUP(Attach,$AU$8:$AW$205,AT41,FALSE)</f>
        <v>0</v>
      </c>
      <c r="L41" s="768"/>
      <c r="M41" s="768">
        <f>HLOOKUP(Attach,$AZ$8:$BB$205,AY41,FALSE)</f>
        <v>0</v>
      </c>
      <c r="N41" s="768"/>
      <c r="O41" s="768">
        <f>HLOOKUP(Attach,$BE$8:$BG$205,BD41,FALSE)</f>
        <v>0</v>
      </c>
      <c r="P41" s="768"/>
      <c r="Q41" s="768">
        <f>HLOOKUP(Attach,$BJ$8:$BL$205,BI41,FALSE)</f>
        <v>0</v>
      </c>
      <c r="R41" s="768"/>
      <c r="S41" s="768">
        <f>HLOOKUP(Attach,$BO$8:$BQ$205,BN41,FALSE)</f>
        <v>0</v>
      </c>
      <c r="T41" s="768"/>
      <c r="U41" s="768">
        <f>HLOOKUP(Attach,$BT$8:$BV$205,BS41,FALSE)</f>
        <v>0</v>
      </c>
      <c r="V41" s="768"/>
      <c r="W41" s="768">
        <v>0</v>
      </c>
      <c r="X41" s="768"/>
      <c r="Y41" s="768">
        <v>0</v>
      </c>
      <c r="Z41" s="768"/>
      <c r="AA41" s="768">
        <f>G41+E41+I41+K41+M41+O41+Q41+S41+U41+W41+Y41</f>
        <v>321756.88002999988</v>
      </c>
      <c r="AB41" s="857"/>
      <c r="AC41" s="857">
        <f>AA41-E41</f>
        <v>-2125.7299700001022</v>
      </c>
      <c r="AD41" s="329"/>
      <c r="AE41" s="75">
        <f t="shared" si="0"/>
        <v>34</v>
      </c>
      <c r="AF41" s="1168">
        <v>225510.68</v>
      </c>
      <c r="AG41" s="1176">
        <v>98371.930000000008</v>
      </c>
      <c r="AH41" s="937">
        <f>+AF41++AG41</f>
        <v>323882.61</v>
      </c>
      <c r="AJ41" s="75">
        <f t="shared" si="1"/>
        <v>34</v>
      </c>
      <c r="AK41" s="1176">
        <v>379.15049400000134</v>
      </c>
      <c r="AL41" s="1176">
        <v>-1491.7323220000108</v>
      </c>
      <c r="AM41" s="937">
        <f>+AK41++AL41</f>
        <v>-1112.5818280000094</v>
      </c>
      <c r="AO41" s="75">
        <f t="shared" si="2"/>
        <v>34</v>
      </c>
      <c r="AP41" s="1176">
        <v>-101.66788000002271</v>
      </c>
      <c r="AQ41" s="1176">
        <v>72.798769999993965</v>
      </c>
      <c r="AR41" s="937">
        <f>IF($AR$1="Y",BX41,AP41++AQ41)</f>
        <v>-1013.1481420000491</v>
      </c>
      <c r="AT41" s="75">
        <f t="shared" si="3"/>
        <v>34</v>
      </c>
      <c r="AU41" s="1176"/>
      <c r="AV41" s="1176"/>
      <c r="AW41" s="937">
        <f>+AU41++AV41</f>
        <v>0</v>
      </c>
      <c r="AY41" s="75">
        <f t="shared" si="4"/>
        <v>34</v>
      </c>
      <c r="AZ41" s="1176"/>
      <c r="BA41" s="1176"/>
      <c r="BB41" s="937">
        <f>+AZ41++BA41</f>
        <v>0</v>
      </c>
      <c r="BD41" s="75">
        <f t="shared" si="5"/>
        <v>34</v>
      </c>
      <c r="BE41" s="1176"/>
      <c r="BF41" s="1176"/>
      <c r="BG41" s="937">
        <f>+BE41++BF41</f>
        <v>0</v>
      </c>
      <c r="BI41" s="75">
        <f t="shared" si="6"/>
        <v>34</v>
      </c>
      <c r="BJ41" s="1176"/>
      <c r="BK41" s="1176"/>
      <c r="BL41" s="937">
        <f>+BJ41++BK41</f>
        <v>0</v>
      </c>
      <c r="BN41" s="75">
        <f t="shared" si="7"/>
        <v>34</v>
      </c>
      <c r="BO41" s="1176"/>
      <c r="BP41" s="1176"/>
      <c r="BQ41" s="937">
        <f>+BO41++BP41</f>
        <v>0</v>
      </c>
      <c r="BS41" s="75">
        <f t="shared" si="8"/>
        <v>34</v>
      </c>
      <c r="BT41" s="1176"/>
      <c r="BU41" s="1176"/>
      <c r="BV41" s="937">
        <f>+BT41++BU41</f>
        <v>0</v>
      </c>
      <c r="BX41" s="1773">
        <f t="shared" si="10"/>
        <v>-1013.1481420000491</v>
      </c>
      <c r="BY41" s="857">
        <v>-2335.2213500000362</v>
      </c>
      <c r="BZ41" s="162">
        <v>1322.0732079999871</v>
      </c>
    </row>
    <row r="42" spans="1:78">
      <c r="A42" s="726">
        <f t="shared" si="11"/>
        <v>32</v>
      </c>
      <c r="B42" s="103"/>
      <c r="C42" s="23"/>
      <c r="D42" s="23"/>
      <c r="E42" s="768"/>
      <c r="F42" s="207"/>
      <c r="G42" s="768"/>
      <c r="H42" s="768"/>
      <c r="I42" s="768"/>
      <c r="J42" s="768"/>
      <c r="K42" s="768"/>
      <c r="L42" s="768"/>
      <c r="M42" s="768"/>
      <c r="N42" s="768"/>
      <c r="O42" s="768"/>
      <c r="P42" s="768"/>
      <c r="Q42" s="768"/>
      <c r="R42" s="768"/>
      <c r="S42" s="768"/>
      <c r="T42" s="768"/>
      <c r="U42" s="768"/>
      <c r="V42" s="768"/>
      <c r="W42" s="768"/>
      <c r="X42" s="768"/>
      <c r="Y42" s="768"/>
      <c r="Z42" s="768"/>
      <c r="AA42" s="768"/>
      <c r="AB42" s="857"/>
      <c r="AC42" s="857"/>
      <c r="AD42" s="329"/>
      <c r="AE42" s="75">
        <f t="shared" si="0"/>
        <v>35</v>
      </c>
      <c r="AF42" s="1175"/>
      <c r="AG42" s="1177"/>
      <c r="AH42" s="75"/>
      <c r="AJ42" s="75">
        <f t="shared" si="1"/>
        <v>35</v>
      </c>
      <c r="AK42" s="1177"/>
      <c r="AL42" s="1177"/>
      <c r="AO42" s="75">
        <f t="shared" si="2"/>
        <v>35</v>
      </c>
      <c r="AP42" s="75"/>
      <c r="AQ42" s="75"/>
      <c r="AT42" s="75">
        <f t="shared" si="3"/>
        <v>35</v>
      </c>
      <c r="AU42" s="75"/>
      <c r="AV42" s="75"/>
      <c r="AY42" s="75">
        <f t="shared" si="4"/>
        <v>35</v>
      </c>
      <c r="AZ42" s="75"/>
      <c r="BA42" s="75"/>
      <c r="BD42" s="75">
        <f t="shared" si="5"/>
        <v>35</v>
      </c>
      <c r="BE42" s="75"/>
      <c r="BF42" s="75"/>
      <c r="BI42" s="75">
        <f t="shared" si="6"/>
        <v>35</v>
      </c>
      <c r="BJ42" s="75"/>
      <c r="BK42" s="75"/>
      <c r="BN42" s="75">
        <f t="shared" si="7"/>
        <v>35</v>
      </c>
      <c r="BO42" s="75"/>
      <c r="BP42" s="75"/>
      <c r="BS42" s="75">
        <f t="shared" si="8"/>
        <v>35</v>
      </c>
      <c r="BT42" s="75"/>
      <c r="BU42" s="75"/>
      <c r="BX42" s="1773">
        <f t="shared" si="10"/>
        <v>0</v>
      </c>
      <c r="BY42" s="857">
        <v>0</v>
      </c>
      <c r="BZ42" s="162">
        <v>0</v>
      </c>
    </row>
    <row r="43" spans="1:78">
      <c r="A43" s="726">
        <f t="shared" si="11"/>
        <v>33</v>
      </c>
      <c r="B43" s="103">
        <v>901</v>
      </c>
      <c r="C43" s="23" t="str">
        <f>VLOOKUP(B43,'Stmt H'!$B:$D,3,FALSE)</f>
        <v>Customer Accounts Supervision</v>
      </c>
      <c r="D43" s="23"/>
      <c r="E43" s="768">
        <f>HLOOKUP(Attach,$AF$8:$BG$205,AE43,FALSE)</f>
        <v>219095.44999999998</v>
      </c>
      <c r="F43" s="207"/>
      <c r="G43" s="768">
        <f>HLOOKUP(Attach,$AK$8:$AM$205,AJ43,FALSE)</f>
        <v>2827.549155000037</v>
      </c>
      <c r="H43" s="768"/>
      <c r="I43" s="768">
        <f>HLOOKUP(Attach,$AP$8:$AR$205,AO43,FALSE)</f>
        <v>375.54891499993391</v>
      </c>
      <c r="J43" s="768"/>
      <c r="K43" s="768">
        <f>HLOOKUP(Attach,$AU$8:$AW$205,AT43,FALSE)</f>
        <v>0</v>
      </c>
      <c r="L43" s="768"/>
      <c r="M43" s="768">
        <f>HLOOKUP(Attach,$AZ$8:$BB$205,AY43,FALSE)</f>
        <v>0</v>
      </c>
      <c r="N43" s="768"/>
      <c r="O43" s="768">
        <f>HLOOKUP(Attach,$BE$8:$BG$205,BD43,FALSE)</f>
        <v>0</v>
      </c>
      <c r="P43" s="768"/>
      <c r="Q43" s="768">
        <f>HLOOKUP(Attach,$BJ$8:$BL$205,BI43,FALSE)</f>
        <v>0</v>
      </c>
      <c r="R43" s="768"/>
      <c r="S43" s="768">
        <f>HLOOKUP(Attach,$BO$8:$BQ$205,BN43,FALSE)</f>
        <v>0</v>
      </c>
      <c r="T43" s="768"/>
      <c r="U43" s="768">
        <f>HLOOKUP(Attach,$BT$8:$BV$205,BS43,FALSE)</f>
        <v>0</v>
      </c>
      <c r="V43" s="768"/>
      <c r="W43" s="768">
        <v>0</v>
      </c>
      <c r="X43" s="768"/>
      <c r="Y43" s="768">
        <v>0</v>
      </c>
      <c r="Z43" s="768"/>
      <c r="AA43" s="768">
        <f>G43+E43+I43+K43+M43+O43+Q43+S43+U43+W43+Y43</f>
        <v>222298.54806999996</v>
      </c>
      <c r="AB43" s="857"/>
      <c r="AC43" s="857">
        <f>AA43-E43</f>
        <v>3203.0980699999782</v>
      </c>
      <c r="AD43" s="329"/>
      <c r="AE43" s="75">
        <f t="shared" si="0"/>
        <v>36</v>
      </c>
      <c r="AF43" s="1168">
        <v>153677.49</v>
      </c>
      <c r="AG43" s="1176">
        <v>65417.96</v>
      </c>
      <c r="AH43" s="937">
        <f>+AF43++AG43</f>
        <v>219095.44999999998</v>
      </c>
      <c r="AJ43" s="75">
        <f t="shared" si="1"/>
        <v>36</v>
      </c>
      <c r="AK43" s="1176">
        <v>3698.0606240000343</v>
      </c>
      <c r="AL43" s="1176">
        <v>-870.51146899999731</v>
      </c>
      <c r="AM43" s="937">
        <f>+AK43++AL43</f>
        <v>2827.549155000037</v>
      </c>
      <c r="AO43" s="75">
        <f t="shared" si="2"/>
        <v>36</v>
      </c>
      <c r="AP43" s="1176">
        <v>3.8386259999824688</v>
      </c>
      <c r="AQ43" s="1176">
        <v>-1.8434919999999693</v>
      </c>
      <c r="AR43" s="937">
        <f>IF($AR$1="Y",BX43,AP43++AQ43)</f>
        <v>375.54891499993391</v>
      </c>
      <c r="AT43" s="75">
        <f t="shared" si="3"/>
        <v>36</v>
      </c>
      <c r="AU43" s="1176"/>
      <c r="AV43" s="1176"/>
      <c r="AW43" s="937">
        <f>+AU43++AV43</f>
        <v>0</v>
      </c>
      <c r="AY43" s="75">
        <f t="shared" si="4"/>
        <v>36</v>
      </c>
      <c r="AZ43" s="1176"/>
      <c r="BA43" s="1176"/>
      <c r="BB43" s="937">
        <f>+AZ43++BA43</f>
        <v>0</v>
      </c>
      <c r="BD43" s="75">
        <f t="shared" si="5"/>
        <v>36</v>
      </c>
      <c r="BE43" s="1176"/>
      <c r="BF43" s="1176"/>
      <c r="BG43" s="937">
        <f>+BE43++BF43</f>
        <v>0</v>
      </c>
      <c r="BI43" s="75">
        <f t="shared" si="6"/>
        <v>36</v>
      </c>
      <c r="BJ43" s="1176"/>
      <c r="BK43" s="1176"/>
      <c r="BL43" s="937">
        <f>+BJ43++BK43</f>
        <v>0</v>
      </c>
      <c r="BN43" s="75">
        <f t="shared" si="7"/>
        <v>36</v>
      </c>
      <c r="BO43" s="1176"/>
      <c r="BP43" s="1176"/>
      <c r="BQ43" s="937">
        <f>+BO43++BP43</f>
        <v>0</v>
      </c>
      <c r="BS43" s="75">
        <f t="shared" si="8"/>
        <v>36</v>
      </c>
      <c r="BT43" s="1176"/>
      <c r="BU43" s="1176"/>
      <c r="BV43" s="937">
        <f>+BT43++BU43</f>
        <v>0</v>
      </c>
      <c r="BX43" s="1773">
        <f t="shared" si="10"/>
        <v>375.54891499993391</v>
      </c>
      <c r="BY43" s="857">
        <v>-444.56043500005035</v>
      </c>
      <c r="BZ43" s="162">
        <v>820.10934999998426</v>
      </c>
    </row>
    <row r="44" spans="1:78">
      <c r="A44" s="726">
        <f t="shared" si="11"/>
        <v>34</v>
      </c>
      <c r="B44" s="103"/>
      <c r="C44" s="23"/>
      <c r="D44" s="23"/>
      <c r="E44" s="768"/>
      <c r="F44" s="207"/>
      <c r="G44" s="768"/>
      <c r="H44" s="768"/>
      <c r="I44" s="768"/>
      <c r="J44" s="768"/>
      <c r="K44" s="768"/>
      <c r="L44" s="768"/>
      <c r="M44" s="768"/>
      <c r="N44" s="768"/>
      <c r="O44" s="768"/>
      <c r="P44" s="768"/>
      <c r="Q44" s="768"/>
      <c r="R44" s="768"/>
      <c r="S44" s="768"/>
      <c r="T44" s="768"/>
      <c r="U44" s="768"/>
      <c r="V44" s="768"/>
      <c r="W44" s="768"/>
      <c r="X44" s="768"/>
      <c r="Y44" s="768"/>
      <c r="Z44" s="768"/>
      <c r="AA44" s="768"/>
      <c r="AB44" s="857"/>
      <c r="AC44" s="857"/>
      <c r="AD44" s="329"/>
      <c r="AE44" s="75">
        <f t="shared" si="0"/>
        <v>37</v>
      </c>
      <c r="AF44" s="1175"/>
      <c r="AG44" s="1177"/>
      <c r="AH44" s="75"/>
      <c r="AJ44" s="75">
        <f t="shared" si="1"/>
        <v>37</v>
      </c>
      <c r="AK44" s="1177"/>
      <c r="AL44" s="1177"/>
      <c r="AO44" s="75">
        <f t="shared" si="2"/>
        <v>37</v>
      </c>
      <c r="AP44" s="75"/>
      <c r="AQ44" s="75"/>
      <c r="AT44" s="75">
        <f t="shared" si="3"/>
        <v>37</v>
      </c>
      <c r="AU44" s="75"/>
      <c r="AV44" s="75"/>
      <c r="AY44" s="75">
        <f t="shared" si="4"/>
        <v>37</v>
      </c>
      <c r="AZ44" s="75"/>
      <c r="BA44" s="75"/>
      <c r="BD44" s="75">
        <f t="shared" si="5"/>
        <v>37</v>
      </c>
      <c r="BE44" s="75"/>
      <c r="BF44" s="75"/>
      <c r="BI44" s="75">
        <f t="shared" si="6"/>
        <v>37</v>
      </c>
      <c r="BJ44" s="75"/>
      <c r="BK44" s="75"/>
      <c r="BN44" s="75">
        <f t="shared" si="7"/>
        <v>37</v>
      </c>
      <c r="BO44" s="75"/>
      <c r="BP44" s="75"/>
      <c r="BS44" s="75">
        <f t="shared" si="8"/>
        <v>37</v>
      </c>
      <c r="BT44" s="75"/>
      <c r="BU44" s="75"/>
      <c r="BX44" s="1773">
        <f t="shared" si="10"/>
        <v>0</v>
      </c>
      <c r="BY44" s="857">
        <v>0</v>
      </c>
      <c r="BZ44" s="162">
        <v>0</v>
      </c>
    </row>
    <row r="45" spans="1:78">
      <c r="A45" s="726">
        <f t="shared" si="11"/>
        <v>35</v>
      </c>
      <c r="B45" s="103">
        <v>902</v>
      </c>
      <c r="C45" s="23" t="str">
        <f>VLOOKUP(B45,'Stmt H'!$B:$D,3,FALSE)</f>
        <v>Meter Reading Expense</v>
      </c>
      <c r="D45" s="23"/>
      <c r="E45" s="768">
        <f>HLOOKUP(Attach,$AF$8:$BG$205,AE45,FALSE)</f>
        <v>16826.600000000002</v>
      </c>
      <c r="F45" s="207"/>
      <c r="G45" s="768">
        <f>HLOOKUP(Attach,$AK$8:$AM$205,AJ45,FALSE)</f>
        <v>82.973190000000159</v>
      </c>
      <c r="H45" s="768"/>
      <c r="I45" s="768">
        <f>HLOOKUP(Attach,$AP$8:$AR$205,AO45,FALSE)</f>
        <v>13.418292000000747</v>
      </c>
      <c r="J45" s="768"/>
      <c r="K45" s="768">
        <f>HLOOKUP(Attach,$AU$8:$AW$205,AT45,FALSE)</f>
        <v>0</v>
      </c>
      <c r="L45" s="768"/>
      <c r="M45" s="768">
        <f>HLOOKUP(Attach,$AZ$8:$BB$205,AY45,FALSE)</f>
        <v>0</v>
      </c>
      <c r="N45" s="768"/>
      <c r="O45" s="768">
        <f>HLOOKUP(Attach,$BE$8:$BG$205,BD45,FALSE)</f>
        <v>0</v>
      </c>
      <c r="P45" s="768"/>
      <c r="Q45" s="768">
        <f>HLOOKUP(Attach,$BJ$8:$BL$205,BI45,FALSE)</f>
        <v>0</v>
      </c>
      <c r="R45" s="768"/>
      <c r="S45" s="768">
        <f>HLOOKUP(Attach,$BO$8:$BQ$205,BN45,FALSE)</f>
        <v>0</v>
      </c>
      <c r="T45" s="768"/>
      <c r="U45" s="768">
        <f>HLOOKUP(Attach,$BT$8:$BV$205,BS45,FALSE)</f>
        <v>0</v>
      </c>
      <c r="V45" s="768"/>
      <c r="W45" s="768">
        <v>0</v>
      </c>
      <c r="X45" s="768"/>
      <c r="Y45" s="768">
        <v>0</v>
      </c>
      <c r="Z45" s="768"/>
      <c r="AA45" s="768">
        <f>G45+E45+I45+K45+M45+O45+Q45+S45+U45+W45+Y45</f>
        <v>16922.991482000005</v>
      </c>
      <c r="AB45" s="857"/>
      <c r="AC45" s="857">
        <f>AA45-E45</f>
        <v>96.391482000002725</v>
      </c>
      <c r="AD45" s="329"/>
      <c r="AE45" s="75">
        <f t="shared" si="0"/>
        <v>38</v>
      </c>
      <c r="AF45" s="1168">
        <v>12725.150000000003</v>
      </c>
      <c r="AG45" s="1176">
        <v>4101.45</v>
      </c>
      <c r="AH45" s="937">
        <f>+AF45++AG45</f>
        <v>16826.600000000002</v>
      </c>
      <c r="AJ45" s="75">
        <f t="shared" si="1"/>
        <v>38</v>
      </c>
      <c r="AK45" s="1176">
        <v>142.71333899999991</v>
      </c>
      <c r="AL45" s="1176">
        <v>-59.740148999999747</v>
      </c>
      <c r="AM45" s="937">
        <f>+AK45++AL45</f>
        <v>82.973190000000159</v>
      </c>
      <c r="AO45" s="75">
        <f t="shared" si="2"/>
        <v>38</v>
      </c>
      <c r="AP45" s="1176">
        <v>-0.10731899999882444</v>
      </c>
      <c r="AQ45" s="1176">
        <v>3.2003999999687949E-2</v>
      </c>
      <c r="AR45" s="937">
        <f>IF($AR$1="Y",BX45,AP45++AQ45)</f>
        <v>13.418292000000747</v>
      </c>
      <c r="AT45" s="75">
        <f t="shared" si="3"/>
        <v>38</v>
      </c>
      <c r="AU45" s="1176"/>
      <c r="AV45" s="1176"/>
      <c r="AW45" s="937">
        <f>+AU45++AV45</f>
        <v>0</v>
      </c>
      <c r="AY45" s="75">
        <f t="shared" si="4"/>
        <v>38</v>
      </c>
      <c r="AZ45" s="1176"/>
      <c r="BA45" s="1176"/>
      <c r="BB45" s="937">
        <f>+AZ45++BA45</f>
        <v>0</v>
      </c>
      <c r="BD45" s="75">
        <f t="shared" si="5"/>
        <v>38</v>
      </c>
      <c r="BE45" s="1176"/>
      <c r="BF45" s="1176"/>
      <c r="BG45" s="937">
        <f>+BE45++BF45</f>
        <v>0</v>
      </c>
      <c r="BI45" s="75">
        <f t="shared" si="6"/>
        <v>38</v>
      </c>
      <c r="BJ45" s="1176"/>
      <c r="BK45" s="1176"/>
      <c r="BL45" s="937">
        <f>+BJ45++BK45</f>
        <v>0</v>
      </c>
      <c r="BN45" s="75">
        <f t="shared" si="7"/>
        <v>38</v>
      </c>
      <c r="BO45" s="1176"/>
      <c r="BP45" s="1176"/>
      <c r="BQ45" s="937">
        <f>+BO45++BP45</f>
        <v>0</v>
      </c>
      <c r="BS45" s="75">
        <f t="shared" si="8"/>
        <v>38</v>
      </c>
      <c r="BT45" s="1176"/>
      <c r="BU45" s="1176"/>
      <c r="BV45" s="937">
        <f>+BT45++BU45</f>
        <v>0</v>
      </c>
      <c r="BX45" s="1773">
        <f t="shared" si="10"/>
        <v>13.418292000000747</v>
      </c>
      <c r="BY45" s="857">
        <v>-42.192224999998871</v>
      </c>
      <c r="BZ45" s="162">
        <v>55.610516999999618</v>
      </c>
    </row>
    <row r="46" spans="1:78">
      <c r="A46" s="726">
        <f t="shared" si="11"/>
        <v>36</v>
      </c>
      <c r="B46" s="103"/>
      <c r="C46" s="23"/>
      <c r="D46" s="23"/>
      <c r="E46" s="768"/>
      <c r="F46" s="207"/>
      <c r="G46" s="768"/>
      <c r="H46" s="768"/>
      <c r="I46" s="768"/>
      <c r="J46" s="768"/>
      <c r="K46" s="768"/>
      <c r="L46" s="768"/>
      <c r="M46" s="768"/>
      <c r="N46" s="768"/>
      <c r="O46" s="768"/>
      <c r="P46" s="768"/>
      <c r="Q46" s="768"/>
      <c r="R46" s="768"/>
      <c r="S46" s="768"/>
      <c r="T46" s="768"/>
      <c r="U46" s="768"/>
      <c r="V46" s="768"/>
      <c r="W46" s="768"/>
      <c r="X46" s="768"/>
      <c r="Y46" s="768"/>
      <c r="Z46" s="768"/>
      <c r="AA46" s="768"/>
      <c r="AB46" s="857"/>
      <c r="AC46" s="857"/>
      <c r="AD46" s="329"/>
      <c r="AE46" s="75">
        <f t="shared" si="0"/>
        <v>39</v>
      </c>
      <c r="AF46" s="1175"/>
      <c r="AG46" s="1177"/>
      <c r="AH46" s="75"/>
      <c r="AJ46" s="75">
        <f t="shared" si="1"/>
        <v>39</v>
      </c>
      <c r="AK46" s="1177"/>
      <c r="AL46" s="1177"/>
      <c r="AO46" s="75">
        <f t="shared" si="2"/>
        <v>39</v>
      </c>
      <c r="AP46" s="75"/>
      <c r="AQ46" s="75"/>
      <c r="AT46" s="75">
        <f t="shared" si="3"/>
        <v>39</v>
      </c>
      <c r="AU46" s="75"/>
      <c r="AV46" s="75"/>
      <c r="AY46" s="75">
        <f t="shared" si="4"/>
        <v>39</v>
      </c>
      <c r="AZ46" s="75"/>
      <c r="BA46" s="75"/>
      <c r="BD46" s="75">
        <f t="shared" si="5"/>
        <v>39</v>
      </c>
      <c r="BE46" s="75"/>
      <c r="BF46" s="75"/>
      <c r="BI46" s="75">
        <f t="shared" si="6"/>
        <v>39</v>
      </c>
      <c r="BJ46" s="75"/>
      <c r="BK46" s="75"/>
      <c r="BN46" s="75">
        <f t="shared" si="7"/>
        <v>39</v>
      </c>
      <c r="BO46" s="75"/>
      <c r="BP46" s="75"/>
      <c r="BS46" s="75">
        <f t="shared" si="8"/>
        <v>39</v>
      </c>
      <c r="BT46" s="75"/>
      <c r="BU46" s="75"/>
      <c r="BX46" s="1773">
        <f t="shared" si="10"/>
        <v>0</v>
      </c>
      <c r="BY46" s="857">
        <v>0</v>
      </c>
      <c r="BZ46" s="162">
        <v>0</v>
      </c>
    </row>
    <row r="47" spans="1:78">
      <c r="A47" s="726">
        <f t="shared" si="11"/>
        <v>37</v>
      </c>
      <c r="B47" s="103">
        <v>903</v>
      </c>
      <c r="C47" s="23" t="str">
        <f>VLOOKUP(B47,'Stmt H'!$B:$D,3,FALSE)</f>
        <v>Customer Record &amp; Collection Expense</v>
      </c>
      <c r="D47" s="23"/>
      <c r="E47" s="768">
        <f>HLOOKUP(Attach,$AF$8:$BG$205,AE47,FALSE)</f>
        <v>5272641.13</v>
      </c>
      <c r="F47" s="207"/>
      <c r="G47" s="768">
        <f>HLOOKUP(Attach,$AK$8:$AM$205,AJ47,FALSE)</f>
        <v>49578.265904001193</v>
      </c>
      <c r="H47" s="768"/>
      <c r="I47" s="768">
        <f>HLOOKUP(Attach,$AP$8:$AR$205,AO47,FALSE)</f>
        <v>7909.1004529995844</v>
      </c>
      <c r="J47" s="768"/>
      <c r="K47" s="768">
        <f>HLOOKUP(Attach,$AU$8:$AW$205,AT47,FALSE)</f>
        <v>0</v>
      </c>
      <c r="L47" s="768"/>
      <c r="M47" s="768">
        <f>HLOOKUP(Attach,$AZ$8:$BB$205,AY47,FALSE)</f>
        <v>0</v>
      </c>
      <c r="N47" s="768"/>
      <c r="O47" s="768">
        <f>HLOOKUP(Attach,$BE$8:$BG$205,BD47,FALSE)</f>
        <v>0</v>
      </c>
      <c r="P47" s="768"/>
      <c r="Q47" s="768">
        <f>HLOOKUP(Attach,$BJ$8:$BL$205,BI47,FALSE)</f>
        <v>0</v>
      </c>
      <c r="R47" s="768"/>
      <c r="S47" s="768">
        <f>HLOOKUP(Attach,$BO$8:$BQ$205,BN47,FALSE)</f>
        <v>0</v>
      </c>
      <c r="T47" s="768"/>
      <c r="U47" s="768">
        <f>HLOOKUP(Attach,$BT$8:$BV$205,BS47,FALSE)</f>
        <v>0</v>
      </c>
      <c r="V47" s="768"/>
      <c r="W47" s="768">
        <v>0</v>
      </c>
      <c r="X47" s="768"/>
      <c r="Y47" s="768">
        <v>0</v>
      </c>
      <c r="Z47" s="768"/>
      <c r="AA47" s="768">
        <f>G47+E47+I47+K47+M47+O47+Q47+S47+U47+W47+Y47</f>
        <v>5330128.4963570004</v>
      </c>
      <c r="AB47" s="857"/>
      <c r="AC47" s="857">
        <f>AA47-E47</f>
        <v>57487.366357000545</v>
      </c>
      <c r="AD47" s="329"/>
      <c r="AE47" s="75">
        <f t="shared" si="0"/>
        <v>40</v>
      </c>
      <c r="AF47" s="1168">
        <v>3443282.7</v>
      </c>
      <c r="AG47" s="1176">
        <v>1829358.4299999997</v>
      </c>
      <c r="AH47" s="937">
        <f>+AF47++AG47</f>
        <v>5272641.13</v>
      </c>
      <c r="AJ47" s="75">
        <f t="shared" si="1"/>
        <v>40</v>
      </c>
      <c r="AK47" s="1176">
        <v>62442.689858000726</v>
      </c>
      <c r="AL47" s="1176">
        <v>-12864.423953999532</v>
      </c>
      <c r="AM47" s="937">
        <f>+AK47++AL47</f>
        <v>49578.265904001193</v>
      </c>
      <c r="AO47" s="75">
        <f t="shared" si="2"/>
        <v>40</v>
      </c>
      <c r="AP47" s="1176">
        <v>-25.917698999866843</v>
      </c>
      <c r="AQ47" s="1176">
        <v>667.24931399989873</v>
      </c>
      <c r="AR47" s="937">
        <f>IF($AR$1="Y",BX47,AP47++AQ47)</f>
        <v>7909.1004529995844</v>
      </c>
      <c r="AT47" s="75">
        <f t="shared" si="3"/>
        <v>40</v>
      </c>
      <c r="AU47" s="1176"/>
      <c r="AV47" s="1176"/>
      <c r="AW47" s="937">
        <f>+AU47++AV47</f>
        <v>0</v>
      </c>
      <c r="AY47" s="75">
        <f t="shared" si="4"/>
        <v>40</v>
      </c>
      <c r="AZ47" s="1176"/>
      <c r="BA47" s="1176"/>
      <c r="BB47" s="937">
        <f>+AZ47++BA47</f>
        <v>0</v>
      </c>
      <c r="BD47" s="75">
        <f t="shared" si="5"/>
        <v>40</v>
      </c>
      <c r="BE47" s="1176"/>
      <c r="BF47" s="1176"/>
      <c r="BG47" s="937">
        <f>+BE47++BF47</f>
        <v>0</v>
      </c>
      <c r="BI47" s="75">
        <f t="shared" si="6"/>
        <v>40</v>
      </c>
      <c r="BJ47" s="1176"/>
      <c r="BK47" s="1176"/>
      <c r="BL47" s="937">
        <f>+BJ47++BK47</f>
        <v>0</v>
      </c>
      <c r="BN47" s="75">
        <f t="shared" si="7"/>
        <v>40</v>
      </c>
      <c r="BO47" s="1176"/>
      <c r="BP47" s="1176"/>
      <c r="BQ47" s="937">
        <f>+BO47++BP47</f>
        <v>0</v>
      </c>
      <c r="BS47" s="75">
        <f t="shared" si="8"/>
        <v>40</v>
      </c>
      <c r="BT47" s="1176"/>
      <c r="BU47" s="1176"/>
      <c r="BV47" s="937">
        <f>+BT47++BU47</f>
        <v>0</v>
      </c>
      <c r="BX47" s="1773">
        <f t="shared" si="10"/>
        <v>7909.1004529995844</v>
      </c>
      <c r="BY47" s="857">
        <v>-9305.3797560003586</v>
      </c>
      <c r="BZ47" s="162">
        <v>17214.480208999943</v>
      </c>
    </row>
    <row r="48" spans="1:78">
      <c r="A48" s="827">
        <f t="shared" si="11"/>
        <v>38</v>
      </c>
      <c r="B48" s="103"/>
      <c r="C48" s="23"/>
      <c r="D48" s="23"/>
      <c r="E48" s="768"/>
      <c r="F48" s="207"/>
      <c r="G48" s="768"/>
      <c r="H48" s="768"/>
      <c r="I48" s="768"/>
      <c r="J48" s="768"/>
      <c r="K48" s="768"/>
      <c r="L48" s="768"/>
      <c r="M48" s="768"/>
      <c r="N48" s="768"/>
      <c r="O48" s="768"/>
      <c r="P48" s="768"/>
      <c r="Q48" s="768"/>
      <c r="R48" s="768"/>
      <c r="S48" s="768"/>
      <c r="T48" s="768"/>
      <c r="U48" s="768"/>
      <c r="V48" s="768"/>
      <c r="W48" s="768"/>
      <c r="X48" s="768"/>
      <c r="Y48" s="768"/>
      <c r="Z48" s="768"/>
      <c r="AA48" s="768"/>
      <c r="AB48" s="857"/>
      <c r="AC48" s="857"/>
      <c r="AD48" s="329"/>
      <c r="AE48" s="75">
        <f t="shared" si="0"/>
        <v>41</v>
      </c>
      <c r="AF48" s="1175"/>
      <c r="AG48" s="1177"/>
      <c r="AH48" s="75"/>
      <c r="AJ48" s="75">
        <f t="shared" si="1"/>
        <v>41</v>
      </c>
      <c r="AK48" s="1177"/>
      <c r="AL48" s="1177"/>
      <c r="AO48" s="75">
        <f t="shared" si="2"/>
        <v>41</v>
      </c>
      <c r="AP48" s="75"/>
      <c r="AQ48" s="75"/>
      <c r="AT48" s="75">
        <f t="shared" si="3"/>
        <v>41</v>
      </c>
      <c r="AU48" s="75"/>
      <c r="AV48" s="75"/>
      <c r="AY48" s="75">
        <f t="shared" si="4"/>
        <v>41</v>
      </c>
      <c r="AZ48" s="75"/>
      <c r="BA48" s="75"/>
      <c r="BD48" s="75">
        <f t="shared" si="5"/>
        <v>41</v>
      </c>
      <c r="BE48" s="75"/>
      <c r="BF48" s="75"/>
      <c r="BI48" s="75">
        <f t="shared" si="6"/>
        <v>41</v>
      </c>
      <c r="BJ48" s="75"/>
      <c r="BK48" s="75"/>
      <c r="BN48" s="75">
        <f t="shared" si="7"/>
        <v>41</v>
      </c>
      <c r="BO48" s="75"/>
      <c r="BP48" s="75"/>
      <c r="BS48" s="75">
        <f t="shared" si="8"/>
        <v>41</v>
      </c>
      <c r="BT48" s="75"/>
      <c r="BU48" s="75"/>
      <c r="BX48" s="1773">
        <f t="shared" si="10"/>
        <v>0</v>
      </c>
      <c r="BY48" s="857">
        <v>0</v>
      </c>
      <c r="BZ48" s="162">
        <v>0</v>
      </c>
    </row>
    <row r="49" spans="1:78">
      <c r="A49" s="827">
        <f t="shared" si="11"/>
        <v>39</v>
      </c>
      <c r="B49" s="103">
        <v>905</v>
      </c>
      <c r="C49" s="23" t="str">
        <f>VLOOKUP(B49,'Stmt H'!$B:$D,3,FALSE)</f>
        <v>Miscellaneous Customer Accounts Expense</v>
      </c>
      <c r="D49" s="23"/>
      <c r="E49" s="768">
        <f>HLOOKUP(Attach,$AF$8:$BG$205,AE49,FALSE)</f>
        <v>135483.41</v>
      </c>
      <c r="F49" s="207"/>
      <c r="G49" s="768">
        <f>HLOOKUP(Attach,$AK$8:$AM$205,AJ49,FALSE)</f>
        <v>2788.3494820000124</v>
      </c>
      <c r="H49" s="768"/>
      <c r="I49" s="768">
        <f>HLOOKUP(Attach,$AP$8:$AR$205,AO49,FALSE)</f>
        <v>320.15945799998735</v>
      </c>
      <c r="J49" s="768"/>
      <c r="K49" s="768">
        <f>HLOOKUP(Attach,$AU$8:$AW$205,AT49,FALSE)</f>
        <v>0</v>
      </c>
      <c r="L49" s="768"/>
      <c r="M49" s="768">
        <f>HLOOKUP(Attach,$AZ$8:$BB$205,AY49,FALSE)</f>
        <v>0</v>
      </c>
      <c r="N49" s="768"/>
      <c r="O49" s="768">
        <f>HLOOKUP(Attach,$BE$8:$BG$205,BD49,FALSE)</f>
        <v>0</v>
      </c>
      <c r="P49" s="768"/>
      <c r="Q49" s="768">
        <f>HLOOKUP(Attach,$BJ$8:$BL$205,BI49,FALSE)</f>
        <v>0</v>
      </c>
      <c r="R49" s="768"/>
      <c r="S49" s="768">
        <f>HLOOKUP(Attach,$BO$8:$BQ$205,BN49,FALSE)</f>
        <v>0</v>
      </c>
      <c r="T49" s="768"/>
      <c r="U49" s="768">
        <f>HLOOKUP(Attach,$BT$8:$BV$205,BS49,FALSE)</f>
        <v>0</v>
      </c>
      <c r="V49" s="768"/>
      <c r="W49" s="768">
        <v>0</v>
      </c>
      <c r="X49" s="768"/>
      <c r="Y49" s="768">
        <v>0</v>
      </c>
      <c r="Z49" s="768"/>
      <c r="AA49" s="768">
        <f>G49+E49+I49+K49+M49+O49+Q49+S49+U49+W49+Y49</f>
        <v>138591.91894</v>
      </c>
      <c r="AB49" s="857"/>
      <c r="AC49" s="857">
        <f>AA49-E49</f>
        <v>3108.5089399999997</v>
      </c>
      <c r="AD49" s="329"/>
      <c r="AE49" s="75">
        <f t="shared" si="0"/>
        <v>42</v>
      </c>
      <c r="AF49" s="1168">
        <v>92913.819999999992</v>
      </c>
      <c r="AG49" s="1176">
        <v>42569.590000000004</v>
      </c>
      <c r="AH49" s="937">
        <f>+AF49++AG49</f>
        <v>135483.41</v>
      </c>
      <c r="AJ49" s="75">
        <f t="shared" si="1"/>
        <v>42</v>
      </c>
      <c r="AK49" s="1176">
        <v>3015.8994180000154</v>
      </c>
      <c r="AL49" s="1176">
        <v>-227.54993600000307</v>
      </c>
      <c r="AM49" s="937">
        <f>+AK49++AL49</f>
        <v>2788.3494820000124</v>
      </c>
      <c r="AO49" s="75">
        <f t="shared" si="2"/>
        <v>42</v>
      </c>
      <c r="AP49" s="1176">
        <v>5.9016180000035092</v>
      </c>
      <c r="AQ49" s="1176">
        <v>80.616814000000886</v>
      </c>
      <c r="AR49" s="937">
        <f>IF($AR$1="Y",BX49,AP49++AQ49)</f>
        <v>320.15945799998735</v>
      </c>
      <c r="AT49" s="75">
        <f t="shared" si="3"/>
        <v>42</v>
      </c>
      <c r="AU49" s="1176"/>
      <c r="AV49" s="1176"/>
      <c r="AW49" s="937">
        <f>+AU49++AV49</f>
        <v>0</v>
      </c>
      <c r="AY49" s="75">
        <f t="shared" si="4"/>
        <v>42</v>
      </c>
      <c r="AZ49" s="1176"/>
      <c r="BA49" s="1176"/>
      <c r="BB49" s="937">
        <f>+AZ49++BA49</f>
        <v>0</v>
      </c>
      <c r="BD49" s="75">
        <f t="shared" si="5"/>
        <v>42</v>
      </c>
      <c r="BE49" s="1176"/>
      <c r="BF49" s="1176"/>
      <c r="BG49" s="937">
        <f>+BE49++BF49</f>
        <v>0</v>
      </c>
      <c r="BI49" s="75">
        <f t="shared" si="6"/>
        <v>42</v>
      </c>
      <c r="BJ49" s="1176"/>
      <c r="BK49" s="1176"/>
      <c r="BL49" s="937">
        <f>+BJ49++BK49</f>
        <v>0</v>
      </c>
      <c r="BN49" s="75">
        <f t="shared" si="7"/>
        <v>42</v>
      </c>
      <c r="BO49" s="1176"/>
      <c r="BP49" s="1176"/>
      <c r="BQ49" s="937">
        <f>+BO49++BP49</f>
        <v>0</v>
      </c>
      <c r="BS49" s="75">
        <f t="shared" si="8"/>
        <v>42</v>
      </c>
      <c r="BT49" s="1176"/>
      <c r="BU49" s="1176"/>
      <c r="BV49" s="937">
        <f>+BT49++BU49</f>
        <v>0</v>
      </c>
      <c r="BX49" s="1773">
        <f t="shared" si="10"/>
        <v>320.15945799998735</v>
      </c>
      <c r="BY49" s="857">
        <v>-547.22116100000858</v>
      </c>
      <c r="BZ49" s="162">
        <v>867.38061899999593</v>
      </c>
    </row>
    <row r="50" spans="1:78">
      <c r="A50" s="827">
        <f t="shared" si="11"/>
        <v>40</v>
      </c>
      <c r="B50" s="103"/>
      <c r="C50" s="23"/>
      <c r="D50" s="23"/>
      <c r="E50" s="768"/>
      <c r="F50" s="207"/>
      <c r="G50" s="768"/>
      <c r="H50" s="768"/>
      <c r="I50" s="768"/>
      <c r="J50" s="768"/>
      <c r="K50" s="768"/>
      <c r="L50" s="768"/>
      <c r="M50" s="768"/>
      <c r="N50" s="768"/>
      <c r="O50" s="768"/>
      <c r="P50" s="768"/>
      <c r="Q50" s="768"/>
      <c r="R50" s="768"/>
      <c r="S50" s="768"/>
      <c r="T50" s="768"/>
      <c r="U50" s="768"/>
      <c r="V50" s="768"/>
      <c r="W50" s="768"/>
      <c r="X50" s="768"/>
      <c r="Y50" s="768"/>
      <c r="Z50" s="768"/>
      <c r="AA50" s="768"/>
      <c r="AB50" s="857"/>
      <c r="AC50" s="857"/>
      <c r="AD50" s="329"/>
      <c r="AE50" s="75">
        <f t="shared" si="0"/>
        <v>43</v>
      </c>
      <c r="AF50" s="1175"/>
      <c r="AG50" s="1177"/>
      <c r="AH50" s="75"/>
      <c r="AJ50" s="75">
        <f t="shared" si="1"/>
        <v>43</v>
      </c>
      <c r="AK50" s="1177"/>
      <c r="AL50" s="1177"/>
      <c r="AM50" s="75"/>
      <c r="AO50" s="75">
        <f t="shared" si="2"/>
        <v>43</v>
      </c>
      <c r="AP50" s="75"/>
      <c r="AQ50" s="75"/>
      <c r="AR50" s="75"/>
      <c r="AT50" s="75">
        <f t="shared" si="3"/>
        <v>43</v>
      </c>
      <c r="AU50" s="75"/>
      <c r="AV50" s="75"/>
      <c r="AW50" s="75"/>
      <c r="AY50" s="75">
        <f t="shared" si="4"/>
        <v>43</v>
      </c>
      <c r="AZ50" s="75"/>
      <c r="BA50" s="75"/>
      <c r="BB50" s="75"/>
      <c r="BD50" s="75">
        <f t="shared" si="5"/>
        <v>43</v>
      </c>
      <c r="BE50" s="75"/>
      <c r="BF50" s="75"/>
      <c r="BG50" s="75"/>
      <c r="BI50" s="75">
        <f t="shared" si="6"/>
        <v>43</v>
      </c>
      <c r="BJ50" s="75"/>
      <c r="BK50" s="75"/>
      <c r="BL50" s="75"/>
      <c r="BN50" s="75">
        <f t="shared" si="7"/>
        <v>43</v>
      </c>
      <c r="BO50" s="75"/>
      <c r="BP50" s="75"/>
      <c r="BQ50" s="75"/>
      <c r="BS50" s="75">
        <f t="shared" si="8"/>
        <v>43</v>
      </c>
      <c r="BT50" s="75"/>
      <c r="BU50" s="75"/>
      <c r="BV50" s="75"/>
      <c r="BX50" s="1773">
        <f t="shared" si="10"/>
        <v>0</v>
      </c>
      <c r="BY50" s="857">
        <v>0</v>
      </c>
      <c r="BZ50" s="162">
        <v>0</v>
      </c>
    </row>
    <row r="51" spans="1:78">
      <c r="A51" s="827">
        <f t="shared" si="11"/>
        <v>41</v>
      </c>
      <c r="B51" s="103">
        <v>907</v>
      </c>
      <c r="C51" s="23" t="str">
        <f>VLOOKUP(B51,'Stmt H'!$B:$D,3,FALSE)</f>
        <v>Supervision</v>
      </c>
      <c r="D51" s="23"/>
      <c r="E51" s="768">
        <f>HLOOKUP(Attach,$AF$8:$BG$205,AE51,FALSE)</f>
        <v>101805.62999999999</v>
      </c>
      <c r="F51" s="207"/>
      <c r="G51" s="768">
        <f>HLOOKUP(Attach,$AK$8:$AM$205,AJ51,FALSE)</f>
        <v>1223.4407210000281</v>
      </c>
      <c r="H51" s="768"/>
      <c r="I51" s="768">
        <f>HLOOKUP(Attach,$AP$8:$AR$205,AO51,FALSE)</f>
        <v>204.81183899998723</v>
      </c>
      <c r="J51" s="768"/>
      <c r="K51" s="768">
        <f>HLOOKUP(Attach,$AU$8:$AW$205,AT51,FALSE)</f>
        <v>0</v>
      </c>
      <c r="L51" s="768"/>
      <c r="M51" s="768">
        <f>HLOOKUP(Attach,$AZ$8:$BB$205,AY51,FALSE)</f>
        <v>0</v>
      </c>
      <c r="N51" s="768"/>
      <c r="O51" s="768">
        <f>HLOOKUP(Attach,$BE$8:$BG$205,BD51,FALSE)</f>
        <v>0</v>
      </c>
      <c r="P51" s="768"/>
      <c r="Q51" s="768">
        <f>HLOOKUP(Attach,$BJ$8:$BL$205,BI51,FALSE)</f>
        <v>0</v>
      </c>
      <c r="R51" s="768"/>
      <c r="S51" s="768">
        <f>HLOOKUP(Attach,$BO$8:$BQ$205,BN51,FALSE)</f>
        <v>0</v>
      </c>
      <c r="T51" s="768"/>
      <c r="U51" s="768">
        <f>HLOOKUP(Attach,$BT$8:$BV$205,BS51,FALSE)</f>
        <v>0</v>
      </c>
      <c r="V51" s="768"/>
      <c r="W51" s="768">
        <v>0</v>
      </c>
      <c r="X51" s="768"/>
      <c r="Y51" s="768">
        <v>0</v>
      </c>
      <c r="Z51" s="768"/>
      <c r="AA51" s="768">
        <f>G51+E51+I51+K51+M51+O51+Q51+S51+U51+W51+Y51</f>
        <v>103233.88256000001</v>
      </c>
      <c r="AB51" s="857"/>
      <c r="AC51" s="857">
        <f>AA51-E51</f>
        <v>1428.2525600000226</v>
      </c>
      <c r="AD51" s="329"/>
      <c r="AE51" s="75">
        <f t="shared" si="0"/>
        <v>44</v>
      </c>
      <c r="AF51" s="1168">
        <v>71658.48</v>
      </c>
      <c r="AG51" s="1176">
        <v>30147.149999999998</v>
      </c>
      <c r="AH51" s="937">
        <f>+AF51++AG51</f>
        <v>101805.62999999999</v>
      </c>
      <c r="AJ51" s="75">
        <f t="shared" si="1"/>
        <v>44</v>
      </c>
      <c r="AK51" s="1176">
        <v>1637.2435520000145</v>
      </c>
      <c r="AL51" s="1176">
        <v>-413.80283099998633</v>
      </c>
      <c r="AM51" s="937">
        <f>+AK51++AL51</f>
        <v>1223.4407210000281</v>
      </c>
      <c r="AO51" s="75">
        <f t="shared" si="2"/>
        <v>44</v>
      </c>
      <c r="AP51" s="1176">
        <v>0</v>
      </c>
      <c r="AQ51" s="1176">
        <v>0</v>
      </c>
      <c r="AR51" s="937">
        <f>IF($AR$1="Y",BX51,AP51++AQ51)</f>
        <v>204.81183899998723</v>
      </c>
      <c r="AT51" s="75">
        <f t="shared" si="3"/>
        <v>44</v>
      </c>
      <c r="AU51" s="1176"/>
      <c r="AV51" s="1176"/>
      <c r="AW51" s="937">
        <f>+AU51++AV51</f>
        <v>0</v>
      </c>
      <c r="AY51" s="75">
        <f t="shared" si="4"/>
        <v>44</v>
      </c>
      <c r="AZ51" s="1176"/>
      <c r="BA51" s="1176"/>
      <c r="BB51" s="937">
        <f>+AZ51++BA51</f>
        <v>0</v>
      </c>
      <c r="BD51" s="75">
        <f t="shared" si="5"/>
        <v>44</v>
      </c>
      <c r="BE51" s="1176"/>
      <c r="BF51" s="1176"/>
      <c r="BG51" s="937">
        <f>+BE51++BF51</f>
        <v>0</v>
      </c>
      <c r="BI51" s="75">
        <f t="shared" si="6"/>
        <v>44</v>
      </c>
      <c r="BJ51" s="1176"/>
      <c r="BK51" s="1176"/>
      <c r="BL51" s="937">
        <f>+BJ51++BK51</f>
        <v>0</v>
      </c>
      <c r="BN51" s="75">
        <f t="shared" si="7"/>
        <v>44</v>
      </c>
      <c r="BO51" s="1176"/>
      <c r="BP51" s="1176"/>
      <c r="BQ51" s="937">
        <f>+BO51++BP51</f>
        <v>0</v>
      </c>
      <c r="BS51" s="75">
        <f t="shared" si="8"/>
        <v>44</v>
      </c>
      <c r="BT51" s="1176"/>
      <c r="BU51" s="1176"/>
      <c r="BV51" s="937">
        <f>+BT51++BU51</f>
        <v>0</v>
      </c>
      <c r="BX51" s="1773">
        <f t="shared" si="10"/>
        <v>204.81183899998723</v>
      </c>
      <c r="BY51" s="857">
        <v>-209.8548390000069</v>
      </c>
      <c r="BZ51" s="162">
        <v>414.66667799999414</v>
      </c>
    </row>
    <row r="52" spans="1:78">
      <c r="A52" s="726">
        <f t="shared" si="11"/>
        <v>42</v>
      </c>
      <c r="B52" s="103"/>
      <c r="C52" s="23"/>
      <c r="D52" s="23"/>
      <c r="E52" s="768"/>
      <c r="F52" s="207"/>
      <c r="G52" s="768"/>
      <c r="H52" s="768"/>
      <c r="I52" s="768"/>
      <c r="J52" s="768"/>
      <c r="K52" s="768"/>
      <c r="L52" s="768"/>
      <c r="M52" s="768"/>
      <c r="N52" s="768"/>
      <c r="O52" s="768"/>
      <c r="P52" s="768"/>
      <c r="Q52" s="768"/>
      <c r="R52" s="768"/>
      <c r="S52" s="768"/>
      <c r="T52" s="768"/>
      <c r="U52" s="768"/>
      <c r="V52" s="768"/>
      <c r="W52" s="768"/>
      <c r="X52" s="768"/>
      <c r="Y52" s="768"/>
      <c r="Z52" s="768"/>
      <c r="AA52" s="768"/>
      <c r="AB52" s="857"/>
      <c r="AC52" s="857"/>
      <c r="AD52" s="329"/>
      <c r="AE52" s="75">
        <f t="shared" si="0"/>
        <v>45</v>
      </c>
      <c r="AF52" s="1175"/>
      <c r="AG52" s="1177"/>
      <c r="AH52" s="75"/>
      <c r="AJ52" s="75">
        <f t="shared" si="1"/>
        <v>45</v>
      </c>
      <c r="AK52" s="1177"/>
      <c r="AL52" s="1177"/>
      <c r="AO52" s="75">
        <f t="shared" si="2"/>
        <v>45</v>
      </c>
      <c r="AP52" s="75"/>
      <c r="AQ52" s="75"/>
      <c r="AT52" s="75">
        <f t="shared" si="3"/>
        <v>45</v>
      </c>
      <c r="AU52" s="75"/>
      <c r="AV52" s="75"/>
      <c r="AY52" s="75">
        <f t="shared" si="4"/>
        <v>45</v>
      </c>
      <c r="AZ52" s="75"/>
      <c r="BA52" s="75"/>
      <c r="BD52" s="75">
        <f t="shared" si="5"/>
        <v>45</v>
      </c>
      <c r="BE52" s="75"/>
      <c r="BF52" s="75"/>
      <c r="BI52" s="75">
        <f t="shared" si="6"/>
        <v>45</v>
      </c>
      <c r="BJ52" s="75"/>
      <c r="BK52" s="75"/>
      <c r="BN52" s="75">
        <f t="shared" si="7"/>
        <v>45</v>
      </c>
      <c r="BO52" s="75"/>
      <c r="BP52" s="75"/>
      <c r="BS52" s="75">
        <f t="shared" si="8"/>
        <v>45</v>
      </c>
      <c r="BT52" s="75"/>
      <c r="BU52" s="75"/>
      <c r="BX52" s="1773">
        <f t="shared" si="10"/>
        <v>0</v>
      </c>
      <c r="BY52" s="857">
        <v>0</v>
      </c>
      <c r="BZ52" s="162">
        <v>0</v>
      </c>
    </row>
    <row r="53" spans="1:78">
      <c r="A53" s="726">
        <f t="shared" si="11"/>
        <v>43</v>
      </c>
      <c r="B53" s="103">
        <v>908</v>
      </c>
      <c r="C53" s="23" t="str">
        <f>VLOOKUP(B53,'Stmt H'!$B:$D,3,FALSE)</f>
        <v>Customer Assistance Expense</v>
      </c>
      <c r="D53" s="23"/>
      <c r="E53" s="768">
        <f>HLOOKUP(Attach,$AF$8:$BG$205,AE53,FALSE)</f>
        <v>131933.24000000002</v>
      </c>
      <c r="F53" s="207"/>
      <c r="G53" s="768">
        <f>HLOOKUP(Attach,$AK$8:$AM$205,AJ53,FALSE)</f>
        <v>946.38575299999502</v>
      </c>
      <c r="H53" s="768"/>
      <c r="I53" s="768">
        <f>HLOOKUP(Attach,$AP$8:$AR$205,AO53,FALSE)</f>
        <v>-1340.9628680000169</v>
      </c>
      <c r="J53" s="768"/>
      <c r="K53" s="768">
        <f>HLOOKUP(Attach,$AU$8:$AW$205,AT53,FALSE)</f>
        <v>0</v>
      </c>
      <c r="L53" s="768"/>
      <c r="M53" s="768">
        <f>HLOOKUP(Attach,$AZ$8:$BB$205,AY53,FALSE)</f>
        <v>0</v>
      </c>
      <c r="N53" s="768"/>
      <c r="O53" s="768">
        <f>HLOOKUP(Attach,$BE$8:$BG$205,BD53,FALSE)</f>
        <v>0</v>
      </c>
      <c r="P53" s="768"/>
      <c r="Q53" s="768">
        <f>HLOOKUP(Attach,$BJ$8:$BL$205,BI53,FALSE)</f>
        <v>0</v>
      </c>
      <c r="R53" s="768"/>
      <c r="S53" s="768">
        <f>HLOOKUP(Attach,$BO$8:$BQ$205,BN53,FALSE)</f>
        <v>0</v>
      </c>
      <c r="T53" s="768"/>
      <c r="U53" s="768">
        <f>HLOOKUP(Attach,$BT$8:$BV$205,BS53,FALSE)</f>
        <v>0</v>
      </c>
      <c r="V53" s="768"/>
      <c r="W53" s="768">
        <v>0</v>
      </c>
      <c r="X53" s="768"/>
      <c r="Y53" s="768">
        <v>0</v>
      </c>
      <c r="Z53" s="768"/>
      <c r="AA53" s="768">
        <f>G53+E53+I53+K53+M53+O53+Q53+S53+U53+W53+Y53</f>
        <v>131538.662885</v>
      </c>
      <c r="AB53" s="857"/>
      <c r="AC53" s="857">
        <f>AA53-E53</f>
        <v>-394.57711500002188</v>
      </c>
      <c r="AD53" s="329"/>
      <c r="AE53" s="75">
        <f t="shared" si="0"/>
        <v>46</v>
      </c>
      <c r="AF53" s="1168">
        <v>90201.670000000013</v>
      </c>
      <c r="AG53" s="1176">
        <v>41731.57</v>
      </c>
      <c r="AH53" s="937">
        <f>+AF53++AG53</f>
        <v>131933.24000000002</v>
      </c>
      <c r="AJ53" s="75">
        <f t="shared" si="1"/>
        <v>46</v>
      </c>
      <c r="AK53" s="1176">
        <v>1987.8506579999957</v>
      </c>
      <c r="AL53" s="1176">
        <v>-1041.4649050000007</v>
      </c>
      <c r="AM53" s="937">
        <f>+AK53++AL53</f>
        <v>946.38575299999502</v>
      </c>
      <c r="AO53" s="75">
        <f t="shared" si="2"/>
        <v>46</v>
      </c>
      <c r="AP53" s="1176">
        <v>-235.63976600000751</v>
      </c>
      <c r="AQ53" s="1176">
        <v>158.35885399999825</v>
      </c>
      <c r="AR53" s="937">
        <f>IF($AR$1="Y",BX53,AP53++AQ53)</f>
        <v>-1340.9628680000169</v>
      </c>
      <c r="AT53" s="75">
        <f t="shared" si="3"/>
        <v>46</v>
      </c>
      <c r="AU53" s="1176"/>
      <c r="AV53" s="1176"/>
      <c r="AW53" s="937">
        <f>+AU53++AV53</f>
        <v>0</v>
      </c>
      <c r="AY53" s="75">
        <f t="shared" si="4"/>
        <v>46</v>
      </c>
      <c r="AZ53" s="1176"/>
      <c r="BA53" s="1176"/>
      <c r="BB53" s="937">
        <f>+AZ53++BA53</f>
        <v>0</v>
      </c>
      <c r="BD53" s="75">
        <f t="shared" si="5"/>
        <v>46</v>
      </c>
      <c r="BE53" s="1176"/>
      <c r="BF53" s="1176"/>
      <c r="BG53" s="937">
        <f>+BE53++BF53</f>
        <v>0</v>
      </c>
      <c r="BI53" s="75">
        <f t="shared" si="6"/>
        <v>46</v>
      </c>
      <c r="BJ53" s="1176"/>
      <c r="BK53" s="1176"/>
      <c r="BL53" s="937">
        <f>+BJ53++BK53</f>
        <v>0</v>
      </c>
      <c r="BN53" s="75">
        <f t="shared" si="7"/>
        <v>46</v>
      </c>
      <c r="BO53" s="1176"/>
      <c r="BP53" s="1176"/>
      <c r="BQ53" s="937">
        <f>+BO53++BP53</f>
        <v>0</v>
      </c>
      <c r="BS53" s="75">
        <f t="shared" si="8"/>
        <v>46</v>
      </c>
      <c r="BT53" s="1176"/>
      <c r="BU53" s="1176"/>
      <c r="BV53" s="937">
        <f>+BT53++BU53</f>
        <v>0</v>
      </c>
      <c r="BX53" s="1773">
        <f t="shared" si="10"/>
        <v>-1340.9628680000169</v>
      </c>
      <c r="BY53" s="857">
        <v>-2338.9406680000247</v>
      </c>
      <c r="BZ53" s="162">
        <v>997.97780000000785</v>
      </c>
    </row>
    <row r="54" spans="1:78">
      <c r="A54" s="726">
        <f t="shared" si="11"/>
        <v>44</v>
      </c>
      <c r="B54" s="103"/>
      <c r="C54" s="23"/>
      <c r="D54" s="23"/>
      <c r="E54" s="768"/>
      <c r="F54" s="207"/>
      <c r="G54" s="768"/>
      <c r="H54" s="768"/>
      <c r="I54" s="768"/>
      <c r="J54" s="768"/>
      <c r="K54" s="768"/>
      <c r="L54" s="768"/>
      <c r="M54" s="768"/>
      <c r="N54" s="768"/>
      <c r="O54" s="768"/>
      <c r="P54" s="768"/>
      <c r="Q54" s="768"/>
      <c r="R54" s="768"/>
      <c r="S54" s="768"/>
      <c r="T54" s="768"/>
      <c r="U54" s="768"/>
      <c r="V54" s="768"/>
      <c r="W54" s="768"/>
      <c r="X54" s="768"/>
      <c r="Y54" s="768"/>
      <c r="Z54" s="768"/>
      <c r="AA54" s="768"/>
      <c r="AB54" s="857"/>
      <c r="AC54" s="857"/>
      <c r="AD54" s="329"/>
      <c r="AE54" s="75">
        <f t="shared" si="0"/>
        <v>47</v>
      </c>
      <c r="AF54" s="1175"/>
      <c r="AG54" s="1177"/>
      <c r="AH54" s="75"/>
      <c r="AJ54" s="75">
        <f t="shared" si="1"/>
        <v>47</v>
      </c>
      <c r="AK54" s="1177"/>
      <c r="AL54" s="1177"/>
      <c r="AO54" s="75">
        <f t="shared" si="2"/>
        <v>47</v>
      </c>
      <c r="AP54" s="75"/>
      <c r="AQ54" s="75"/>
      <c r="AT54" s="75">
        <f t="shared" si="3"/>
        <v>47</v>
      </c>
      <c r="AU54" s="75"/>
      <c r="AV54" s="75"/>
      <c r="AY54" s="75">
        <f t="shared" si="4"/>
        <v>47</v>
      </c>
      <c r="AZ54" s="75"/>
      <c r="BA54" s="75"/>
      <c r="BD54" s="75">
        <f t="shared" si="5"/>
        <v>47</v>
      </c>
      <c r="BE54" s="75"/>
      <c r="BF54" s="75"/>
      <c r="BI54" s="75">
        <f t="shared" si="6"/>
        <v>47</v>
      </c>
      <c r="BJ54" s="75"/>
      <c r="BK54" s="75"/>
      <c r="BN54" s="75">
        <f t="shared" si="7"/>
        <v>47</v>
      </c>
      <c r="BO54" s="75"/>
      <c r="BP54" s="75"/>
      <c r="BS54" s="75">
        <f t="shared" si="8"/>
        <v>47</v>
      </c>
      <c r="BT54" s="75"/>
      <c r="BU54" s="75"/>
      <c r="BX54" s="1773">
        <f t="shared" si="10"/>
        <v>0</v>
      </c>
      <c r="BY54" s="857">
        <v>0</v>
      </c>
      <c r="BZ54" s="162">
        <v>0</v>
      </c>
    </row>
    <row r="55" spans="1:78">
      <c r="A55" s="726">
        <f t="shared" si="11"/>
        <v>45</v>
      </c>
      <c r="B55" s="103">
        <v>909</v>
      </c>
      <c r="C55" s="23" t="str">
        <f>VLOOKUP(B55,'Stmt H'!$B:$D,3,FALSE)</f>
        <v>Informational/Instructional Advertising Expense</v>
      </c>
      <c r="D55" s="23"/>
      <c r="E55" s="768">
        <f>HLOOKUP(Attach,$AF$8:$BG$205,AE55,FALSE)</f>
        <v>12161.17</v>
      </c>
      <c r="F55" s="207"/>
      <c r="G55" s="768">
        <f>HLOOKUP(Attach,$AK$8:$AM$205,AJ55,FALSE)</f>
        <v>14.05546900000013</v>
      </c>
      <c r="H55" s="768"/>
      <c r="I55" s="768">
        <f>HLOOKUP(Attach,$AP$8:$AR$205,AO55,FALSE)</f>
        <v>-5.7408690000002878</v>
      </c>
      <c r="J55" s="768"/>
      <c r="K55" s="768">
        <f>HLOOKUP(Attach,$AU$8:$AW$205,AT55,FALSE)</f>
        <v>0</v>
      </c>
      <c r="L55" s="768"/>
      <c r="M55" s="768">
        <f>HLOOKUP(Attach,$AZ$8:$BB$205,AY55,FALSE)</f>
        <v>0</v>
      </c>
      <c r="N55" s="768"/>
      <c r="O55" s="768">
        <f>HLOOKUP(Attach,$BE$8:$BG$205,BD55,FALSE)</f>
        <v>0</v>
      </c>
      <c r="P55" s="768"/>
      <c r="Q55" s="768">
        <f>HLOOKUP(Attach,$BJ$8:$BL$205,BI55,FALSE)</f>
        <v>0</v>
      </c>
      <c r="R55" s="768"/>
      <c r="S55" s="768">
        <f>HLOOKUP(Attach,$BO$8:$BQ$205,BN55,FALSE)</f>
        <v>0</v>
      </c>
      <c r="T55" s="768"/>
      <c r="U55" s="768">
        <f>HLOOKUP(Attach,$BT$8:$BV$205,BS55,FALSE)</f>
        <v>0</v>
      </c>
      <c r="V55" s="768"/>
      <c r="W55" s="768">
        <v>0</v>
      </c>
      <c r="X55" s="768"/>
      <c r="Y55" s="768">
        <v>0</v>
      </c>
      <c r="Z55" s="768"/>
      <c r="AA55" s="768">
        <f>G55+E55+I55+K55+M55+O55+Q55+S55+U55+W55+Y55</f>
        <v>12169.4846</v>
      </c>
      <c r="AB55" s="857"/>
      <c r="AC55" s="857">
        <f>AA55-E55</f>
        <v>8.3145999999997002</v>
      </c>
      <c r="AD55" s="329"/>
      <c r="AE55" s="75">
        <f t="shared" si="0"/>
        <v>48</v>
      </c>
      <c r="AF55" s="1168">
        <v>11364.32</v>
      </c>
      <c r="AG55" s="1176">
        <v>796.85</v>
      </c>
      <c r="AH55" s="937">
        <f>+AF55++AG55</f>
        <v>12161.17</v>
      </c>
      <c r="AJ55" s="75">
        <f t="shared" si="1"/>
        <v>48</v>
      </c>
      <c r="AK55" s="1176">
        <v>32.176959000000124</v>
      </c>
      <c r="AL55" s="1176">
        <v>-18.121489999999994</v>
      </c>
      <c r="AM55" s="937">
        <f>+AK55++AL55</f>
        <v>14.05546900000013</v>
      </c>
      <c r="AO55" s="75">
        <f t="shared" si="2"/>
        <v>48</v>
      </c>
      <c r="AP55" s="1176">
        <v>-22.539295000000152</v>
      </c>
      <c r="AQ55" s="1176">
        <v>15.561617999999925</v>
      </c>
      <c r="AR55" s="937">
        <f>IF($AR$1="Y",BX55,AP55++AQ55)</f>
        <v>-5.7408690000002878</v>
      </c>
      <c r="AT55" s="75">
        <f t="shared" si="3"/>
        <v>48</v>
      </c>
      <c r="AU55" s="1176"/>
      <c r="AV55" s="1176"/>
      <c r="AW55" s="937">
        <f>+AU55++AV55</f>
        <v>0</v>
      </c>
      <c r="AY55" s="75">
        <f t="shared" si="4"/>
        <v>48</v>
      </c>
      <c r="AZ55" s="1176"/>
      <c r="BA55" s="1176"/>
      <c r="BB55" s="937">
        <f>+AZ55++BA55</f>
        <v>0</v>
      </c>
      <c r="BD55" s="75">
        <f t="shared" si="5"/>
        <v>48</v>
      </c>
      <c r="BE55" s="1176"/>
      <c r="BF55" s="1176"/>
      <c r="BG55" s="937">
        <f>+BE55++BF55</f>
        <v>0</v>
      </c>
      <c r="BI55" s="75">
        <f t="shared" si="6"/>
        <v>48</v>
      </c>
      <c r="BJ55" s="1176"/>
      <c r="BK55" s="1176"/>
      <c r="BL55" s="937">
        <f>+BJ55++BK55</f>
        <v>0</v>
      </c>
      <c r="BN55" s="75">
        <f t="shared" si="7"/>
        <v>48</v>
      </c>
      <c r="BO55" s="1176"/>
      <c r="BP55" s="1176"/>
      <c r="BQ55" s="937">
        <f>+BO55++BP55</f>
        <v>0</v>
      </c>
      <c r="BS55" s="75">
        <f t="shared" si="8"/>
        <v>48</v>
      </c>
      <c r="BT55" s="1176"/>
      <c r="BU55" s="1176"/>
      <c r="BV55" s="937">
        <f>+BT55++BU55</f>
        <v>0</v>
      </c>
      <c r="BX55" s="1773">
        <f t="shared" si="10"/>
        <v>-5.7408690000002878</v>
      </c>
      <c r="BY55" s="857">
        <v>-23.776103000000205</v>
      </c>
      <c r="BZ55" s="162">
        <v>18.035233999999917</v>
      </c>
    </row>
    <row r="56" spans="1:78">
      <c r="A56" s="726">
        <f t="shared" si="11"/>
        <v>46</v>
      </c>
      <c r="B56" s="103"/>
      <c r="C56" s="23"/>
      <c r="D56" s="23"/>
      <c r="E56" s="768"/>
      <c r="F56" s="207"/>
      <c r="G56" s="768"/>
      <c r="H56" s="768"/>
      <c r="I56" s="768"/>
      <c r="J56" s="768"/>
      <c r="K56" s="768"/>
      <c r="L56" s="768"/>
      <c r="M56" s="768"/>
      <c r="N56" s="768"/>
      <c r="O56" s="768"/>
      <c r="P56" s="768"/>
      <c r="Q56" s="768"/>
      <c r="R56" s="768"/>
      <c r="S56" s="768"/>
      <c r="T56" s="768"/>
      <c r="U56" s="768"/>
      <c r="V56" s="768"/>
      <c r="W56" s="768"/>
      <c r="X56" s="768"/>
      <c r="Y56" s="768"/>
      <c r="Z56" s="768"/>
      <c r="AA56" s="768"/>
      <c r="AB56" s="857"/>
      <c r="AC56" s="857"/>
      <c r="AD56" s="329"/>
      <c r="AE56" s="75">
        <f t="shared" si="0"/>
        <v>49</v>
      </c>
      <c r="AF56" s="1175"/>
      <c r="AG56" s="1177"/>
      <c r="AH56" s="75"/>
      <c r="AJ56" s="75">
        <f t="shared" si="1"/>
        <v>49</v>
      </c>
      <c r="AK56" s="1177"/>
      <c r="AL56" s="1177"/>
      <c r="AO56" s="75">
        <f t="shared" si="2"/>
        <v>49</v>
      </c>
      <c r="AP56" s="75"/>
      <c r="AQ56" s="75"/>
      <c r="AT56" s="75">
        <f t="shared" si="3"/>
        <v>49</v>
      </c>
      <c r="AU56" s="75"/>
      <c r="AV56" s="75"/>
      <c r="AY56" s="75">
        <f t="shared" si="4"/>
        <v>49</v>
      </c>
      <c r="AZ56" s="75"/>
      <c r="BA56" s="75"/>
      <c r="BD56" s="75">
        <f t="shared" si="5"/>
        <v>49</v>
      </c>
      <c r="BE56" s="75"/>
      <c r="BF56" s="75"/>
      <c r="BI56" s="75">
        <f t="shared" si="6"/>
        <v>49</v>
      </c>
      <c r="BJ56" s="75"/>
      <c r="BK56" s="75"/>
      <c r="BN56" s="75">
        <f t="shared" si="7"/>
        <v>49</v>
      </c>
      <c r="BO56" s="75"/>
      <c r="BP56" s="75"/>
      <c r="BS56" s="75">
        <f t="shared" si="8"/>
        <v>49</v>
      </c>
      <c r="BT56" s="75"/>
      <c r="BU56" s="75"/>
      <c r="BX56" s="1773">
        <f t="shared" si="10"/>
        <v>0</v>
      </c>
      <c r="BY56" s="857">
        <v>0</v>
      </c>
      <c r="BZ56" s="162">
        <v>0</v>
      </c>
    </row>
    <row r="57" spans="1:78">
      <c r="A57" s="726">
        <f t="shared" si="11"/>
        <v>47</v>
      </c>
      <c r="B57" s="103">
        <v>910</v>
      </c>
      <c r="C57" s="23" t="str">
        <f>VLOOKUP(B57,'Stmt H'!$B:$D,3,FALSE)</f>
        <v>Miscellaneous Cust Serv &amp; Inform Expense</v>
      </c>
      <c r="D57" s="23"/>
      <c r="E57" s="768">
        <f>HLOOKUP(Attach,$AF$8:$BG$205,AE57,FALSE)</f>
        <v>1343.4099999999999</v>
      </c>
      <c r="F57" s="207"/>
      <c r="G57" s="768">
        <f>HLOOKUP(Attach,$AK$8:$AM$205,AJ57,FALSE)</f>
        <v>-30.072660999999925</v>
      </c>
      <c r="H57" s="768"/>
      <c r="I57" s="768">
        <f>HLOOKUP(Attach,$AP$8:$AR$205,AO57,FALSE)</f>
        <v>2.2845919999999751</v>
      </c>
      <c r="J57" s="768"/>
      <c r="K57" s="768">
        <f>HLOOKUP(Attach,$AU$8:$AW$205,AT57,FALSE)</f>
        <v>0</v>
      </c>
      <c r="L57" s="768"/>
      <c r="M57" s="768">
        <f>HLOOKUP(Attach,$AZ$8:$BB$205,AY57,FALSE)</f>
        <v>0</v>
      </c>
      <c r="N57" s="768"/>
      <c r="O57" s="768">
        <f>HLOOKUP(Attach,$BE$8:$BG$205,BD57,FALSE)</f>
        <v>0</v>
      </c>
      <c r="P57" s="768"/>
      <c r="Q57" s="768">
        <f>HLOOKUP(Attach,$BJ$8:$BL$205,BI57,FALSE)</f>
        <v>0</v>
      </c>
      <c r="R57" s="768"/>
      <c r="S57" s="768">
        <f>HLOOKUP(Attach,$BO$8:$BQ$205,BN57,FALSE)</f>
        <v>0</v>
      </c>
      <c r="T57" s="768"/>
      <c r="U57" s="768">
        <f>HLOOKUP(Attach,$BT$8:$BV$205,BS57,FALSE)</f>
        <v>0</v>
      </c>
      <c r="V57" s="768"/>
      <c r="W57" s="768">
        <v>0</v>
      </c>
      <c r="X57" s="768"/>
      <c r="Y57" s="768">
        <v>0</v>
      </c>
      <c r="Z57" s="768"/>
      <c r="AA57" s="768">
        <f>G57+E57+I57+K57+M57+O57+Q57+S57+U57+W57+Y57</f>
        <v>1315.6219309999999</v>
      </c>
      <c r="AB57" s="857"/>
      <c r="AC57" s="857">
        <f>AA57-E57</f>
        <v>-27.78806899999995</v>
      </c>
      <c r="AD57" s="329"/>
      <c r="AE57" s="75">
        <f t="shared" si="0"/>
        <v>50</v>
      </c>
      <c r="AF57" s="1168">
        <v>775.77</v>
      </c>
      <c r="AG57" s="1176">
        <v>567.64</v>
      </c>
      <c r="AH57" s="937">
        <f>+AF57++AG57</f>
        <v>1343.4099999999999</v>
      </c>
      <c r="AJ57" s="75">
        <f t="shared" si="1"/>
        <v>50</v>
      </c>
      <c r="AK57" s="1176">
        <v>-28.791366000000039</v>
      </c>
      <c r="AL57" s="1176">
        <v>-1.2812949999998864</v>
      </c>
      <c r="AM57" s="937">
        <f>+AK57++AL57</f>
        <v>-30.072660999999925</v>
      </c>
      <c r="AO57" s="75">
        <f t="shared" si="2"/>
        <v>50</v>
      </c>
      <c r="AP57" s="1176">
        <v>-0.36635599999999613</v>
      </c>
      <c r="AQ57" s="1176">
        <v>0.85660199999995257</v>
      </c>
      <c r="AR57" s="937">
        <f>IF($AR$1="Y",BX57,AP57++AQ57)</f>
        <v>2.2845919999999751</v>
      </c>
      <c r="AT57" s="75">
        <f t="shared" si="3"/>
        <v>50</v>
      </c>
      <c r="AU57" s="1176"/>
      <c r="AV57" s="1176"/>
      <c r="AW57" s="937">
        <f>+AU57++AV57</f>
        <v>0</v>
      </c>
      <c r="AY57" s="75">
        <f t="shared" si="4"/>
        <v>50</v>
      </c>
      <c r="AZ57" s="1176"/>
      <c r="BA57" s="1176"/>
      <c r="BB57" s="937">
        <f>+AZ57++BA57</f>
        <v>0</v>
      </c>
      <c r="BD57" s="75">
        <f t="shared" si="5"/>
        <v>50</v>
      </c>
      <c r="BE57" s="1176"/>
      <c r="BF57" s="1176"/>
      <c r="BG57" s="937">
        <f>+BE57++BF57</f>
        <v>0</v>
      </c>
      <c r="BI57" s="75">
        <f t="shared" si="6"/>
        <v>50</v>
      </c>
      <c r="BJ57" s="1176"/>
      <c r="BK57" s="1176"/>
      <c r="BL57" s="937">
        <f>+BJ57++BK57</f>
        <v>0</v>
      </c>
      <c r="BN57" s="75">
        <f t="shared" si="7"/>
        <v>50</v>
      </c>
      <c r="BO57" s="1176"/>
      <c r="BP57" s="1176"/>
      <c r="BQ57" s="937">
        <f>+BO57++BP57</f>
        <v>0</v>
      </c>
      <c r="BS57" s="75">
        <f t="shared" si="8"/>
        <v>50</v>
      </c>
      <c r="BT57" s="1176"/>
      <c r="BU57" s="1176"/>
      <c r="BV57" s="937">
        <f>+BT57++BU57</f>
        <v>0</v>
      </c>
      <c r="BX57" s="1773">
        <f t="shared" si="10"/>
        <v>2.2845919999999751</v>
      </c>
      <c r="BY57" s="857">
        <v>-13.638811999999916</v>
      </c>
      <c r="BZ57" s="162">
        <v>15.923403999999891</v>
      </c>
    </row>
    <row r="58" spans="1:78">
      <c r="A58" s="726">
        <f t="shared" si="11"/>
        <v>48</v>
      </c>
      <c r="B58" s="103"/>
      <c r="C58" s="23"/>
      <c r="D58" s="23"/>
      <c r="E58" s="768"/>
      <c r="F58" s="207"/>
      <c r="G58" s="768"/>
      <c r="H58" s="768"/>
      <c r="I58" s="768"/>
      <c r="J58" s="768"/>
      <c r="K58" s="768"/>
      <c r="L58" s="768"/>
      <c r="M58" s="768"/>
      <c r="N58" s="768"/>
      <c r="O58" s="768"/>
      <c r="P58" s="768"/>
      <c r="Q58" s="768"/>
      <c r="R58" s="768"/>
      <c r="S58" s="768"/>
      <c r="T58" s="768"/>
      <c r="U58" s="768"/>
      <c r="V58" s="768"/>
      <c r="W58" s="768"/>
      <c r="X58" s="768"/>
      <c r="Y58" s="768"/>
      <c r="Z58" s="768"/>
      <c r="AA58" s="768"/>
      <c r="AB58" s="857"/>
      <c r="AC58" s="857"/>
      <c r="AD58" s="329"/>
      <c r="AE58" s="75">
        <f t="shared" si="0"/>
        <v>51</v>
      </c>
      <c r="AF58" s="1175"/>
      <c r="AG58" s="1177"/>
      <c r="AH58" s="75"/>
      <c r="AJ58" s="75">
        <f t="shared" si="1"/>
        <v>51</v>
      </c>
      <c r="AK58" s="1177"/>
      <c r="AL58" s="1177"/>
      <c r="AO58" s="75">
        <f t="shared" si="2"/>
        <v>51</v>
      </c>
      <c r="AP58" s="75"/>
      <c r="AQ58" s="75"/>
      <c r="AT58" s="75">
        <f t="shared" si="3"/>
        <v>51</v>
      </c>
      <c r="AU58" s="75"/>
      <c r="AV58" s="75"/>
      <c r="AY58" s="75">
        <f t="shared" si="4"/>
        <v>51</v>
      </c>
      <c r="AZ58" s="75"/>
      <c r="BA58" s="75"/>
      <c r="BD58" s="75">
        <f t="shared" si="5"/>
        <v>51</v>
      </c>
      <c r="BE58" s="75"/>
      <c r="BF58" s="75"/>
      <c r="BI58" s="75">
        <f t="shared" si="6"/>
        <v>51</v>
      </c>
      <c r="BJ58" s="75"/>
      <c r="BK58" s="75"/>
      <c r="BN58" s="75">
        <f t="shared" si="7"/>
        <v>51</v>
      </c>
      <c r="BO58" s="75"/>
      <c r="BP58" s="75"/>
      <c r="BS58" s="75">
        <f t="shared" si="8"/>
        <v>51</v>
      </c>
      <c r="BT58" s="75"/>
      <c r="BU58" s="75"/>
      <c r="BX58" s="1773">
        <f t="shared" si="10"/>
        <v>0</v>
      </c>
      <c r="BY58" s="857">
        <v>0</v>
      </c>
      <c r="BZ58" s="162">
        <v>0</v>
      </c>
    </row>
    <row r="59" spans="1:78">
      <c r="A59" s="726">
        <f t="shared" si="11"/>
        <v>49</v>
      </c>
      <c r="B59" s="103">
        <v>912</v>
      </c>
      <c r="C59" s="23" t="str">
        <f>VLOOKUP(B59,'Stmt H'!$B:$D,3,FALSE)</f>
        <v>Demonstrating and Selling  Expense</v>
      </c>
      <c r="D59" s="23"/>
      <c r="E59" s="768">
        <f>HLOOKUP(Attach,$AF$8:$BG$205,AE59,FALSE)</f>
        <v>356299.74</v>
      </c>
      <c r="F59" s="207"/>
      <c r="G59" s="768">
        <f>HLOOKUP(Attach,$AK$8:$AM$205,AJ59,FALSE)</f>
        <v>1398.4169600000168</v>
      </c>
      <c r="H59" s="768"/>
      <c r="I59" s="768">
        <f>HLOOKUP(Attach,$AP$8:$AR$205,AO59,FALSE)</f>
        <v>-2531.9975460000132</v>
      </c>
      <c r="J59" s="768"/>
      <c r="K59" s="768">
        <f>HLOOKUP(Attach,$AU$8:$AW$205,AT59,FALSE)</f>
        <v>0</v>
      </c>
      <c r="L59" s="768"/>
      <c r="M59" s="768">
        <f>HLOOKUP(Attach,$AZ$8:$BB$205,AY59,FALSE)</f>
        <v>0</v>
      </c>
      <c r="N59" s="768"/>
      <c r="O59" s="768">
        <f>HLOOKUP(Attach,$BE$8:$BG$205,BD59,FALSE)</f>
        <v>0</v>
      </c>
      <c r="P59" s="768"/>
      <c r="Q59" s="768">
        <f>HLOOKUP(Attach,$BJ$8:$BL$205,BI59,FALSE)</f>
        <v>0</v>
      </c>
      <c r="R59" s="768"/>
      <c r="S59" s="768">
        <f>HLOOKUP(Attach,$BO$8:$BQ$205,BN59,FALSE)</f>
        <v>0</v>
      </c>
      <c r="T59" s="768"/>
      <c r="U59" s="768">
        <f>HLOOKUP(Attach,$BT$8:$BV$205,BS59,FALSE)</f>
        <v>0</v>
      </c>
      <c r="V59" s="768"/>
      <c r="W59" s="768">
        <v>0</v>
      </c>
      <c r="X59" s="768"/>
      <c r="Y59" s="768">
        <v>0</v>
      </c>
      <c r="Z59" s="768"/>
      <c r="AA59" s="768">
        <f>G59+E59+I59+K59+M59+O59+Q59+S59+U59+W59+Y59</f>
        <v>355166.15941399999</v>
      </c>
      <c r="AB59" s="857"/>
      <c r="AC59" s="857">
        <f>AA59-E59</f>
        <v>-1133.5805859999964</v>
      </c>
      <c r="AD59" s="329"/>
      <c r="AE59" s="75">
        <f t="shared" si="0"/>
        <v>52</v>
      </c>
      <c r="AF59" s="1168">
        <v>209771.89</v>
      </c>
      <c r="AG59" s="1176">
        <v>146527.84999999998</v>
      </c>
      <c r="AH59" s="937">
        <f>+AF59++AG59</f>
        <v>356299.74</v>
      </c>
      <c r="AJ59" s="75">
        <f t="shared" si="1"/>
        <v>52</v>
      </c>
      <c r="AK59" s="1176">
        <v>2655.5007000000041</v>
      </c>
      <c r="AL59" s="1176">
        <v>-1257.0837399999873</v>
      </c>
      <c r="AM59" s="937">
        <f>+AK59++AL59</f>
        <v>1398.4169600000168</v>
      </c>
      <c r="AO59" s="75">
        <f t="shared" si="2"/>
        <v>52</v>
      </c>
      <c r="AP59" s="1176">
        <v>-412.0803079999896</v>
      </c>
      <c r="AQ59" s="1176">
        <v>265.43270200000552</v>
      </c>
      <c r="AR59" s="937">
        <f>IF($AR$1="Y",BX59,AP59++AQ59)</f>
        <v>-2531.9975460000132</v>
      </c>
      <c r="AT59" s="75">
        <f t="shared" si="3"/>
        <v>52</v>
      </c>
      <c r="AU59" s="1176"/>
      <c r="AV59" s="1176"/>
      <c r="AW59" s="937">
        <f>+AU59++AV59</f>
        <v>0</v>
      </c>
      <c r="AY59" s="75">
        <f t="shared" si="4"/>
        <v>52</v>
      </c>
      <c r="AZ59" s="1176"/>
      <c r="BA59" s="1176"/>
      <c r="BB59" s="937">
        <f>+AZ59++BA59</f>
        <v>0</v>
      </c>
      <c r="BD59" s="75">
        <f t="shared" si="5"/>
        <v>52</v>
      </c>
      <c r="BE59" s="1176"/>
      <c r="BF59" s="1176"/>
      <c r="BG59" s="937">
        <f>+BE59++BF59</f>
        <v>0</v>
      </c>
      <c r="BI59" s="75">
        <f t="shared" si="6"/>
        <v>52</v>
      </c>
      <c r="BJ59" s="1176"/>
      <c r="BK59" s="1176"/>
      <c r="BL59" s="937">
        <f>+BJ59++BK59</f>
        <v>0</v>
      </c>
      <c r="BN59" s="75">
        <f t="shared" si="7"/>
        <v>52</v>
      </c>
      <c r="BO59" s="1176"/>
      <c r="BP59" s="1176"/>
      <c r="BQ59" s="937">
        <f>+BO59++BP59</f>
        <v>0</v>
      </c>
      <c r="BS59" s="75">
        <f t="shared" si="8"/>
        <v>52</v>
      </c>
      <c r="BT59" s="1176"/>
      <c r="BU59" s="1176"/>
      <c r="BV59" s="937">
        <f>+BT59++BU59</f>
        <v>0</v>
      </c>
      <c r="BX59" s="1773">
        <f t="shared" si="10"/>
        <v>-2531.9975460000132</v>
      </c>
      <c r="BY59" s="857">
        <v>-3902.7764400000015</v>
      </c>
      <c r="BZ59" s="162">
        <v>1370.7788939999882</v>
      </c>
    </row>
    <row r="60" spans="1:78">
      <c r="A60" s="726">
        <f t="shared" si="11"/>
        <v>50</v>
      </c>
      <c r="B60" s="103"/>
      <c r="C60" s="23"/>
      <c r="D60" s="23"/>
      <c r="E60" s="768"/>
      <c r="F60" s="207"/>
      <c r="G60" s="768"/>
      <c r="H60" s="768"/>
      <c r="I60" s="768"/>
      <c r="J60" s="768"/>
      <c r="K60" s="768"/>
      <c r="L60" s="768"/>
      <c r="M60" s="768"/>
      <c r="N60" s="768"/>
      <c r="O60" s="768"/>
      <c r="P60" s="768"/>
      <c r="Q60" s="768"/>
      <c r="R60" s="768"/>
      <c r="S60" s="768"/>
      <c r="T60" s="768"/>
      <c r="U60" s="768"/>
      <c r="V60" s="768"/>
      <c r="W60" s="768"/>
      <c r="X60" s="768"/>
      <c r="Y60" s="768"/>
      <c r="Z60" s="768"/>
      <c r="AA60" s="768"/>
      <c r="AB60" s="857"/>
      <c r="AC60" s="857"/>
      <c r="AD60" s="329"/>
      <c r="AE60" s="75">
        <f t="shared" si="0"/>
        <v>53</v>
      </c>
      <c r="AF60" s="1175"/>
      <c r="AG60" s="1177"/>
      <c r="AH60" s="75"/>
      <c r="AJ60" s="75">
        <f t="shared" si="1"/>
        <v>53</v>
      </c>
      <c r="AK60" s="1177"/>
      <c r="AL60" s="1177"/>
      <c r="AM60" s="75"/>
      <c r="AO60" s="75">
        <f t="shared" si="2"/>
        <v>53</v>
      </c>
      <c r="AP60" s="75"/>
      <c r="AQ60" s="75"/>
      <c r="AR60" s="75"/>
      <c r="AT60" s="75">
        <f t="shared" si="3"/>
        <v>53</v>
      </c>
      <c r="AU60" s="75"/>
      <c r="AV60" s="75"/>
      <c r="AW60" s="75"/>
      <c r="AY60" s="75">
        <f t="shared" si="4"/>
        <v>53</v>
      </c>
      <c r="AZ60" s="75"/>
      <c r="BA60" s="75"/>
      <c r="BB60" s="75"/>
      <c r="BD60" s="75">
        <f t="shared" si="5"/>
        <v>53</v>
      </c>
      <c r="BE60" s="75"/>
      <c r="BF60" s="75"/>
      <c r="BG60" s="75"/>
      <c r="BI60" s="75">
        <f t="shared" si="6"/>
        <v>53</v>
      </c>
      <c r="BJ60" s="75"/>
      <c r="BK60" s="75"/>
      <c r="BL60" s="75"/>
      <c r="BN60" s="75">
        <f t="shared" si="7"/>
        <v>53</v>
      </c>
      <c r="BO60" s="75"/>
      <c r="BP60" s="75"/>
      <c r="BQ60" s="75"/>
      <c r="BS60" s="75">
        <f t="shared" si="8"/>
        <v>53</v>
      </c>
      <c r="BT60" s="75"/>
      <c r="BU60" s="75"/>
      <c r="BV60" s="75"/>
      <c r="BX60" s="1773">
        <f t="shared" si="10"/>
        <v>0</v>
      </c>
      <c r="BY60" s="857">
        <v>0</v>
      </c>
      <c r="BZ60" s="162">
        <v>0</v>
      </c>
    </row>
    <row r="61" spans="1:78">
      <c r="A61" s="726">
        <f t="shared" si="11"/>
        <v>51</v>
      </c>
      <c r="B61" s="103">
        <v>913</v>
      </c>
      <c r="C61" s="23" t="str">
        <f>VLOOKUP(B61,'Stmt H'!$B:$D,3,FALSE)</f>
        <v>Advertising Expenses</v>
      </c>
      <c r="D61" s="23" t="s">
        <v>1300</v>
      </c>
      <c r="E61" s="768">
        <f>HLOOKUP(Attach,$AF$8:$BG$205,AE61,FALSE)</f>
        <v>88595.77</v>
      </c>
      <c r="F61" s="207"/>
      <c r="G61" s="768">
        <f>HLOOKUP(Attach,$AK$8:$AM$205,AJ61,FALSE)</f>
        <v>98.154727000000548</v>
      </c>
      <c r="H61" s="768"/>
      <c r="I61" s="768">
        <f>HLOOKUP(Attach,$AP$8:$AR$205,AO61,FALSE)</f>
        <v>-16.69553999999944</v>
      </c>
      <c r="J61" s="768"/>
      <c r="K61" s="768">
        <f>HLOOKUP(Attach,$AU$8:$AW$205,AT61,FALSE)</f>
        <v>0</v>
      </c>
      <c r="L61" s="768"/>
      <c r="M61" s="768">
        <f>HLOOKUP(Attach,$AZ$8:$BB$205,AY61,FALSE)</f>
        <v>0</v>
      </c>
      <c r="N61" s="768"/>
      <c r="O61" s="768">
        <f>HLOOKUP(Attach,$BE$8:$BG$205,BD61,FALSE)</f>
        <v>0</v>
      </c>
      <c r="P61" s="768"/>
      <c r="Q61" s="768">
        <f>HLOOKUP(Attach,$BJ$8:$BL$205,BI61,FALSE)</f>
        <v>0</v>
      </c>
      <c r="R61" s="768"/>
      <c r="S61" s="768">
        <f>HLOOKUP(Attach,$BO$8:$BQ$205,BN61,FALSE)</f>
        <v>0</v>
      </c>
      <c r="T61" s="768"/>
      <c r="U61" s="768">
        <f>HLOOKUP(Attach,$BT$8:$BV$205,BS61,FALSE)</f>
        <v>0</v>
      </c>
      <c r="V61" s="768"/>
      <c r="W61" s="768">
        <v>0</v>
      </c>
      <c r="X61" s="768"/>
      <c r="Y61" s="768">
        <v>0</v>
      </c>
      <c r="Z61" s="768"/>
      <c r="AA61" s="768">
        <f>G61+E61+I61+K61+M61+O61+Q61+S61+U61+W61+Y61</f>
        <v>88677.229187000004</v>
      </c>
      <c r="AB61" s="857"/>
      <c r="AC61" s="857">
        <f>AA61-E61</f>
        <v>81.459187000000384</v>
      </c>
      <c r="AD61" s="329"/>
      <c r="AE61" s="75">
        <f t="shared" si="0"/>
        <v>54</v>
      </c>
      <c r="AF61" s="1168">
        <v>82914.86</v>
      </c>
      <c r="AG61" s="1176">
        <v>5680.91</v>
      </c>
      <c r="AH61" s="937">
        <f>+AF61++AG61</f>
        <v>88595.77</v>
      </c>
      <c r="AJ61" s="75">
        <f t="shared" si="1"/>
        <v>54</v>
      </c>
      <c r="AK61" s="1176">
        <v>155.14072900000065</v>
      </c>
      <c r="AL61" s="1176">
        <v>-56.986002000000099</v>
      </c>
      <c r="AM61" s="937">
        <f>+AK61++AL61</f>
        <v>98.154727000000548</v>
      </c>
      <c r="AO61" s="75">
        <f t="shared" si="2"/>
        <v>54</v>
      </c>
      <c r="AP61" s="1176">
        <v>-104.95932299999964</v>
      </c>
      <c r="AQ61" s="1176">
        <v>89.76241000000023</v>
      </c>
      <c r="AR61" s="937">
        <f>IF($AR$1="Y",BX61,AP61++AQ61)</f>
        <v>-16.69553999999944</v>
      </c>
      <c r="AT61" s="75">
        <f t="shared" si="3"/>
        <v>54</v>
      </c>
      <c r="AU61" s="1176"/>
      <c r="AV61" s="1176"/>
      <c r="AW61" s="937">
        <f>+AU61++AV61</f>
        <v>0</v>
      </c>
      <c r="AY61" s="75">
        <f t="shared" si="4"/>
        <v>54</v>
      </c>
      <c r="AZ61" s="1176"/>
      <c r="BA61" s="1176"/>
      <c r="BB61" s="937">
        <f>+AZ61++BA61</f>
        <v>0</v>
      </c>
      <c r="BD61" s="75">
        <f t="shared" si="5"/>
        <v>54</v>
      </c>
      <c r="BE61" s="1176"/>
      <c r="BF61" s="1176"/>
      <c r="BG61" s="937">
        <f>+BE61++BF61</f>
        <v>0</v>
      </c>
      <c r="BI61" s="75">
        <f t="shared" si="6"/>
        <v>54</v>
      </c>
      <c r="BJ61" s="1176"/>
      <c r="BK61" s="1176"/>
      <c r="BL61" s="937">
        <f>+BJ61++BK61</f>
        <v>0</v>
      </c>
      <c r="BN61" s="75">
        <f t="shared" si="7"/>
        <v>54</v>
      </c>
      <c r="BO61" s="1176"/>
      <c r="BP61" s="1176"/>
      <c r="BQ61" s="937">
        <f>+BO61++BP61</f>
        <v>0</v>
      </c>
      <c r="BS61" s="75">
        <f t="shared" si="8"/>
        <v>54</v>
      </c>
      <c r="BT61" s="1176"/>
      <c r="BU61" s="1176"/>
      <c r="BV61" s="937">
        <f>+BT61++BU61</f>
        <v>0</v>
      </c>
      <c r="BX61" s="1773">
        <f t="shared" si="10"/>
        <v>-16.69553999999944</v>
      </c>
      <c r="BY61" s="857">
        <v>-108.41425699999968</v>
      </c>
      <c r="BZ61" s="162">
        <v>91.71871700000024</v>
      </c>
    </row>
    <row r="62" spans="1:78">
      <c r="A62" s="726">
        <f t="shared" si="11"/>
        <v>52</v>
      </c>
      <c r="B62" s="103"/>
      <c r="C62" s="23"/>
      <c r="D62" s="23"/>
      <c r="E62" s="768"/>
      <c r="F62" s="207"/>
      <c r="G62" s="768"/>
      <c r="H62" s="768"/>
      <c r="I62" s="768"/>
      <c r="J62" s="768"/>
      <c r="K62" s="768"/>
      <c r="L62" s="768"/>
      <c r="M62" s="768"/>
      <c r="N62" s="768"/>
      <c r="O62" s="768"/>
      <c r="P62" s="768"/>
      <c r="Q62" s="768"/>
      <c r="R62" s="768"/>
      <c r="S62" s="768"/>
      <c r="T62" s="768"/>
      <c r="U62" s="768"/>
      <c r="V62" s="768"/>
      <c r="W62" s="768"/>
      <c r="X62" s="768"/>
      <c r="Y62" s="768"/>
      <c r="Z62" s="768"/>
      <c r="AA62" s="768"/>
      <c r="AB62" s="857"/>
      <c r="AC62" s="857"/>
      <c r="AD62" s="329"/>
      <c r="AE62" s="75">
        <f t="shared" si="0"/>
        <v>55</v>
      </c>
      <c r="AF62" s="1175"/>
      <c r="AG62" s="1177"/>
      <c r="AH62" s="75"/>
      <c r="AJ62" s="75">
        <f t="shared" si="1"/>
        <v>55</v>
      </c>
      <c r="AK62" s="1177"/>
      <c r="AL62" s="1177"/>
      <c r="AO62" s="75">
        <f t="shared" si="2"/>
        <v>55</v>
      </c>
      <c r="AP62" s="75"/>
      <c r="AQ62" s="75"/>
      <c r="AT62" s="75">
        <f t="shared" si="3"/>
        <v>55</v>
      </c>
      <c r="AU62" s="75"/>
      <c r="AV62" s="75"/>
      <c r="AY62" s="75">
        <f t="shared" si="4"/>
        <v>55</v>
      </c>
      <c r="AZ62" s="75"/>
      <c r="BA62" s="75"/>
      <c r="BD62" s="75">
        <f t="shared" si="5"/>
        <v>55</v>
      </c>
      <c r="BE62" s="75"/>
      <c r="BF62" s="75"/>
      <c r="BI62" s="75">
        <f t="shared" si="6"/>
        <v>55</v>
      </c>
      <c r="BJ62" s="75"/>
      <c r="BK62" s="75"/>
      <c r="BN62" s="75">
        <f t="shared" si="7"/>
        <v>55</v>
      </c>
      <c r="BO62" s="75"/>
      <c r="BP62" s="75"/>
      <c r="BS62" s="75">
        <f t="shared" si="8"/>
        <v>55</v>
      </c>
      <c r="BT62" s="75"/>
      <c r="BU62" s="75"/>
      <c r="BX62" s="1773">
        <f t="shared" si="10"/>
        <v>0</v>
      </c>
      <c r="BY62" s="857">
        <v>0</v>
      </c>
      <c r="BZ62" s="162">
        <v>0</v>
      </c>
    </row>
    <row r="63" spans="1:78">
      <c r="A63" s="726">
        <f t="shared" si="11"/>
        <v>53</v>
      </c>
      <c r="B63" s="103">
        <v>916</v>
      </c>
      <c r="C63" s="23" t="str">
        <f>VLOOKUP(B63,'Stmt H'!$B:$D,3,FALSE)</f>
        <v>Miscellaneous Sales Expense</v>
      </c>
      <c r="D63" s="23"/>
      <c r="E63" s="768">
        <f>HLOOKUP(Attach,$AF$8:$BG$205,AE63,FALSE)</f>
        <v>326.27000000000021</v>
      </c>
      <c r="F63" s="207"/>
      <c r="G63" s="768">
        <f>HLOOKUP(Attach,$AK$8:$AM$205,AJ63,FALSE)</f>
        <v>1.0599929999997926</v>
      </c>
      <c r="H63" s="768"/>
      <c r="I63" s="768">
        <f>HLOOKUP(Attach,$AP$8:$AR$205,AO63,FALSE)</f>
        <v>-6.3570489999999893</v>
      </c>
      <c r="J63" s="768"/>
      <c r="K63" s="768">
        <f>HLOOKUP(Attach,$AU$8:$AW$205,AT63,FALSE)</f>
        <v>0</v>
      </c>
      <c r="L63" s="768"/>
      <c r="M63" s="768">
        <f>HLOOKUP(Attach,$AZ$8:$BB$205,AY63,FALSE)</f>
        <v>0</v>
      </c>
      <c r="N63" s="768"/>
      <c r="O63" s="768">
        <f>HLOOKUP(Attach,$BE$8:$BG$205,BD63,FALSE)</f>
        <v>0</v>
      </c>
      <c r="P63" s="768"/>
      <c r="Q63" s="768">
        <f>HLOOKUP(Attach,$BJ$8:$BL$205,BI63,FALSE)</f>
        <v>0</v>
      </c>
      <c r="R63" s="768"/>
      <c r="S63" s="768">
        <f>HLOOKUP(Attach,$BO$8:$BQ$205,BN63,FALSE)</f>
        <v>0</v>
      </c>
      <c r="T63" s="768"/>
      <c r="U63" s="768">
        <f>HLOOKUP(Attach,$BT$8:$BV$205,BS63,FALSE)</f>
        <v>0</v>
      </c>
      <c r="V63" s="768"/>
      <c r="W63" s="768">
        <v>0</v>
      </c>
      <c r="X63" s="768"/>
      <c r="Y63" s="768">
        <v>0</v>
      </c>
      <c r="Z63" s="768"/>
      <c r="AA63" s="768">
        <f>G63+E63+I63+K63+M63+O63+Q63+S63+U63+W63+Y63</f>
        <v>320.97294399999998</v>
      </c>
      <c r="AB63" s="857"/>
      <c r="AC63" s="857">
        <f>AA63-E63</f>
        <v>-5.2970560000002251</v>
      </c>
      <c r="AD63" s="329"/>
      <c r="AE63" s="75">
        <f t="shared" si="0"/>
        <v>56</v>
      </c>
      <c r="AF63" s="1168">
        <v>185.20000000000019</v>
      </c>
      <c r="AG63" s="1176">
        <v>141.07000000000002</v>
      </c>
      <c r="AH63" s="937">
        <f>+AF63++AG63</f>
        <v>326.27000000000021</v>
      </c>
      <c r="AJ63" s="75">
        <f t="shared" si="1"/>
        <v>56</v>
      </c>
      <c r="AK63" s="1176">
        <v>5.0113849999998195</v>
      </c>
      <c r="AL63" s="1176">
        <v>-3.9513920000000269</v>
      </c>
      <c r="AM63" s="937">
        <f>+AK63++AL63</f>
        <v>1.0599929999997926</v>
      </c>
      <c r="AO63" s="75">
        <f t="shared" si="2"/>
        <v>56</v>
      </c>
      <c r="AP63" s="1176">
        <v>-0.97234499999999002</v>
      </c>
      <c r="AQ63" s="1176">
        <v>0.69869800000000737</v>
      </c>
      <c r="AR63" s="937">
        <f>IF($AR$1="Y",BX63,AP63++AQ63)</f>
        <v>-6.3570489999999893</v>
      </c>
      <c r="AT63" s="75">
        <f t="shared" si="3"/>
        <v>56</v>
      </c>
      <c r="AU63" s="1176"/>
      <c r="AV63" s="1176"/>
      <c r="AW63" s="937">
        <f>+AU63++AV63</f>
        <v>0</v>
      </c>
      <c r="AY63" s="75">
        <f t="shared" si="4"/>
        <v>56</v>
      </c>
      <c r="AZ63" s="1176"/>
      <c r="BA63" s="1176"/>
      <c r="BB63" s="937">
        <f>+AZ63++BA63</f>
        <v>0</v>
      </c>
      <c r="BD63" s="75">
        <f t="shared" si="5"/>
        <v>56</v>
      </c>
      <c r="BE63" s="1176"/>
      <c r="BF63" s="1176"/>
      <c r="BG63" s="937">
        <f>+BE63++BF63</f>
        <v>0</v>
      </c>
      <c r="BI63" s="75">
        <f t="shared" si="6"/>
        <v>56</v>
      </c>
      <c r="BJ63" s="1176"/>
      <c r="BK63" s="1176"/>
      <c r="BL63" s="937">
        <f>+BJ63++BK63</f>
        <v>0</v>
      </c>
      <c r="BN63" s="75">
        <f t="shared" si="7"/>
        <v>56</v>
      </c>
      <c r="BO63" s="1176"/>
      <c r="BP63" s="1176"/>
      <c r="BQ63" s="937">
        <f>+BO63++BP63</f>
        <v>0</v>
      </c>
      <c r="BS63" s="75">
        <f t="shared" si="8"/>
        <v>56</v>
      </c>
      <c r="BT63" s="1176"/>
      <c r="BU63" s="1176"/>
      <c r="BV63" s="937">
        <f>+BT63++BU63</f>
        <v>0</v>
      </c>
      <c r="BX63" s="1773">
        <f t="shared" si="10"/>
        <v>-6.3570489999999893</v>
      </c>
      <c r="BY63" s="857">
        <v>-9.8081760000000031</v>
      </c>
      <c r="BZ63" s="162">
        <v>3.4511270000000138</v>
      </c>
    </row>
    <row r="64" spans="1:78">
      <c r="A64" s="726">
        <f t="shared" si="11"/>
        <v>54</v>
      </c>
      <c r="B64" s="103"/>
      <c r="C64" s="23"/>
      <c r="D64" s="23"/>
      <c r="E64" s="768"/>
      <c r="F64" s="207"/>
      <c r="G64" s="768"/>
      <c r="H64" s="768"/>
      <c r="I64" s="768"/>
      <c r="J64" s="768"/>
      <c r="K64" s="768"/>
      <c r="L64" s="768"/>
      <c r="M64" s="768"/>
      <c r="N64" s="768"/>
      <c r="O64" s="768"/>
      <c r="P64" s="768"/>
      <c r="Q64" s="768"/>
      <c r="R64" s="768"/>
      <c r="S64" s="768"/>
      <c r="T64" s="768"/>
      <c r="U64" s="768"/>
      <c r="V64" s="768"/>
      <c r="W64" s="768"/>
      <c r="X64" s="768"/>
      <c r="Y64" s="768"/>
      <c r="Z64" s="768"/>
      <c r="AA64" s="768"/>
      <c r="AB64" s="857"/>
      <c r="AC64" s="857"/>
      <c r="AD64" s="329"/>
      <c r="AE64" s="75">
        <f t="shared" si="0"/>
        <v>57</v>
      </c>
      <c r="AF64" s="1175"/>
      <c r="AG64" s="1177"/>
      <c r="AH64" s="75"/>
      <c r="AJ64" s="75">
        <f t="shared" si="1"/>
        <v>57</v>
      </c>
      <c r="AK64" s="1177"/>
      <c r="AL64" s="1177"/>
      <c r="AO64" s="75">
        <f t="shared" si="2"/>
        <v>57</v>
      </c>
      <c r="AP64" s="75"/>
      <c r="AQ64" s="75"/>
      <c r="AT64" s="75">
        <f t="shared" si="3"/>
        <v>57</v>
      </c>
      <c r="AU64" s="75"/>
      <c r="AV64" s="75"/>
      <c r="AY64" s="75">
        <f t="shared" si="4"/>
        <v>57</v>
      </c>
      <c r="AZ64" s="75"/>
      <c r="BA64" s="75"/>
      <c r="BD64" s="75">
        <f t="shared" si="5"/>
        <v>57</v>
      </c>
      <c r="BE64" s="75"/>
      <c r="BF64" s="75"/>
      <c r="BI64" s="75">
        <f t="shared" si="6"/>
        <v>57</v>
      </c>
      <c r="BJ64" s="75"/>
      <c r="BK64" s="75"/>
      <c r="BN64" s="75">
        <f t="shared" si="7"/>
        <v>57</v>
      </c>
      <c r="BO64" s="75"/>
      <c r="BP64" s="75"/>
      <c r="BS64" s="75">
        <f t="shared" si="8"/>
        <v>57</v>
      </c>
      <c r="BT64" s="75"/>
      <c r="BU64" s="75"/>
      <c r="BX64" s="1773">
        <f t="shared" si="10"/>
        <v>0</v>
      </c>
      <c r="BY64" s="857">
        <v>0</v>
      </c>
      <c r="BZ64" s="162">
        <v>0</v>
      </c>
    </row>
    <row r="65" spans="1:78">
      <c r="A65" s="726">
        <f t="shared" si="11"/>
        <v>55</v>
      </c>
      <c r="B65" s="103">
        <v>920</v>
      </c>
      <c r="C65" s="23" t="str">
        <f>VLOOKUP(B65,'Stmt H'!$B:$D,3,FALSE)</f>
        <v>Administrative &amp; General Salaries</v>
      </c>
      <c r="D65" s="23"/>
      <c r="E65" s="768">
        <f>HLOOKUP(Attach,$AF$8:$BG$205,AE65,FALSE)</f>
        <v>10426510.529999999</v>
      </c>
      <c r="F65" s="207"/>
      <c r="G65" s="768">
        <f>HLOOKUP(Attach,$AK$8:$AM$205,AJ65,FALSE)</f>
        <v>476977.99087299779</v>
      </c>
      <c r="H65" s="768"/>
      <c r="I65" s="768">
        <f>HLOOKUP(Attach,$AP$8:$AR$205,AO65,FALSE)</f>
        <v>-1242.4347839988768</v>
      </c>
      <c r="J65" s="768"/>
      <c r="K65" s="768">
        <f>HLOOKUP(Attach,$AU$8:$AW$205,AT65,FALSE)</f>
        <v>279873</v>
      </c>
      <c r="L65" s="768"/>
      <c r="M65" s="768">
        <f>IF($M$101="Y",M102,HLOOKUP(Attach,$AZ$8:$BB$205,AY65,FALSE))</f>
        <v>1146907.9162485835</v>
      </c>
      <c r="N65" s="768"/>
      <c r="O65" s="768">
        <f>HLOOKUP(Attach,$BE$8:$BG$205,BD65,FALSE)</f>
        <v>0</v>
      </c>
      <c r="P65" s="768"/>
      <c r="Q65" s="768">
        <f>HLOOKUP(Attach,$BJ$8:$BL$205,BI65,FALSE)</f>
        <v>0</v>
      </c>
      <c r="R65" s="768"/>
      <c r="S65" s="768">
        <f>HLOOKUP(Attach,$BO$8:$BQ$205,BN65,FALSE)</f>
        <v>0</v>
      </c>
      <c r="T65" s="768"/>
      <c r="U65" s="768">
        <f>HLOOKUP(Attach,$BT$8:$BV$205,BS65,FALSE)</f>
        <v>0</v>
      </c>
      <c r="V65" s="768"/>
      <c r="W65" s="768">
        <f>IF(W101="Y",W102,0)</f>
        <v>-266193.5</v>
      </c>
      <c r="X65" s="768"/>
      <c r="Y65" s="768">
        <f>IF(Y101="Y",Y102,0)</f>
        <v>-258294.11089427161</v>
      </c>
      <c r="Z65" s="768"/>
      <c r="AA65" s="768">
        <f>G65+E65+I65+K65+M65+O65+Q65+S65+U65+W65+Y65</f>
        <v>11804539.39144331</v>
      </c>
      <c r="AB65" s="857"/>
      <c r="AC65" s="857">
        <f>AA65-E65</f>
        <v>1378028.861443311</v>
      </c>
      <c r="AD65" s="329"/>
      <c r="AE65" s="75">
        <f t="shared" si="0"/>
        <v>58</v>
      </c>
      <c r="AF65" s="1168">
        <v>6691803.6099999994</v>
      </c>
      <c r="AG65" s="1176">
        <v>3734706.92</v>
      </c>
      <c r="AH65" s="937">
        <f>+AF65++AG65</f>
        <v>10426510.529999999</v>
      </c>
      <c r="AJ65" s="75">
        <f t="shared" si="1"/>
        <v>58</v>
      </c>
      <c r="AK65" s="1176">
        <v>408568.48426799849</v>
      </c>
      <c r="AL65" s="1176">
        <v>68409.506604999304</v>
      </c>
      <c r="AM65" s="937">
        <f>+AK65++AL65</f>
        <v>476977.99087299779</v>
      </c>
      <c r="AO65" s="75">
        <f t="shared" si="2"/>
        <v>58</v>
      </c>
      <c r="AP65" s="1176">
        <v>87.148607001639903</v>
      </c>
      <c r="AQ65" s="1176">
        <v>11597.093206000514</v>
      </c>
      <c r="AR65" s="937">
        <f>IF($AR$1="Y",BX65,AP65++AQ65)</f>
        <v>-1242.4347839988768</v>
      </c>
      <c r="AT65" s="75">
        <f t="shared" si="3"/>
        <v>58</v>
      </c>
      <c r="AU65" s="1176">
        <v>161449</v>
      </c>
      <c r="AV65" s="1176">
        <v>118424</v>
      </c>
      <c r="AW65" s="937">
        <f>+AU65++AV65</f>
        <v>279873</v>
      </c>
      <c r="AY65" s="75">
        <f t="shared" si="4"/>
        <v>58</v>
      </c>
      <c r="AZ65" s="1176">
        <v>839725.53961733321</v>
      </c>
      <c r="BA65" s="1176">
        <v>656971.78819433332</v>
      </c>
      <c r="BB65" s="937">
        <f>+AZ65++BA65</f>
        <v>1496697.3278116665</v>
      </c>
      <c r="BD65" s="75">
        <f t="shared" si="5"/>
        <v>58</v>
      </c>
      <c r="BE65" s="1176"/>
      <c r="BF65" s="1176"/>
      <c r="BG65" s="937">
        <f>+BE65++BF65</f>
        <v>0</v>
      </c>
      <c r="BI65" s="75">
        <f t="shared" si="6"/>
        <v>58</v>
      </c>
      <c r="BJ65" s="1176"/>
      <c r="BK65" s="1176"/>
      <c r="BL65" s="937">
        <f>+BJ65++BK65</f>
        <v>0</v>
      </c>
      <c r="BN65" s="75">
        <f t="shared" si="7"/>
        <v>58</v>
      </c>
      <c r="BO65" s="1176"/>
      <c r="BP65" s="1176"/>
      <c r="BQ65" s="937">
        <f>+BO65++BP65</f>
        <v>0</v>
      </c>
      <c r="BS65" s="75">
        <f t="shared" si="8"/>
        <v>58</v>
      </c>
      <c r="BT65" s="1176"/>
      <c r="BU65" s="1176"/>
      <c r="BV65" s="937">
        <f>+BT65++BU65</f>
        <v>0</v>
      </c>
      <c r="BX65" s="1773">
        <f t="shared" si="10"/>
        <v>-1242.4347839988768</v>
      </c>
      <c r="BY65" s="857">
        <v>-119552.39027599897</v>
      </c>
      <c r="BZ65" s="162">
        <v>118309.9554920001</v>
      </c>
    </row>
    <row r="66" spans="1:78">
      <c r="A66" s="726">
        <f t="shared" si="11"/>
        <v>56</v>
      </c>
      <c r="B66" s="103"/>
      <c r="C66" s="23"/>
      <c r="D66" s="23"/>
      <c r="E66" s="768"/>
      <c r="F66" s="207"/>
      <c r="G66" s="768"/>
      <c r="H66" s="768"/>
      <c r="I66" s="768"/>
      <c r="J66" s="768"/>
      <c r="K66" s="768"/>
      <c r="L66" s="768"/>
      <c r="M66" s="768"/>
      <c r="N66" s="768"/>
      <c r="O66" s="768"/>
      <c r="P66" s="768"/>
      <c r="Q66" s="768"/>
      <c r="R66" s="768"/>
      <c r="S66" s="768"/>
      <c r="T66" s="768"/>
      <c r="U66" s="768"/>
      <c r="V66" s="768"/>
      <c r="W66" s="768"/>
      <c r="X66" s="768"/>
      <c r="Y66" s="768"/>
      <c r="Z66" s="768"/>
      <c r="AA66" s="768"/>
      <c r="AB66" s="857"/>
      <c r="AC66" s="857"/>
      <c r="AD66" s="329"/>
      <c r="AE66" s="75">
        <f t="shared" si="0"/>
        <v>59</v>
      </c>
      <c r="AF66" s="1175"/>
      <c r="AG66" s="1177"/>
      <c r="AH66" s="75"/>
      <c r="AJ66" s="75">
        <f t="shared" si="1"/>
        <v>59</v>
      </c>
      <c r="AK66" s="1177"/>
      <c r="AL66" s="1177"/>
      <c r="AO66" s="75">
        <f t="shared" si="2"/>
        <v>59</v>
      </c>
      <c r="AP66" s="75"/>
      <c r="AQ66" s="75"/>
      <c r="AT66" s="75">
        <f t="shared" si="3"/>
        <v>59</v>
      </c>
      <c r="AU66" s="75"/>
      <c r="AV66" s="75"/>
      <c r="AY66" s="75">
        <f t="shared" si="4"/>
        <v>59</v>
      </c>
      <c r="AZ66" s="75"/>
      <c r="BA66" s="75"/>
      <c r="BD66" s="75">
        <f t="shared" si="5"/>
        <v>59</v>
      </c>
      <c r="BE66" s="75"/>
      <c r="BF66" s="75"/>
      <c r="BI66" s="75">
        <f t="shared" si="6"/>
        <v>59</v>
      </c>
      <c r="BJ66" s="75"/>
      <c r="BK66" s="75"/>
      <c r="BN66" s="75">
        <f t="shared" si="7"/>
        <v>59</v>
      </c>
      <c r="BO66" s="75"/>
      <c r="BP66" s="75"/>
      <c r="BS66" s="75">
        <f t="shared" si="8"/>
        <v>59</v>
      </c>
      <c r="BT66" s="75"/>
      <c r="BU66" s="75"/>
      <c r="BX66" s="1773">
        <f t="shared" si="10"/>
        <v>0</v>
      </c>
      <c r="BY66" s="857">
        <v>0</v>
      </c>
      <c r="BZ66" s="162">
        <v>0</v>
      </c>
    </row>
    <row r="67" spans="1:78">
      <c r="A67" s="726">
        <f t="shared" si="11"/>
        <v>57</v>
      </c>
      <c r="B67" s="103">
        <v>921</v>
      </c>
      <c r="C67" s="23" t="str">
        <f>VLOOKUP(B67,'Stmt H'!$B:$D,3,FALSE)</f>
        <v>Office Supplies &amp; Expense</v>
      </c>
      <c r="D67" s="23"/>
      <c r="E67" s="768">
        <f>HLOOKUP(Attach,$AF$8:$BG$205,AE67,FALSE)</f>
        <v>3125875.5699999994</v>
      </c>
      <c r="F67" s="207"/>
      <c r="G67" s="768">
        <f>HLOOKUP(Attach,$AK$8:$AM$205,AJ67,FALSE)</f>
        <v>132486.98434599978</v>
      </c>
      <c r="H67" s="768"/>
      <c r="I67" s="768">
        <f>HLOOKUP(Attach,$AP$8:$AR$205,AO67,FALSE)</f>
        <v>-2018.472883998882</v>
      </c>
      <c r="J67" s="768"/>
      <c r="K67" s="768">
        <f>HLOOKUP(Attach,$AU$8:$AW$205,AT67,FALSE)</f>
        <v>0</v>
      </c>
      <c r="L67" s="768"/>
      <c r="M67" s="768">
        <f>HLOOKUP(Attach,$AZ$8:$BB$205,AY67,FALSE)</f>
        <v>0</v>
      </c>
      <c r="N67" s="768"/>
      <c r="O67" s="768">
        <f>HLOOKUP(Attach,$BE$8:$BG$205,BD67,FALSE)</f>
        <v>558975</v>
      </c>
      <c r="P67" s="768"/>
      <c r="Q67" s="768">
        <f>HLOOKUP(Attach,$BJ$8:$BL$205,BI67,FALSE)</f>
        <v>0</v>
      </c>
      <c r="R67" s="768"/>
      <c r="S67" s="768">
        <f>HLOOKUP(Attach,$BO$8:$BQ$205,BN67,FALSE)</f>
        <v>0</v>
      </c>
      <c r="T67" s="768"/>
      <c r="U67" s="768">
        <f>HLOOKUP(Attach,$BT$8:$BV$205,BS67,FALSE)</f>
        <v>0</v>
      </c>
      <c r="V67" s="768"/>
      <c r="W67" s="768">
        <v>0</v>
      </c>
      <c r="X67" s="768"/>
      <c r="Y67" s="768">
        <v>0</v>
      </c>
      <c r="Z67" s="768"/>
      <c r="AA67" s="768">
        <f>G67+E67+I67+K67+M67+O67+Q67+S67+U67+W67+Y67</f>
        <v>3815319.081462</v>
      </c>
      <c r="AB67" s="857"/>
      <c r="AC67" s="857">
        <f>AA67-E67</f>
        <v>689443.51146200066</v>
      </c>
      <c r="AD67" s="329"/>
      <c r="AE67" s="75">
        <f t="shared" si="0"/>
        <v>60</v>
      </c>
      <c r="AF67" s="1168">
        <v>1759610.1799999997</v>
      </c>
      <c r="AG67" s="1176">
        <v>1366265.39</v>
      </c>
      <c r="AH67" s="937">
        <f>+AF67++AG67</f>
        <v>3125875.5699999994</v>
      </c>
      <c r="AJ67" s="75">
        <f t="shared" si="1"/>
        <v>60</v>
      </c>
      <c r="AK67" s="1176">
        <v>114077.27985399961</v>
      </c>
      <c r="AL67" s="1176">
        <v>18409.704492000164</v>
      </c>
      <c r="AM67" s="937">
        <f>+AK67++AL67</f>
        <v>132486.98434599978</v>
      </c>
      <c r="AO67" s="75">
        <f t="shared" si="2"/>
        <v>60</v>
      </c>
      <c r="AP67" s="1176">
        <v>-157.1112859994173</v>
      </c>
      <c r="AQ67" s="1176">
        <v>7069.986881999881</v>
      </c>
      <c r="AR67" s="937">
        <f>IF($AR$1="Y",BX67,AP67++AQ67)</f>
        <v>-2018.472883998882</v>
      </c>
      <c r="AT67" s="75">
        <f t="shared" si="3"/>
        <v>60</v>
      </c>
      <c r="AU67" s="1176"/>
      <c r="AV67" s="1176"/>
      <c r="AW67" s="937">
        <f>+AU67++AV67</f>
        <v>0</v>
      </c>
      <c r="AY67" s="75">
        <f t="shared" si="4"/>
        <v>60</v>
      </c>
      <c r="AZ67" s="1176"/>
      <c r="BA67" s="1176"/>
      <c r="BB67" s="937">
        <f>+AZ67++BA67</f>
        <v>0</v>
      </c>
      <c r="BD67" s="75">
        <f t="shared" si="5"/>
        <v>60</v>
      </c>
      <c r="BE67" s="1176">
        <v>324758</v>
      </c>
      <c r="BF67" s="1176">
        <v>234217</v>
      </c>
      <c r="BG67" s="937">
        <f>+BE67++BF67</f>
        <v>558975</v>
      </c>
      <c r="BI67" s="75">
        <f t="shared" si="6"/>
        <v>60</v>
      </c>
      <c r="BJ67" s="1176"/>
      <c r="BK67" s="1176"/>
      <c r="BL67" s="937">
        <f>+BJ67++BK67</f>
        <v>0</v>
      </c>
      <c r="BN67" s="75">
        <f t="shared" si="7"/>
        <v>60</v>
      </c>
      <c r="BO67" s="1176"/>
      <c r="BP67" s="1176"/>
      <c r="BQ67" s="937">
        <f>+BO67++BP67</f>
        <v>0</v>
      </c>
      <c r="BS67" s="75">
        <f t="shared" si="8"/>
        <v>60</v>
      </c>
      <c r="BT67" s="1176"/>
      <c r="BU67" s="1176"/>
      <c r="BV67" s="937">
        <f>+BT67++BU67</f>
        <v>0</v>
      </c>
      <c r="BX67" s="1773">
        <f t="shared" si="10"/>
        <v>-2018.472883998882</v>
      </c>
      <c r="BY67" s="857">
        <v>-30116.11181999906</v>
      </c>
      <c r="BZ67" s="162">
        <v>28097.638936000178</v>
      </c>
    </row>
    <row r="68" spans="1:78">
      <c r="A68" s="726">
        <f t="shared" si="11"/>
        <v>58</v>
      </c>
      <c r="B68" s="103"/>
      <c r="C68" s="23"/>
      <c r="D68" s="23"/>
      <c r="E68" s="768"/>
      <c r="F68" s="207"/>
      <c r="G68" s="768"/>
      <c r="H68" s="768"/>
      <c r="I68" s="768"/>
      <c r="J68" s="768"/>
      <c r="K68" s="768"/>
      <c r="L68" s="768"/>
      <c r="M68" s="768"/>
      <c r="N68" s="768"/>
      <c r="O68" s="768"/>
      <c r="P68" s="768"/>
      <c r="Q68" s="768"/>
      <c r="R68" s="768"/>
      <c r="S68" s="768"/>
      <c r="T68" s="768"/>
      <c r="U68" s="768"/>
      <c r="V68" s="768"/>
      <c r="W68" s="768"/>
      <c r="X68" s="768"/>
      <c r="Y68" s="768"/>
      <c r="Z68" s="768"/>
      <c r="AA68" s="768"/>
      <c r="AB68" s="857"/>
      <c r="AC68" s="857"/>
      <c r="AD68" s="329"/>
      <c r="AE68" s="75">
        <f t="shared" si="0"/>
        <v>61</v>
      </c>
      <c r="AF68" s="1175"/>
      <c r="AG68" s="1177"/>
      <c r="AH68" s="75"/>
      <c r="AJ68" s="75">
        <f t="shared" si="1"/>
        <v>61</v>
      </c>
      <c r="AK68" s="1177"/>
      <c r="AL68" s="1177"/>
      <c r="AO68" s="75">
        <f t="shared" si="2"/>
        <v>61</v>
      </c>
      <c r="AP68" s="75"/>
      <c r="AQ68" s="75"/>
      <c r="AT68" s="75">
        <f t="shared" si="3"/>
        <v>61</v>
      </c>
      <c r="AU68" s="75"/>
      <c r="AV68" s="75"/>
      <c r="AY68" s="75">
        <f t="shared" si="4"/>
        <v>61</v>
      </c>
      <c r="AZ68" s="75"/>
      <c r="BA68" s="75"/>
      <c r="BD68" s="75">
        <f t="shared" si="5"/>
        <v>61</v>
      </c>
      <c r="BE68" s="75"/>
      <c r="BF68" s="75"/>
      <c r="BI68" s="75">
        <f t="shared" si="6"/>
        <v>61</v>
      </c>
      <c r="BJ68" s="75"/>
      <c r="BK68" s="75"/>
      <c r="BN68" s="75">
        <f t="shared" si="7"/>
        <v>61</v>
      </c>
      <c r="BO68" s="75"/>
      <c r="BP68" s="75"/>
      <c r="BS68" s="75">
        <f t="shared" si="8"/>
        <v>61</v>
      </c>
      <c r="BT68" s="75"/>
      <c r="BU68" s="75"/>
      <c r="BX68" s="1773">
        <f t="shared" si="10"/>
        <v>0</v>
      </c>
      <c r="BY68" s="857">
        <v>0</v>
      </c>
      <c r="BZ68" s="162">
        <v>0</v>
      </c>
    </row>
    <row r="69" spans="1:78">
      <c r="A69" s="726">
        <f t="shared" si="11"/>
        <v>59</v>
      </c>
      <c r="B69" s="103">
        <v>922</v>
      </c>
      <c r="C69" s="23" t="str">
        <f>VLOOKUP(B69,'Stmt H'!$B:$D,3,FALSE)</f>
        <v>Administrative Expense Transferred-Cr</v>
      </c>
      <c r="D69" s="23"/>
      <c r="E69" s="768">
        <f>HLOOKUP(Attach,$AF$8:$BG$205,AE69,FALSE)</f>
        <v>-2251200.2000000002</v>
      </c>
      <c r="F69" s="207"/>
      <c r="G69" s="768">
        <f>HLOOKUP(Attach,$AK$8:$AM$205,AJ69,FALSE)</f>
        <v>0</v>
      </c>
      <c r="H69" s="768"/>
      <c r="I69" s="768">
        <f>HLOOKUP(Attach,$AP$8:$AR$205,AO69,FALSE)</f>
        <v>0</v>
      </c>
      <c r="J69" s="768"/>
      <c r="K69" s="768">
        <f>HLOOKUP(Attach,$AU$8:$AW$205,AT69,FALSE)</f>
        <v>0</v>
      </c>
      <c r="L69" s="768"/>
      <c r="M69" s="768">
        <f>HLOOKUP(Attach,$AZ$8:$BB$205,AY69,FALSE)</f>
        <v>0</v>
      </c>
      <c r="N69" s="768"/>
      <c r="O69" s="768">
        <f>HLOOKUP(Attach,$BE$8:$BG$205,BD69,FALSE)</f>
        <v>0</v>
      </c>
      <c r="P69" s="768"/>
      <c r="Q69" s="768">
        <f>HLOOKUP(Attach,$BJ$8:$BL$205,BI69,FALSE)</f>
        <v>-397270.62352941174</v>
      </c>
      <c r="R69" s="768"/>
      <c r="S69" s="768">
        <f>HLOOKUP(Attach,$BO$8:$BQ$205,BN69,FALSE)</f>
        <v>0</v>
      </c>
      <c r="T69" s="768"/>
      <c r="U69" s="768">
        <f>HLOOKUP(Attach,$BT$8:$BV$205,BS69,FALSE)</f>
        <v>-477345.89</v>
      </c>
      <c r="V69" s="768"/>
      <c r="W69" s="768">
        <v>0</v>
      </c>
      <c r="X69" s="768"/>
      <c r="Y69" s="768">
        <v>0</v>
      </c>
      <c r="Z69" s="768"/>
      <c r="AA69" s="768">
        <f>G69+E69+I69+K69+M69+O69+Q69+S69+U69+W69+Y69</f>
        <v>-3125816.7135294122</v>
      </c>
      <c r="AB69" s="857"/>
      <c r="AC69" s="857">
        <f>AA69-E69</f>
        <v>-874616.51352941198</v>
      </c>
      <c r="AD69" s="329"/>
      <c r="AE69" s="75">
        <f t="shared" si="0"/>
        <v>62</v>
      </c>
      <c r="AF69" s="1168">
        <v>-1351701.16</v>
      </c>
      <c r="AG69" s="1176">
        <v>-899499.04000000015</v>
      </c>
      <c r="AH69" s="937">
        <f>+AF69++AG69</f>
        <v>-2251200.2000000002</v>
      </c>
      <c r="AJ69" s="75">
        <f t="shared" si="1"/>
        <v>62</v>
      </c>
      <c r="AK69" s="1176">
        <v>0</v>
      </c>
      <c r="AL69" s="1176">
        <v>0</v>
      </c>
      <c r="AM69" s="937">
        <f>+AK69++AL69</f>
        <v>0</v>
      </c>
      <c r="AO69" s="75">
        <f t="shared" si="2"/>
        <v>62</v>
      </c>
      <c r="AP69" s="1176">
        <v>0</v>
      </c>
      <c r="AQ69" s="1176">
        <v>0</v>
      </c>
      <c r="AR69" s="937">
        <f>IF($AR$1="Y",BX69,AP69++AQ69)</f>
        <v>0</v>
      </c>
      <c r="AT69" s="75">
        <f t="shared" si="3"/>
        <v>62</v>
      </c>
      <c r="AU69" s="1176"/>
      <c r="AV69" s="1176"/>
      <c r="AW69" s="937">
        <f>+AU69++AV69</f>
        <v>0</v>
      </c>
      <c r="AY69" s="75">
        <f t="shared" si="4"/>
        <v>62</v>
      </c>
      <c r="AZ69" s="1176"/>
      <c r="BA69" s="1176"/>
      <c r="BB69" s="937">
        <f>+AZ69++BA69</f>
        <v>0</v>
      </c>
      <c r="BD69" s="75">
        <f t="shared" si="5"/>
        <v>62</v>
      </c>
      <c r="BE69" s="1176"/>
      <c r="BF69" s="1176"/>
      <c r="BG69" s="937">
        <f>+BE69++BF69</f>
        <v>0</v>
      </c>
      <c r="BI69" s="75">
        <f t="shared" si="6"/>
        <v>62</v>
      </c>
      <c r="BJ69" s="1176">
        <v>-238535.49882352934</v>
      </c>
      <c r="BK69" s="1176">
        <v>-158735.12470588239</v>
      </c>
      <c r="BL69" s="937">
        <f>+BJ69++BK69</f>
        <v>-397270.62352941174</v>
      </c>
      <c r="BN69" s="75">
        <f t="shared" si="7"/>
        <v>62</v>
      </c>
      <c r="BO69" s="1176"/>
      <c r="BP69" s="1176"/>
      <c r="BQ69" s="937">
        <f>+BO69++BP69</f>
        <v>0</v>
      </c>
      <c r="BS69" s="75">
        <f t="shared" si="8"/>
        <v>62</v>
      </c>
      <c r="BT69" s="1176">
        <v>-297737.09999999998</v>
      </c>
      <c r="BU69" s="1176">
        <v>-179608.79</v>
      </c>
      <c r="BV69" s="937">
        <f>+BT69++BU69</f>
        <v>-477345.89</v>
      </c>
      <c r="BX69" s="1773">
        <f t="shared" si="10"/>
        <v>0</v>
      </c>
      <c r="BY69" s="857">
        <v>0</v>
      </c>
      <c r="BZ69" s="162">
        <v>0</v>
      </c>
    </row>
    <row r="70" spans="1:78">
      <c r="A70" s="726">
        <f t="shared" si="11"/>
        <v>60</v>
      </c>
      <c r="B70" s="103"/>
      <c r="C70" s="23"/>
      <c r="D70" s="23"/>
      <c r="E70" s="768"/>
      <c r="F70" s="207"/>
      <c r="G70" s="768"/>
      <c r="H70" s="768"/>
      <c r="I70" s="768"/>
      <c r="J70" s="768"/>
      <c r="K70" s="768"/>
      <c r="L70" s="768"/>
      <c r="M70" s="768"/>
      <c r="N70" s="768"/>
      <c r="O70" s="768"/>
      <c r="P70" s="768"/>
      <c r="Q70" s="768"/>
      <c r="R70" s="768"/>
      <c r="S70" s="768"/>
      <c r="T70" s="768"/>
      <c r="U70" s="768"/>
      <c r="V70" s="768"/>
      <c r="W70" s="768"/>
      <c r="X70" s="768"/>
      <c r="Y70" s="768"/>
      <c r="Z70" s="768"/>
      <c r="AA70" s="768"/>
      <c r="AB70" s="857"/>
      <c r="AC70" s="857"/>
      <c r="AD70" s="329"/>
      <c r="AE70" s="75">
        <f t="shared" si="0"/>
        <v>63</v>
      </c>
      <c r="AF70" s="1175"/>
      <c r="AG70" s="1177"/>
      <c r="AH70" s="75"/>
      <c r="AJ70" s="75">
        <f t="shared" si="1"/>
        <v>63</v>
      </c>
      <c r="AK70" s="1177"/>
      <c r="AL70" s="1177"/>
      <c r="AM70" s="75"/>
      <c r="AO70" s="75">
        <f t="shared" si="2"/>
        <v>63</v>
      </c>
      <c r="AP70" s="75"/>
      <c r="AQ70" s="75"/>
      <c r="AR70" s="75"/>
      <c r="AT70" s="75">
        <f t="shared" si="3"/>
        <v>63</v>
      </c>
      <c r="AU70" s="75"/>
      <c r="AV70" s="75"/>
      <c r="AW70" s="75"/>
      <c r="AY70" s="75">
        <f t="shared" si="4"/>
        <v>63</v>
      </c>
      <c r="AZ70" s="75"/>
      <c r="BA70" s="75"/>
      <c r="BB70" s="75"/>
      <c r="BD70" s="75">
        <f t="shared" si="5"/>
        <v>63</v>
      </c>
      <c r="BE70" s="75"/>
      <c r="BF70" s="75"/>
      <c r="BG70" s="75"/>
      <c r="BI70" s="75">
        <f t="shared" si="6"/>
        <v>63</v>
      </c>
      <c r="BJ70" s="75"/>
      <c r="BK70" s="75"/>
      <c r="BL70" s="75"/>
      <c r="BN70" s="75">
        <f t="shared" si="7"/>
        <v>63</v>
      </c>
      <c r="BO70" s="75"/>
      <c r="BP70" s="75"/>
      <c r="BQ70" s="75"/>
      <c r="BS70" s="75">
        <f t="shared" si="8"/>
        <v>63</v>
      </c>
      <c r="BT70" s="75"/>
      <c r="BU70" s="75"/>
      <c r="BV70" s="75"/>
      <c r="BX70" s="1773">
        <f t="shared" si="10"/>
        <v>0</v>
      </c>
      <c r="BY70" s="857">
        <v>0</v>
      </c>
      <c r="BZ70" s="162">
        <v>0</v>
      </c>
    </row>
    <row r="71" spans="1:78">
      <c r="A71" s="726">
        <f t="shared" si="11"/>
        <v>61</v>
      </c>
      <c r="B71" s="103">
        <v>923</v>
      </c>
      <c r="C71" s="23" t="str">
        <f>VLOOKUP(B71,'Stmt H'!$B:$D,3,FALSE)</f>
        <v>Outside Services Employed</v>
      </c>
      <c r="D71" s="23"/>
      <c r="E71" s="768">
        <f>HLOOKUP(Attach,$AF$8:$BG$205,AE71,FALSE)</f>
        <v>2740730.2100000004</v>
      </c>
      <c r="F71" s="207"/>
      <c r="G71" s="768">
        <f>HLOOKUP(Attach,$AK$8:$AM$205,AJ71,FALSE)</f>
        <v>152714.40457700007</v>
      </c>
      <c r="H71" s="768"/>
      <c r="I71" s="768">
        <f>HLOOKUP(Attach,$AP$8:$AR$205,AO71,FALSE)</f>
        <v>-3384.5849820005242</v>
      </c>
      <c r="J71" s="768"/>
      <c r="K71" s="768">
        <f>HLOOKUP(Attach,$AU$8:$AW$205,AT71,FALSE)</f>
        <v>0</v>
      </c>
      <c r="L71" s="768"/>
      <c r="M71" s="768">
        <f>HLOOKUP(Attach,$AZ$8:$BB$205,AY71,FALSE)</f>
        <v>0</v>
      </c>
      <c r="N71" s="768"/>
      <c r="O71" s="768">
        <f>HLOOKUP(Attach,$BE$8:$BG$205,BD71,FALSE)</f>
        <v>0</v>
      </c>
      <c r="P71" s="768"/>
      <c r="Q71" s="768">
        <f>HLOOKUP(Attach,$BJ$8:$BL$205,BI71,FALSE)</f>
        <v>0</v>
      </c>
      <c r="R71" s="768"/>
      <c r="S71" s="768">
        <f>HLOOKUP(Attach,$BO$8:$BQ$205,BN71,FALSE)</f>
        <v>0</v>
      </c>
      <c r="T71" s="768"/>
      <c r="U71" s="768">
        <f>HLOOKUP(Attach,$BT$8:$BV$205,BS71,FALSE)</f>
        <v>0</v>
      </c>
      <c r="V71" s="768"/>
      <c r="W71" s="768">
        <v>0</v>
      </c>
      <c r="X71" s="768"/>
      <c r="Y71" s="768">
        <v>0</v>
      </c>
      <c r="Z71" s="768"/>
      <c r="AA71" s="768">
        <f>G71+E71+I71+K71+M71+O71+Q71+S71+U71+W71+Y71</f>
        <v>2890060.0295949997</v>
      </c>
      <c r="AB71" s="857"/>
      <c r="AC71" s="857">
        <f>AA71-E71</f>
        <v>149329.81959499931</v>
      </c>
      <c r="AD71" s="329"/>
      <c r="AE71" s="75">
        <f t="shared" si="0"/>
        <v>64</v>
      </c>
      <c r="AF71" s="1168">
        <v>1559030.4900000002</v>
      </c>
      <c r="AG71" s="1176">
        <v>1181699.7200000002</v>
      </c>
      <c r="AH71" s="937">
        <f>+AF71++AG71</f>
        <v>2740730.2100000004</v>
      </c>
      <c r="AJ71" s="75">
        <f t="shared" si="1"/>
        <v>64</v>
      </c>
      <c r="AK71" s="1176">
        <v>125924.56283900002</v>
      </c>
      <c r="AL71" s="1176">
        <v>26789.841738000046</v>
      </c>
      <c r="AM71" s="937">
        <f>+AK71++AL71</f>
        <v>152714.40457700007</v>
      </c>
      <c r="AO71" s="75">
        <f t="shared" si="2"/>
        <v>64</v>
      </c>
      <c r="AP71" s="1176">
        <v>2117.691429999657</v>
      </c>
      <c r="AQ71" s="1176">
        <v>8077.4062849998008</v>
      </c>
      <c r="AR71" s="937">
        <f>IF($AR$1="Y",BX71,AP71++AQ71)</f>
        <v>-3384.5849820005242</v>
      </c>
      <c r="AT71" s="75">
        <f t="shared" si="3"/>
        <v>64</v>
      </c>
      <c r="AU71" s="1176"/>
      <c r="AV71" s="1176"/>
      <c r="AW71" s="937">
        <f>+AU71++AV71</f>
        <v>0</v>
      </c>
      <c r="AY71" s="75">
        <f t="shared" si="4"/>
        <v>64</v>
      </c>
      <c r="AZ71" s="1176"/>
      <c r="BA71" s="1176"/>
      <c r="BB71" s="937">
        <f>+AZ71++BA71</f>
        <v>0</v>
      </c>
      <c r="BD71" s="75">
        <f t="shared" si="5"/>
        <v>64</v>
      </c>
      <c r="BE71" s="1176"/>
      <c r="BF71" s="1176"/>
      <c r="BG71" s="937">
        <f>+BE71++BF71</f>
        <v>0</v>
      </c>
      <c r="BI71" s="75">
        <f t="shared" si="6"/>
        <v>64</v>
      </c>
      <c r="BJ71" s="1176"/>
      <c r="BK71" s="1176"/>
      <c r="BL71" s="937">
        <f>+BJ71++BK71</f>
        <v>0</v>
      </c>
      <c r="BN71" s="75">
        <f t="shared" si="7"/>
        <v>64</v>
      </c>
      <c r="BO71" s="1176"/>
      <c r="BP71" s="1176"/>
      <c r="BQ71" s="937">
        <f>+BO71++BP71</f>
        <v>0</v>
      </c>
      <c r="BS71" s="75">
        <f t="shared" si="8"/>
        <v>64</v>
      </c>
      <c r="BT71" s="1176"/>
      <c r="BU71" s="1176"/>
      <c r="BV71" s="937">
        <f>+BT71++BU71</f>
        <v>0</v>
      </c>
      <c r="BX71" s="1773">
        <f t="shared" si="10"/>
        <v>-3384.5849820005242</v>
      </c>
      <c r="BY71" s="857">
        <v>-30924.737480000127</v>
      </c>
      <c r="BZ71" s="162">
        <v>27540.152497999603</v>
      </c>
    </row>
    <row r="72" spans="1:78">
      <c r="A72" s="726">
        <f t="shared" si="11"/>
        <v>62</v>
      </c>
      <c r="B72" s="103"/>
      <c r="C72" s="23"/>
      <c r="D72" s="23"/>
      <c r="E72" s="768"/>
      <c r="F72" s="207"/>
      <c r="G72" s="768"/>
      <c r="H72" s="768"/>
      <c r="I72" s="768"/>
      <c r="J72" s="768"/>
      <c r="K72" s="768"/>
      <c r="L72" s="768"/>
      <c r="M72" s="768"/>
      <c r="N72" s="768"/>
      <c r="O72" s="768"/>
      <c r="P72" s="768"/>
      <c r="Q72" s="768"/>
      <c r="R72" s="768"/>
      <c r="S72" s="768"/>
      <c r="T72" s="768"/>
      <c r="U72" s="768"/>
      <c r="V72" s="768"/>
      <c r="W72" s="768"/>
      <c r="X72" s="768"/>
      <c r="Y72" s="768"/>
      <c r="Z72" s="768"/>
      <c r="AA72" s="768"/>
      <c r="AB72" s="857"/>
      <c r="AC72" s="857"/>
      <c r="AD72" s="329"/>
      <c r="AE72" s="75">
        <f t="shared" si="0"/>
        <v>65</v>
      </c>
      <c r="AF72" s="1175"/>
      <c r="AG72" s="1177"/>
      <c r="AH72" s="75"/>
      <c r="AJ72" s="75">
        <f t="shared" si="1"/>
        <v>65</v>
      </c>
      <c r="AK72" s="1177"/>
      <c r="AL72" s="1177"/>
      <c r="AO72" s="75">
        <f t="shared" si="2"/>
        <v>65</v>
      </c>
      <c r="AP72" s="75"/>
      <c r="AQ72" s="75"/>
      <c r="AT72" s="75">
        <f t="shared" si="3"/>
        <v>65</v>
      </c>
      <c r="AU72" s="75"/>
      <c r="AV72" s="75"/>
      <c r="AY72" s="75">
        <f t="shared" si="4"/>
        <v>65</v>
      </c>
      <c r="AZ72" s="75"/>
      <c r="BA72" s="75"/>
      <c r="BD72" s="75">
        <f t="shared" si="5"/>
        <v>65</v>
      </c>
      <c r="BE72" s="75"/>
      <c r="BF72" s="75"/>
      <c r="BI72" s="75">
        <f t="shared" si="6"/>
        <v>65</v>
      </c>
      <c r="BJ72" s="75"/>
      <c r="BK72" s="75"/>
      <c r="BN72" s="75">
        <f t="shared" si="7"/>
        <v>65</v>
      </c>
      <c r="BO72" s="75"/>
      <c r="BP72" s="75"/>
      <c r="BS72" s="75">
        <f t="shared" si="8"/>
        <v>65</v>
      </c>
      <c r="BT72" s="75"/>
      <c r="BU72" s="75"/>
      <c r="BX72" s="1773">
        <f t="shared" si="10"/>
        <v>0</v>
      </c>
      <c r="BY72" s="857">
        <v>0</v>
      </c>
      <c r="BZ72" s="162">
        <v>0</v>
      </c>
    </row>
    <row r="73" spans="1:78">
      <c r="A73" s="726">
        <f t="shared" si="11"/>
        <v>63</v>
      </c>
      <c r="B73" s="103">
        <v>924</v>
      </c>
      <c r="C73" s="23" t="str">
        <f>VLOOKUP(B73,'Stmt H'!$B:$D,3,FALSE)</f>
        <v>Property Insurance</v>
      </c>
      <c r="D73" s="23"/>
      <c r="E73" s="768">
        <f>HLOOKUP(Attach,$AF$8:$BG$205,AE73,FALSE)</f>
        <v>28949.01</v>
      </c>
      <c r="F73" s="207"/>
      <c r="G73" s="768">
        <f>HLOOKUP(Attach,$AK$8:$AM$205,AJ73,FALSE)</f>
        <v>69.046097999999972</v>
      </c>
      <c r="H73" s="768"/>
      <c r="I73" s="768">
        <f>HLOOKUP(Attach,$AP$8:$AR$205,AO73,FALSE)</f>
        <v>6.6845339999999851</v>
      </c>
      <c r="J73" s="768"/>
      <c r="K73" s="768">
        <f>HLOOKUP(Attach,$AU$8:$AW$205,AT73,FALSE)</f>
        <v>0</v>
      </c>
      <c r="L73" s="768"/>
      <c r="M73" s="768">
        <f>HLOOKUP(Attach,$AZ$8:$BB$205,AY73,FALSE)</f>
        <v>0</v>
      </c>
      <c r="N73" s="768"/>
      <c r="O73" s="768">
        <f>HLOOKUP(Attach,$BE$8:$BG$205,BD73,FALSE)</f>
        <v>0</v>
      </c>
      <c r="P73" s="768"/>
      <c r="Q73" s="768">
        <f>HLOOKUP(Attach,$BJ$8:$BL$205,BI73,FALSE)</f>
        <v>0</v>
      </c>
      <c r="R73" s="768"/>
      <c r="S73" s="768">
        <f>HLOOKUP(Attach,$BO$8:$BQ$205,BN73,FALSE)</f>
        <v>0</v>
      </c>
      <c r="T73" s="768"/>
      <c r="U73" s="768">
        <f>HLOOKUP(Attach,$BT$8:$BV$205,BS73,FALSE)</f>
        <v>0</v>
      </c>
      <c r="V73" s="768"/>
      <c r="W73" s="768">
        <v>0</v>
      </c>
      <c r="X73" s="768"/>
      <c r="Y73" s="768">
        <v>0</v>
      </c>
      <c r="Z73" s="768"/>
      <c r="AA73" s="768">
        <f>G73+E73+I73+K73+M73+O73+Q73+S73+U73+W73+Y73</f>
        <v>29024.740631999997</v>
      </c>
      <c r="AB73" s="857"/>
      <c r="AC73" s="857">
        <f>AA73-E73</f>
        <v>75.730631999998877</v>
      </c>
      <c r="AD73" s="329"/>
      <c r="AE73" s="75">
        <f t="shared" si="0"/>
        <v>66</v>
      </c>
      <c r="AF73" s="1168">
        <v>5405.72</v>
      </c>
      <c r="AG73" s="1176">
        <v>23543.289999999997</v>
      </c>
      <c r="AH73" s="937">
        <f>+AF73++AG73</f>
        <v>28949.01</v>
      </c>
      <c r="AJ73" s="75">
        <f t="shared" si="1"/>
        <v>66</v>
      </c>
      <c r="AK73" s="1176">
        <v>56.503739999999993</v>
      </c>
      <c r="AL73" s="1176">
        <v>12.542357999999979</v>
      </c>
      <c r="AM73" s="937">
        <f>+AK73++AL73</f>
        <v>69.046097999999972</v>
      </c>
      <c r="AO73" s="75">
        <f t="shared" si="2"/>
        <v>66</v>
      </c>
      <c r="AP73" s="1176">
        <v>1.3504680000000917</v>
      </c>
      <c r="AQ73" s="1176">
        <v>4.4563560000000848</v>
      </c>
      <c r="AR73" s="937">
        <f>IF($AR$1="Y",BX73,AP73++AQ73)</f>
        <v>6.6845339999999851</v>
      </c>
      <c r="AT73" s="75">
        <f t="shared" si="3"/>
        <v>66</v>
      </c>
      <c r="AU73" s="1176"/>
      <c r="AV73" s="1176"/>
      <c r="AW73" s="937">
        <f>+AU73++AV73</f>
        <v>0</v>
      </c>
      <c r="AY73" s="75">
        <f t="shared" si="4"/>
        <v>66</v>
      </c>
      <c r="AZ73" s="1176"/>
      <c r="BA73" s="1176"/>
      <c r="BB73" s="937">
        <f>+AZ73++BA73</f>
        <v>0</v>
      </c>
      <c r="BD73" s="75">
        <f t="shared" si="5"/>
        <v>66</v>
      </c>
      <c r="BE73" s="1176"/>
      <c r="BF73" s="1176"/>
      <c r="BG73" s="937">
        <f>+BE73++BF73</f>
        <v>0</v>
      </c>
      <c r="BI73" s="75">
        <f t="shared" si="6"/>
        <v>66</v>
      </c>
      <c r="BJ73" s="1176"/>
      <c r="BK73" s="1176"/>
      <c r="BL73" s="937">
        <f>+BJ73++BK73</f>
        <v>0</v>
      </c>
      <c r="BN73" s="75">
        <f t="shared" si="7"/>
        <v>66</v>
      </c>
      <c r="BO73" s="1176"/>
      <c r="BP73" s="1176"/>
      <c r="BQ73" s="937">
        <f>+BO73++BP73</f>
        <v>0</v>
      </c>
      <c r="BS73" s="75">
        <f t="shared" si="8"/>
        <v>66</v>
      </c>
      <c r="BT73" s="1176"/>
      <c r="BU73" s="1176"/>
      <c r="BV73" s="937">
        <f>+BT73++BU73</f>
        <v>0</v>
      </c>
      <c r="BX73" s="1773">
        <f t="shared" si="10"/>
        <v>6.6845339999999851</v>
      </c>
      <c r="BY73" s="857">
        <v>-14.246778000000063</v>
      </c>
      <c r="BZ73" s="162">
        <v>20.931312000000048</v>
      </c>
    </row>
    <row r="74" spans="1:78">
      <c r="A74" s="726">
        <f t="shared" si="11"/>
        <v>64</v>
      </c>
      <c r="B74" s="103"/>
      <c r="C74" s="23"/>
      <c r="D74" s="23"/>
      <c r="E74" s="768"/>
      <c r="F74" s="207"/>
      <c r="G74" s="768"/>
      <c r="H74" s="768"/>
      <c r="I74" s="768"/>
      <c r="J74" s="768"/>
      <c r="K74" s="768"/>
      <c r="L74" s="768"/>
      <c r="M74" s="768"/>
      <c r="N74" s="768"/>
      <c r="O74" s="768"/>
      <c r="P74" s="768"/>
      <c r="Q74" s="768"/>
      <c r="R74" s="768"/>
      <c r="S74" s="768"/>
      <c r="T74" s="768"/>
      <c r="U74" s="768"/>
      <c r="V74" s="768"/>
      <c r="W74" s="768"/>
      <c r="X74" s="768"/>
      <c r="Y74" s="768"/>
      <c r="Z74" s="768"/>
      <c r="AA74" s="768"/>
      <c r="AB74" s="857"/>
      <c r="AC74" s="857"/>
      <c r="AD74" s="329"/>
      <c r="AE74" s="75">
        <f t="shared" si="0"/>
        <v>67</v>
      </c>
      <c r="AF74" s="1175"/>
      <c r="AG74" s="1177"/>
      <c r="AH74" s="75"/>
      <c r="AJ74" s="75">
        <f t="shared" si="1"/>
        <v>67</v>
      </c>
      <c r="AK74" s="1177"/>
      <c r="AL74" s="1177"/>
      <c r="AO74" s="75">
        <f t="shared" ref="AO74:AO89" si="12">AO73+1</f>
        <v>67</v>
      </c>
      <c r="AP74" s="75"/>
      <c r="AQ74" s="75"/>
      <c r="AT74" s="75">
        <f t="shared" ref="AT74:AT89" si="13">AT73+1</f>
        <v>67</v>
      </c>
      <c r="AU74" s="75"/>
      <c r="AV74" s="75"/>
      <c r="AY74" s="75">
        <f t="shared" ref="AY74:AY89" si="14">AY73+1</f>
        <v>67</v>
      </c>
      <c r="AZ74" s="75"/>
      <c r="BA74" s="75"/>
      <c r="BD74" s="75">
        <f t="shared" ref="BD74:BD89" si="15">BD73+1</f>
        <v>67</v>
      </c>
      <c r="BE74" s="75"/>
      <c r="BF74" s="75"/>
      <c r="BI74" s="75">
        <f t="shared" ref="BI74:BI89" si="16">BI73+1</f>
        <v>67</v>
      </c>
      <c r="BJ74" s="75"/>
      <c r="BK74" s="75"/>
      <c r="BN74" s="75">
        <f t="shared" ref="BN74:BN89" si="17">BN73+1</f>
        <v>67</v>
      </c>
      <c r="BO74" s="75"/>
      <c r="BP74" s="75"/>
      <c r="BS74" s="75">
        <f t="shared" ref="BS74:BS89" si="18">BS73+1</f>
        <v>67</v>
      </c>
      <c r="BT74" s="75"/>
      <c r="BU74" s="75"/>
      <c r="BX74" s="1773">
        <f t="shared" si="10"/>
        <v>0</v>
      </c>
      <c r="BY74" s="857">
        <v>0</v>
      </c>
      <c r="BZ74" s="162">
        <v>0</v>
      </c>
    </row>
    <row r="75" spans="1:78">
      <c r="A75" s="726">
        <f t="shared" si="11"/>
        <v>65</v>
      </c>
      <c r="B75" s="103">
        <v>925</v>
      </c>
      <c r="C75" s="23" t="str">
        <f>VLOOKUP(B75,'Stmt H'!$B:$D,3,FALSE)</f>
        <v>Injuries and Damages</v>
      </c>
      <c r="D75" s="23"/>
      <c r="E75" s="768">
        <f>HLOOKUP(Attach,$AF$8:$BG$205,AE75,FALSE)</f>
        <v>1082856.8299999998</v>
      </c>
      <c r="F75" s="207"/>
      <c r="G75" s="768">
        <f>HLOOKUP(Attach,$AK$8:$AM$205,AJ75,FALSE)</f>
        <v>81751.260686999885</v>
      </c>
      <c r="H75" s="768"/>
      <c r="I75" s="768">
        <f>HLOOKUP(Attach,$AP$8:$AR$205,AO75,FALSE)</f>
        <v>5873.7836110001663</v>
      </c>
      <c r="J75" s="768"/>
      <c r="K75" s="768">
        <f>HLOOKUP(Attach,$AU$8:$AW$205,AT75,FALSE)</f>
        <v>0</v>
      </c>
      <c r="L75" s="768"/>
      <c r="M75" s="768">
        <f>HLOOKUP(Attach,$AZ$8:$BB$205,AY75,FALSE)</f>
        <v>0</v>
      </c>
      <c r="N75" s="768"/>
      <c r="O75" s="768">
        <f>HLOOKUP(Attach,$BE$8:$BG$205,BD75,FALSE)</f>
        <v>0</v>
      </c>
      <c r="P75" s="768"/>
      <c r="Q75" s="768">
        <f>HLOOKUP(Attach,$BJ$8:$BL$205,BI75,FALSE)</f>
        <v>0</v>
      </c>
      <c r="R75" s="768"/>
      <c r="S75" s="768">
        <f>HLOOKUP(Attach,$BO$8:$BQ$205,BN75,FALSE)</f>
        <v>0</v>
      </c>
      <c r="T75" s="768"/>
      <c r="U75" s="768">
        <f>HLOOKUP(Attach,$BT$8:$BV$205,BS75,FALSE)</f>
        <v>0</v>
      </c>
      <c r="V75" s="768"/>
      <c r="W75" s="768">
        <v>0</v>
      </c>
      <c r="X75" s="768"/>
      <c r="Y75" s="768">
        <v>0</v>
      </c>
      <c r="Z75" s="768"/>
      <c r="AA75" s="768">
        <f>G75+E75+I75+K75+M75+O75+Q75+S75+U75+W75+Y75</f>
        <v>1170481.8742979998</v>
      </c>
      <c r="AB75" s="857"/>
      <c r="AC75" s="857">
        <f>AA75-E75</f>
        <v>87625.044297999935</v>
      </c>
      <c r="AD75" s="329"/>
      <c r="AE75" s="75">
        <f t="shared" si="0"/>
        <v>68</v>
      </c>
      <c r="AF75" s="1168">
        <v>630700.48</v>
      </c>
      <c r="AG75" s="1176">
        <v>452156.34999999992</v>
      </c>
      <c r="AH75" s="937">
        <f>+AF75++AG75</f>
        <v>1082856.8299999998</v>
      </c>
      <c r="AJ75" s="75">
        <f t="shared" si="1"/>
        <v>68</v>
      </c>
      <c r="AK75" s="1176">
        <v>67692.197580999928</v>
      </c>
      <c r="AL75" s="1176">
        <v>14059.063105999958</v>
      </c>
      <c r="AM75" s="937">
        <f>+AK75++AL75</f>
        <v>81751.260686999885</v>
      </c>
      <c r="AO75" s="75">
        <f t="shared" si="12"/>
        <v>68</v>
      </c>
      <c r="AP75" s="1176">
        <v>1201.9348350000801</v>
      </c>
      <c r="AQ75" s="1176">
        <v>5247.8628740001004</v>
      </c>
      <c r="AR75" s="937">
        <f>IF($AR$1="Y",BX75,AP75++AQ75)</f>
        <v>5873.7836110001663</v>
      </c>
      <c r="AT75" s="75">
        <f t="shared" si="13"/>
        <v>68</v>
      </c>
      <c r="AU75" s="1176"/>
      <c r="AV75" s="1176"/>
      <c r="AW75" s="937">
        <f>+AU75++AV75</f>
        <v>0</v>
      </c>
      <c r="AY75" s="75">
        <f t="shared" si="14"/>
        <v>68</v>
      </c>
      <c r="AZ75" s="1176"/>
      <c r="BA75" s="1176"/>
      <c r="BB75" s="937">
        <f>+AZ75++BA75</f>
        <v>0</v>
      </c>
      <c r="BD75" s="75">
        <f t="shared" si="15"/>
        <v>68</v>
      </c>
      <c r="BE75" s="1176"/>
      <c r="BF75" s="1176"/>
      <c r="BG75" s="937">
        <f>+BE75++BF75</f>
        <v>0</v>
      </c>
      <c r="BI75" s="75">
        <f t="shared" si="16"/>
        <v>68</v>
      </c>
      <c r="BJ75" s="1176"/>
      <c r="BK75" s="1176"/>
      <c r="BL75" s="937">
        <f>+BJ75++BK75</f>
        <v>0</v>
      </c>
      <c r="BN75" s="75">
        <f t="shared" si="17"/>
        <v>68</v>
      </c>
      <c r="BO75" s="1176"/>
      <c r="BP75" s="1176"/>
      <c r="BQ75" s="937">
        <f>+BO75++BP75</f>
        <v>0</v>
      </c>
      <c r="BS75" s="75">
        <f t="shared" si="18"/>
        <v>68</v>
      </c>
      <c r="BT75" s="1176"/>
      <c r="BU75" s="1176"/>
      <c r="BV75" s="937">
        <f>+BT75++BU75</f>
        <v>0</v>
      </c>
      <c r="BX75" s="1773">
        <f t="shared" si="10"/>
        <v>5873.7836110001663</v>
      </c>
      <c r="BY75" s="857">
        <v>-18994.861397999921</v>
      </c>
      <c r="BZ75" s="162">
        <v>24868.645009000087</v>
      </c>
    </row>
    <row r="76" spans="1:78">
      <c r="A76" s="726">
        <f t="shared" si="11"/>
        <v>66</v>
      </c>
      <c r="B76" s="103"/>
      <c r="C76" s="23"/>
      <c r="D76" s="23"/>
      <c r="E76" s="768"/>
      <c r="F76" s="207"/>
      <c r="G76" s="768"/>
      <c r="H76" s="768"/>
      <c r="I76" s="768"/>
      <c r="J76" s="768"/>
      <c r="K76" s="768"/>
      <c r="L76" s="768"/>
      <c r="M76" s="768"/>
      <c r="N76" s="768"/>
      <c r="O76" s="768"/>
      <c r="P76" s="768"/>
      <c r="Q76" s="768"/>
      <c r="R76" s="768"/>
      <c r="S76" s="768"/>
      <c r="T76" s="768"/>
      <c r="U76" s="768"/>
      <c r="V76" s="768"/>
      <c r="W76" s="768"/>
      <c r="X76" s="768"/>
      <c r="Y76" s="768"/>
      <c r="Z76" s="768"/>
      <c r="AA76" s="768"/>
      <c r="AB76" s="857"/>
      <c r="AC76" s="857"/>
      <c r="AD76" s="329"/>
      <c r="AE76" s="75">
        <f t="shared" si="0"/>
        <v>69</v>
      </c>
      <c r="AF76" s="1175"/>
      <c r="AG76" s="1177"/>
      <c r="AH76" s="75"/>
      <c r="AJ76" s="75">
        <f t="shared" si="1"/>
        <v>69</v>
      </c>
      <c r="AK76" s="1177"/>
      <c r="AL76" s="1177"/>
      <c r="AO76" s="75">
        <f t="shared" si="12"/>
        <v>69</v>
      </c>
      <c r="AP76" s="75"/>
      <c r="AQ76" s="75"/>
      <c r="AT76" s="75">
        <f t="shared" si="13"/>
        <v>69</v>
      </c>
      <c r="AU76" s="75"/>
      <c r="AV76" s="75"/>
      <c r="AY76" s="75">
        <f t="shared" si="14"/>
        <v>69</v>
      </c>
      <c r="AZ76" s="75"/>
      <c r="BA76" s="75"/>
      <c r="BD76" s="75">
        <f t="shared" si="15"/>
        <v>69</v>
      </c>
      <c r="BE76" s="75"/>
      <c r="BF76" s="75"/>
      <c r="BI76" s="75">
        <f t="shared" si="16"/>
        <v>69</v>
      </c>
      <c r="BJ76" s="75"/>
      <c r="BK76" s="75"/>
      <c r="BN76" s="75">
        <f t="shared" si="17"/>
        <v>69</v>
      </c>
      <c r="BO76" s="75"/>
      <c r="BP76" s="75"/>
      <c r="BS76" s="75">
        <f t="shared" si="18"/>
        <v>69</v>
      </c>
      <c r="BT76" s="75"/>
      <c r="BU76" s="75"/>
      <c r="BX76" s="1773">
        <f t="shared" ref="BX76:BX94" si="19">BY76+BZ76</f>
        <v>0</v>
      </c>
      <c r="BY76" s="857">
        <v>0</v>
      </c>
      <c r="BZ76" s="162">
        <v>0</v>
      </c>
    </row>
    <row r="77" spans="1:78">
      <c r="A77" s="726">
        <f t="shared" si="11"/>
        <v>67</v>
      </c>
      <c r="B77" s="103">
        <v>926</v>
      </c>
      <c r="C77" s="23" t="str">
        <f>VLOOKUP(B77,'Stmt H'!$B:$D,3,FALSE)</f>
        <v>Employee Pensions and Benefits</v>
      </c>
      <c r="D77" s="23"/>
      <c r="E77" s="768">
        <f>HLOOKUP(Attach,$AF$8:$BG$205,AE77,FALSE)</f>
        <v>3584488.2999999989</v>
      </c>
      <c r="F77" s="207"/>
      <c r="G77" s="768">
        <f>HLOOKUP(Attach,$AK$8:$AM$205,AJ77,FALSE)</f>
        <v>1241103.2022329976</v>
      </c>
      <c r="H77" s="768"/>
      <c r="I77" s="768">
        <f>HLOOKUP(Attach,$AP$8:$AR$205,AO77,FALSE)</f>
        <v>-7091.066983998986</v>
      </c>
      <c r="J77" s="768"/>
      <c r="K77" s="768">
        <f>HLOOKUP(Attach,$AU$8:$AW$205,AT77,FALSE)</f>
        <v>144128</v>
      </c>
      <c r="L77" s="768"/>
      <c r="M77" s="768">
        <f>IF($M$101="Y",M103,HLOOKUP(Attach,$AZ$8:$BB$205,AY77,FALSE))</f>
        <v>687571.29579102574</v>
      </c>
      <c r="N77" s="768"/>
      <c r="O77" s="768">
        <f>HLOOKUP(Attach,$BE$8:$BG$205,BD77,FALSE)</f>
        <v>0</v>
      </c>
      <c r="P77" s="768"/>
      <c r="Q77" s="768">
        <f>HLOOKUP(Attach,$BJ$8:$BL$205,BI77,FALSE)</f>
        <v>0</v>
      </c>
      <c r="R77" s="768"/>
      <c r="S77" s="768">
        <f>HLOOKUP(Attach,$BO$8:$BQ$205,BN77,FALSE)</f>
        <v>0</v>
      </c>
      <c r="T77" s="768"/>
      <c r="U77" s="768">
        <f>HLOOKUP(Attach,$BT$8:$BV$205,BS77,FALSE)</f>
        <v>0</v>
      </c>
      <c r="V77" s="768"/>
      <c r="W77" s="768">
        <v>0</v>
      </c>
      <c r="X77" s="768"/>
      <c r="Y77" s="768">
        <v>0</v>
      </c>
      <c r="Z77" s="768"/>
      <c r="AA77" s="768">
        <f>G77+E77+I77+K77+M77+O77+Q77+S77+U77+W77+Y77</f>
        <v>5650199.7310400233</v>
      </c>
      <c r="AB77" s="857"/>
      <c r="AC77" s="857">
        <f>AA77-E77</f>
        <v>2065711.4310400244</v>
      </c>
      <c r="AD77" s="329"/>
      <c r="AE77" s="75">
        <f t="shared" si="0"/>
        <v>70</v>
      </c>
      <c r="AF77" s="1168">
        <v>2260490.8099999991</v>
      </c>
      <c r="AG77" s="1176">
        <v>1323997.49</v>
      </c>
      <c r="AH77" s="937">
        <f>+AF77++AG77</f>
        <v>3584488.2999999989</v>
      </c>
      <c r="AJ77" s="75">
        <f t="shared" si="1"/>
        <v>70</v>
      </c>
      <c r="AK77" s="1176">
        <v>650767.15621299855</v>
      </c>
      <c r="AL77" s="1176">
        <v>590336.04601999908</v>
      </c>
      <c r="AM77" s="937">
        <f>+AK77++AL77</f>
        <v>1241103.2022329976</v>
      </c>
      <c r="AO77" s="75">
        <f t="shared" si="12"/>
        <v>70</v>
      </c>
      <c r="AP77" s="1176">
        <v>-2833.5579260000959</v>
      </c>
      <c r="AQ77" s="1176">
        <v>-3525.1409779994283</v>
      </c>
      <c r="AR77" s="937">
        <f>IF($AR$1="Y",BX77,AP77++AQ77)</f>
        <v>-7091.066983998986</v>
      </c>
      <c r="AT77" s="75">
        <f t="shared" si="13"/>
        <v>70</v>
      </c>
      <c r="AU77" s="1176">
        <v>83128</v>
      </c>
      <c r="AV77" s="1176">
        <v>61000</v>
      </c>
      <c r="AW77" s="937">
        <f>+AU77++AV77</f>
        <v>144128</v>
      </c>
      <c r="AY77" s="75">
        <f t="shared" si="14"/>
        <v>70</v>
      </c>
      <c r="AZ77" s="1176">
        <v>503415.46100059123</v>
      </c>
      <c r="BA77" s="1176">
        <v>393854.58702250285</v>
      </c>
      <c r="BB77" s="937">
        <f>+AZ77++BA77</f>
        <v>897270.04802309407</v>
      </c>
      <c r="BD77" s="75">
        <f t="shared" si="15"/>
        <v>70</v>
      </c>
      <c r="BE77" s="1176"/>
      <c r="BF77" s="1176"/>
      <c r="BG77" s="937">
        <f>+BE77++BF77</f>
        <v>0</v>
      </c>
      <c r="BI77" s="75">
        <f t="shared" si="16"/>
        <v>70</v>
      </c>
      <c r="BJ77" s="1176"/>
      <c r="BK77" s="1176"/>
      <c r="BL77" s="937">
        <f>+BJ77++BK77</f>
        <v>0</v>
      </c>
      <c r="BN77" s="75">
        <f t="shared" si="17"/>
        <v>70</v>
      </c>
      <c r="BO77" s="1176"/>
      <c r="BP77" s="1176"/>
      <c r="BQ77" s="937">
        <f>+BO77++BP77</f>
        <v>0</v>
      </c>
      <c r="BS77" s="75">
        <f t="shared" si="18"/>
        <v>70</v>
      </c>
      <c r="BT77" s="1176"/>
      <c r="BU77" s="1176"/>
      <c r="BV77" s="937">
        <f>+BT77++BU77</f>
        <v>0</v>
      </c>
      <c r="BX77" s="1773">
        <f t="shared" si="19"/>
        <v>-7091.066983998986</v>
      </c>
      <c r="BY77" s="857">
        <v>-23332.102344999555</v>
      </c>
      <c r="BZ77" s="162">
        <v>16241.03536100057</v>
      </c>
    </row>
    <row r="78" spans="1:78">
      <c r="A78" s="726">
        <f t="shared" si="11"/>
        <v>68</v>
      </c>
      <c r="B78" s="103"/>
      <c r="C78" s="23"/>
      <c r="D78" s="23"/>
      <c r="E78" s="768"/>
      <c r="F78" s="207"/>
      <c r="G78" s="768"/>
      <c r="H78" s="768"/>
      <c r="I78" s="768"/>
      <c r="J78" s="768"/>
      <c r="K78" s="768"/>
      <c r="L78" s="768"/>
      <c r="M78" s="768"/>
      <c r="N78" s="768"/>
      <c r="O78" s="768"/>
      <c r="P78" s="768"/>
      <c r="Q78" s="768"/>
      <c r="R78" s="768"/>
      <c r="S78" s="768"/>
      <c r="T78" s="768"/>
      <c r="U78" s="768"/>
      <c r="V78" s="768"/>
      <c r="W78" s="768"/>
      <c r="X78" s="768"/>
      <c r="Y78" s="768"/>
      <c r="Z78" s="768"/>
      <c r="AA78" s="768"/>
      <c r="AB78" s="857"/>
      <c r="AC78" s="857"/>
      <c r="AD78" s="329"/>
      <c r="AE78" s="75">
        <f t="shared" si="0"/>
        <v>71</v>
      </c>
      <c r="AF78" s="1175"/>
      <c r="AG78" s="1177"/>
      <c r="AH78" s="75"/>
      <c r="AJ78" s="75">
        <f t="shared" si="1"/>
        <v>71</v>
      </c>
      <c r="AK78" s="1177"/>
      <c r="AL78" s="1177"/>
      <c r="AO78" s="75">
        <f t="shared" si="12"/>
        <v>71</v>
      </c>
      <c r="AP78" s="75"/>
      <c r="AQ78" s="75"/>
      <c r="AT78" s="75">
        <f t="shared" si="13"/>
        <v>71</v>
      </c>
      <c r="AU78" s="75"/>
      <c r="AV78" s="75"/>
      <c r="AY78" s="75">
        <f t="shared" si="14"/>
        <v>71</v>
      </c>
      <c r="AZ78" s="75"/>
      <c r="BA78" s="75"/>
      <c r="BD78" s="75">
        <f t="shared" si="15"/>
        <v>71</v>
      </c>
      <c r="BE78" s="75"/>
      <c r="BF78" s="75"/>
      <c r="BI78" s="75">
        <f t="shared" si="16"/>
        <v>71</v>
      </c>
      <c r="BJ78" s="75"/>
      <c r="BK78" s="75"/>
      <c r="BN78" s="75">
        <f t="shared" si="17"/>
        <v>71</v>
      </c>
      <c r="BO78" s="75"/>
      <c r="BP78" s="75"/>
      <c r="BS78" s="75">
        <f t="shared" si="18"/>
        <v>71</v>
      </c>
      <c r="BT78" s="75"/>
      <c r="BU78" s="75"/>
      <c r="BX78" s="1773">
        <f t="shared" si="19"/>
        <v>0</v>
      </c>
      <c r="BY78" s="857">
        <v>0</v>
      </c>
      <c r="BZ78" s="162">
        <v>0</v>
      </c>
    </row>
    <row r="79" spans="1:78">
      <c r="A79" s="726">
        <f t="shared" si="11"/>
        <v>69</v>
      </c>
      <c r="B79" s="103">
        <v>929</v>
      </c>
      <c r="C79" s="23" t="str">
        <f>VLOOKUP(B79,'Stmt H'!$B:$D,3,FALSE)</f>
        <v>Duplicate Charges - Credit</v>
      </c>
      <c r="D79" s="23"/>
      <c r="E79" s="768">
        <f>HLOOKUP(Attach,$AF$8:$BG$205,AE79,FALSE)</f>
        <v>-1239.8400000000001</v>
      </c>
      <c r="F79" s="207"/>
      <c r="G79" s="768">
        <f>HLOOKUP(Attach,$AK$8:$AM$205,AJ79,FALSE)</f>
        <v>-31.026326999999696</v>
      </c>
      <c r="H79" s="768"/>
      <c r="I79" s="768">
        <f>HLOOKUP(Attach,$AP$8:$AR$205,AO79,FALSE)</f>
        <v>3.3301470000000108</v>
      </c>
      <c r="J79" s="768"/>
      <c r="K79" s="768">
        <f>HLOOKUP(Attach,$AU$8:$AW$205,AT79,FALSE)</f>
        <v>0</v>
      </c>
      <c r="L79" s="768"/>
      <c r="M79" s="768">
        <f>HLOOKUP(Attach,$AZ$8:$BB$205,AY79,FALSE)</f>
        <v>0</v>
      </c>
      <c r="N79" s="768"/>
      <c r="O79" s="768">
        <f>HLOOKUP(Attach,$BE$8:$BG$205,BD79,FALSE)</f>
        <v>0</v>
      </c>
      <c r="P79" s="768"/>
      <c r="Q79" s="768">
        <f>HLOOKUP(Attach,$BJ$8:$BL$205,BI79,FALSE)</f>
        <v>0</v>
      </c>
      <c r="R79" s="768"/>
      <c r="S79" s="768">
        <f>HLOOKUP(Attach,$BO$8:$BQ$205,BN79,FALSE)</f>
        <v>0</v>
      </c>
      <c r="T79" s="768"/>
      <c r="U79" s="768">
        <f>HLOOKUP(Attach,$BT$8:$BV$205,BS79,FALSE)</f>
        <v>0</v>
      </c>
      <c r="V79" s="768"/>
      <c r="W79" s="768">
        <v>0</v>
      </c>
      <c r="X79" s="768"/>
      <c r="Y79" s="768">
        <v>0</v>
      </c>
      <c r="Z79" s="768"/>
      <c r="AA79" s="768">
        <f>G79+E79+I79+K79+M79+O79+Q79+S79+U79+W79+Y79</f>
        <v>-1267.5361799999996</v>
      </c>
      <c r="AB79" s="857"/>
      <c r="AC79" s="857">
        <f>AA79-E79</f>
        <v>-27.696179999999458</v>
      </c>
      <c r="AD79" s="329"/>
      <c r="AE79" s="75">
        <f t="shared" si="0"/>
        <v>72</v>
      </c>
      <c r="AF79" s="1168">
        <v>-708.66000000000008</v>
      </c>
      <c r="AG79" s="1176">
        <v>-531.18000000000018</v>
      </c>
      <c r="AH79" s="937">
        <f>+AF79++AG79</f>
        <v>-1239.8400000000001</v>
      </c>
      <c r="AJ79" s="75">
        <f t="shared" si="1"/>
        <v>72</v>
      </c>
      <c r="AK79" s="1176">
        <v>-46.087130999999886</v>
      </c>
      <c r="AL79" s="1176">
        <v>15.060804000000189</v>
      </c>
      <c r="AM79" s="937">
        <f>+AK79++AL79</f>
        <v>-31.026326999999696</v>
      </c>
      <c r="AO79" s="75">
        <f t="shared" si="12"/>
        <v>72</v>
      </c>
      <c r="AP79" s="1176">
        <v>1.9073240000000169</v>
      </c>
      <c r="AQ79" s="1176">
        <v>-0.763704999999959</v>
      </c>
      <c r="AR79" s="937">
        <f>IF($AR$1="Y",BX79,AP79++AQ79)</f>
        <v>3.3301470000000108</v>
      </c>
      <c r="AT79" s="75">
        <f t="shared" si="13"/>
        <v>72</v>
      </c>
      <c r="AU79" s="1176"/>
      <c r="AV79" s="1176"/>
      <c r="AW79" s="937">
        <f>+AU79++AV79</f>
        <v>0</v>
      </c>
      <c r="AY79" s="75">
        <f t="shared" si="14"/>
        <v>72</v>
      </c>
      <c r="AZ79" s="1176"/>
      <c r="BA79" s="1176"/>
      <c r="BB79" s="937">
        <f>+AZ79++BA79</f>
        <v>0</v>
      </c>
      <c r="BD79" s="75">
        <f t="shared" si="15"/>
        <v>72</v>
      </c>
      <c r="BE79" s="1176"/>
      <c r="BF79" s="1176"/>
      <c r="BG79" s="937">
        <f>+BE79++BF79</f>
        <v>0</v>
      </c>
      <c r="BI79" s="75">
        <f t="shared" si="16"/>
        <v>72</v>
      </c>
      <c r="BJ79" s="1176"/>
      <c r="BK79" s="1176"/>
      <c r="BL79" s="937">
        <f>+BJ79++BK79</f>
        <v>0</v>
      </c>
      <c r="BN79" s="75">
        <f t="shared" si="17"/>
        <v>72</v>
      </c>
      <c r="BO79" s="1176"/>
      <c r="BP79" s="1176"/>
      <c r="BQ79" s="937">
        <f>+BO79++BP79</f>
        <v>0</v>
      </c>
      <c r="BS79" s="75">
        <f t="shared" si="18"/>
        <v>72</v>
      </c>
      <c r="BT79" s="1176"/>
      <c r="BU79" s="1176"/>
      <c r="BV79" s="937">
        <f>+BT79++BU79</f>
        <v>0</v>
      </c>
      <c r="BX79" s="1773">
        <f t="shared" si="19"/>
        <v>3.3301470000000108</v>
      </c>
      <c r="BY79" s="857">
        <v>18.19863799999996</v>
      </c>
      <c r="BZ79" s="162">
        <v>-14.868490999999949</v>
      </c>
    </row>
    <row r="80" spans="1:78">
      <c r="A80" s="726">
        <f t="shared" si="11"/>
        <v>70</v>
      </c>
      <c r="B80" s="103"/>
      <c r="C80" s="23"/>
      <c r="D80" s="23"/>
      <c r="E80" s="768"/>
      <c r="F80" s="207"/>
      <c r="G80" s="768"/>
      <c r="H80" s="768"/>
      <c r="I80" s="768"/>
      <c r="J80" s="768"/>
      <c r="K80" s="768"/>
      <c r="L80" s="768"/>
      <c r="M80" s="768"/>
      <c r="N80" s="768"/>
      <c r="O80" s="768"/>
      <c r="P80" s="768"/>
      <c r="Q80" s="768"/>
      <c r="R80" s="768"/>
      <c r="S80" s="768"/>
      <c r="T80" s="768"/>
      <c r="U80" s="768"/>
      <c r="V80" s="768"/>
      <c r="W80" s="768"/>
      <c r="X80" s="768"/>
      <c r="Y80" s="768"/>
      <c r="Z80" s="768"/>
      <c r="AA80" s="768"/>
      <c r="AB80" s="857"/>
      <c r="AC80" s="857"/>
      <c r="AD80" s="329"/>
      <c r="AE80" s="75">
        <f t="shared" ref="AE80:AE89" si="20">AE79+1</f>
        <v>73</v>
      </c>
      <c r="AF80" s="1175"/>
      <c r="AG80" s="1177"/>
      <c r="AH80" s="75"/>
      <c r="AJ80" s="75">
        <f t="shared" ref="AJ80:AJ89" si="21">AJ79+1</f>
        <v>73</v>
      </c>
      <c r="AK80" s="1177"/>
      <c r="AL80" s="1177"/>
      <c r="AM80" s="75"/>
      <c r="AO80" s="75">
        <f t="shared" si="12"/>
        <v>73</v>
      </c>
      <c r="AP80" s="75"/>
      <c r="AQ80" s="75"/>
      <c r="AR80" s="75"/>
      <c r="AT80" s="75">
        <f t="shared" si="13"/>
        <v>73</v>
      </c>
      <c r="AU80" s="75"/>
      <c r="AV80" s="75"/>
      <c r="AW80" s="75"/>
      <c r="AY80" s="75">
        <f t="shared" si="14"/>
        <v>73</v>
      </c>
      <c r="AZ80" s="75"/>
      <c r="BA80" s="75"/>
      <c r="BB80" s="75"/>
      <c r="BD80" s="75">
        <f t="shared" si="15"/>
        <v>73</v>
      </c>
      <c r="BE80" s="75"/>
      <c r="BF80" s="75"/>
      <c r="BG80" s="75"/>
      <c r="BI80" s="75">
        <f t="shared" si="16"/>
        <v>73</v>
      </c>
      <c r="BJ80" s="75"/>
      <c r="BK80" s="75"/>
      <c r="BL80" s="75"/>
      <c r="BN80" s="75">
        <f t="shared" si="17"/>
        <v>73</v>
      </c>
      <c r="BO80" s="75"/>
      <c r="BP80" s="75"/>
      <c r="BQ80" s="75"/>
      <c r="BS80" s="75">
        <f t="shared" si="18"/>
        <v>73</v>
      </c>
      <c r="BT80" s="75"/>
      <c r="BU80" s="75"/>
      <c r="BV80" s="75"/>
      <c r="BX80" s="1773">
        <f t="shared" si="19"/>
        <v>0</v>
      </c>
      <c r="BY80" s="857">
        <v>0</v>
      </c>
      <c r="BZ80" s="162">
        <v>0</v>
      </c>
    </row>
    <row r="81" spans="1:78">
      <c r="A81" s="1407">
        <f t="shared" si="11"/>
        <v>71</v>
      </c>
      <c r="B81" s="103">
        <v>930.1</v>
      </c>
      <c r="C81" s="23" t="str">
        <f>VLOOKUP(B81,'Stmt H'!$B:$D,3,FALSE)</f>
        <v>General Advertising Expense</v>
      </c>
      <c r="D81" s="23" t="str">
        <f>D61</f>
        <v>Note 1</v>
      </c>
      <c r="E81" s="768">
        <f>HLOOKUP(Attach,$AF$8:$BG$205,AE81,FALSE)</f>
        <v>266759.13</v>
      </c>
      <c r="F81" s="207"/>
      <c r="G81" s="768">
        <f>HLOOKUP(Attach,$AK$8:$AM$205,AJ81,FALSE)</f>
        <v>-415.72089099999948</v>
      </c>
      <c r="H81" s="768"/>
      <c r="I81" s="768">
        <f>HLOOKUP(Attach,$AP$8:$AR$205,AO81,FALSE)</f>
        <v>-2140.9456379999915</v>
      </c>
      <c r="J81" s="768"/>
      <c r="K81" s="768">
        <f>HLOOKUP(Attach,$AU$8:$AW$205,AT81,FALSE)</f>
        <v>0</v>
      </c>
      <c r="L81" s="768"/>
      <c r="M81" s="768">
        <f>HLOOKUP(Attach,$AZ$8:$BB$205,AY81,FALSE)</f>
        <v>0</v>
      </c>
      <c r="N81" s="768"/>
      <c r="O81" s="768">
        <f>HLOOKUP(Attach,$BE$8:$BG$205,BD81,FALSE)</f>
        <v>0</v>
      </c>
      <c r="P81" s="768"/>
      <c r="Q81" s="768">
        <f>HLOOKUP(Attach,$BJ$8:$BL$205,BI81,FALSE)</f>
        <v>0</v>
      </c>
      <c r="R81" s="768"/>
      <c r="S81" s="768">
        <f>HLOOKUP(Attach,$BO$8:$BQ$205,BN81,FALSE)</f>
        <v>0</v>
      </c>
      <c r="T81" s="768"/>
      <c r="U81" s="768">
        <f>HLOOKUP(Attach,$BT$8:$BV$205,BS81,FALSE)</f>
        <v>0</v>
      </c>
      <c r="V81" s="768"/>
      <c r="W81" s="768">
        <v>0</v>
      </c>
      <c r="X81" s="768"/>
      <c r="Y81" s="768">
        <v>0</v>
      </c>
      <c r="Z81" s="768"/>
      <c r="AA81" s="768">
        <f>G81+E81+I81+K81+M81+O81+Q81+S81+U81+W81+Y81</f>
        <v>264202.46347100002</v>
      </c>
      <c r="AB81" s="857"/>
      <c r="AC81" s="857">
        <f>AA81-E81</f>
        <v>-2556.6665289999801</v>
      </c>
      <c r="AD81" s="329"/>
      <c r="AE81" s="75">
        <f t="shared" si="20"/>
        <v>74</v>
      </c>
      <c r="AF81" s="1168">
        <f>175239.1+282.89</f>
        <v>175521.99000000002</v>
      </c>
      <c r="AG81" s="1176">
        <f>91118.33+118.81</f>
        <v>91237.14</v>
      </c>
      <c r="AH81" s="937">
        <f>+AF81++AG81</f>
        <v>266759.13</v>
      </c>
      <c r="AJ81" s="75">
        <f t="shared" si="21"/>
        <v>74</v>
      </c>
      <c r="AK81" s="1176">
        <f>6441.95755199999-4389.93</f>
        <v>2052.0275519999896</v>
      </c>
      <c r="AL81" s="1176">
        <f>993.751557000011-3461.5</f>
        <v>-2467.748442999989</v>
      </c>
      <c r="AM81" s="937">
        <f>+AK81++AL81</f>
        <v>-415.72089099999948</v>
      </c>
      <c r="AO81" s="75">
        <f t="shared" si="12"/>
        <v>74</v>
      </c>
      <c r="AP81" s="1176">
        <v>-2942.1565379999811</v>
      </c>
      <c r="AQ81" s="1176">
        <v>1190.3501489999944</v>
      </c>
      <c r="AR81" s="937">
        <f>IF($AR$1="Y",BX81,AP81++AQ81)</f>
        <v>-2140.9456379999915</v>
      </c>
      <c r="AT81" s="75">
        <f t="shared" si="13"/>
        <v>74</v>
      </c>
      <c r="AU81" s="1176"/>
      <c r="AV81" s="1176"/>
      <c r="AW81" s="937">
        <f>+AU81++AV81</f>
        <v>0</v>
      </c>
      <c r="AY81" s="75">
        <f t="shared" si="14"/>
        <v>74</v>
      </c>
      <c r="AZ81" s="1176"/>
      <c r="BA81" s="1176"/>
      <c r="BB81" s="937">
        <f>+AZ81++BA81</f>
        <v>0</v>
      </c>
      <c r="BD81" s="75">
        <f t="shared" si="15"/>
        <v>74</v>
      </c>
      <c r="BE81" s="1176"/>
      <c r="BF81" s="1176"/>
      <c r="BG81" s="937">
        <f>+BE81++BF81</f>
        <v>0</v>
      </c>
      <c r="BI81" s="75">
        <f t="shared" si="16"/>
        <v>74</v>
      </c>
      <c r="BJ81" s="1176"/>
      <c r="BK81" s="1176"/>
      <c r="BL81" s="937">
        <f>+BJ81++BK81</f>
        <v>0</v>
      </c>
      <c r="BN81" s="75">
        <f t="shared" si="17"/>
        <v>74</v>
      </c>
      <c r="BO81" s="1176"/>
      <c r="BP81" s="1176"/>
      <c r="BQ81" s="937">
        <f>+BO81++BP81</f>
        <v>0</v>
      </c>
      <c r="BS81" s="75">
        <f t="shared" si="18"/>
        <v>74</v>
      </c>
      <c r="BT81" s="1176"/>
      <c r="BU81" s="1176"/>
      <c r="BV81" s="937">
        <f>+BT81++BU81</f>
        <v>0</v>
      </c>
      <c r="BX81" s="1773">
        <f t="shared" si="19"/>
        <v>-2140.9456379999915</v>
      </c>
      <c r="BY81" s="857">
        <v>-3507.8248069999845</v>
      </c>
      <c r="BZ81" s="162">
        <v>1366.879168999993</v>
      </c>
    </row>
    <row r="82" spans="1:78">
      <c r="A82" s="726">
        <f t="shared" ref="A82:A88" si="22">A81+1</f>
        <v>72</v>
      </c>
      <c r="B82" s="103"/>
      <c r="C82" s="23"/>
      <c r="D82" s="23"/>
      <c r="E82" s="768"/>
      <c r="F82" s="207"/>
      <c r="G82" s="768"/>
      <c r="H82" s="768"/>
      <c r="I82" s="768"/>
      <c r="J82" s="768"/>
      <c r="K82" s="768"/>
      <c r="L82" s="768"/>
      <c r="M82" s="768"/>
      <c r="N82" s="768"/>
      <c r="O82" s="768"/>
      <c r="P82" s="768"/>
      <c r="Q82" s="768"/>
      <c r="R82" s="768"/>
      <c r="S82" s="768"/>
      <c r="T82" s="768"/>
      <c r="U82" s="768"/>
      <c r="V82" s="768"/>
      <c r="W82" s="768"/>
      <c r="X82" s="768"/>
      <c r="Y82" s="768"/>
      <c r="Z82" s="768"/>
      <c r="AA82" s="768"/>
      <c r="AB82" s="857"/>
      <c r="AC82" s="857"/>
      <c r="AD82" s="329"/>
      <c r="AE82" s="75">
        <f t="shared" si="20"/>
        <v>75</v>
      </c>
      <c r="AF82" s="1175"/>
      <c r="AG82" s="1177"/>
      <c r="AH82" s="75"/>
      <c r="AJ82" s="75">
        <f t="shared" si="21"/>
        <v>75</v>
      </c>
      <c r="AK82" s="1177"/>
      <c r="AL82" s="1177"/>
      <c r="AO82" s="75">
        <f t="shared" si="12"/>
        <v>75</v>
      </c>
      <c r="AP82" s="75"/>
      <c r="AQ82" s="75"/>
      <c r="AT82" s="75">
        <f t="shared" si="13"/>
        <v>75</v>
      </c>
      <c r="AU82" s="75"/>
      <c r="AV82" s="75"/>
      <c r="AY82" s="75">
        <f t="shared" si="14"/>
        <v>75</v>
      </c>
      <c r="AZ82" s="75"/>
      <c r="BA82" s="75"/>
      <c r="BD82" s="75">
        <f t="shared" si="15"/>
        <v>75</v>
      </c>
      <c r="BE82" s="75"/>
      <c r="BF82" s="75"/>
      <c r="BI82" s="75">
        <f t="shared" si="16"/>
        <v>75</v>
      </c>
      <c r="BJ82" s="75"/>
      <c r="BK82" s="75"/>
      <c r="BN82" s="75">
        <f t="shared" si="17"/>
        <v>75</v>
      </c>
      <c r="BO82" s="75"/>
      <c r="BP82" s="75"/>
      <c r="BS82" s="75">
        <f t="shared" si="18"/>
        <v>75</v>
      </c>
      <c r="BT82" s="75"/>
      <c r="BU82" s="75"/>
      <c r="BX82" s="1773">
        <f t="shared" si="19"/>
        <v>0</v>
      </c>
      <c r="BY82" s="857">
        <v>0</v>
      </c>
      <c r="BZ82" s="162">
        <v>0</v>
      </c>
    </row>
    <row r="83" spans="1:78">
      <c r="A83" s="726">
        <f t="shared" si="22"/>
        <v>73</v>
      </c>
      <c r="B83" s="103">
        <v>930.2</v>
      </c>
      <c r="C83" s="23" t="str">
        <f>VLOOKUP(B83,'Stmt H'!$B:$D,3,FALSE)</f>
        <v>Miscellaneous General Expense</v>
      </c>
      <c r="D83" s="23"/>
      <c r="E83" s="768">
        <f>HLOOKUP(Attach,$AF$8:$BG$205,AE83,FALSE)</f>
        <v>708149.14</v>
      </c>
      <c r="F83" s="207"/>
      <c r="G83" s="768">
        <f>HLOOKUP(Attach,$AK$8:$AM$205,AJ83,FALSE)</f>
        <v>46175.048276000016</v>
      </c>
      <c r="H83" s="768"/>
      <c r="I83" s="768">
        <f>HLOOKUP(Attach,$AP$8:$AR$205,AO83,FALSE)</f>
        <v>2851.8059860000503</v>
      </c>
      <c r="J83" s="768"/>
      <c r="K83" s="768">
        <f>HLOOKUP(Attach,$AU$8:$AW$205,AT83,FALSE)</f>
        <v>0</v>
      </c>
      <c r="L83" s="768"/>
      <c r="M83" s="768">
        <f>HLOOKUP(Attach,$AZ$8:$BB$205,AY83,FALSE)</f>
        <v>0</v>
      </c>
      <c r="N83" s="768"/>
      <c r="O83" s="768">
        <f>HLOOKUP(Attach,$BE$8:$BG$205,BD83,FALSE)</f>
        <v>0</v>
      </c>
      <c r="P83" s="768"/>
      <c r="Q83" s="768">
        <f>HLOOKUP(Attach,$BJ$8:$BL$205,BI83,FALSE)</f>
        <v>0</v>
      </c>
      <c r="R83" s="768"/>
      <c r="S83" s="768">
        <f>HLOOKUP(Attach,$BO$8:$BQ$205,BN83,FALSE)</f>
        <v>0</v>
      </c>
      <c r="T83" s="768"/>
      <c r="U83" s="768">
        <f>HLOOKUP(Attach,$BT$8:$BV$205,BS83,FALSE)</f>
        <v>0</v>
      </c>
      <c r="V83" s="768"/>
      <c r="W83" s="768">
        <v>0</v>
      </c>
      <c r="X83" s="768"/>
      <c r="Y83" s="768">
        <v>0</v>
      </c>
      <c r="Z83" s="768"/>
      <c r="AA83" s="768">
        <f>G83+E83+I83+K83+M83+O83+Q83+S83+U83+W83+Y83</f>
        <v>757175.99426200008</v>
      </c>
      <c r="AB83" s="857"/>
      <c r="AC83" s="857">
        <f>AA83-E83</f>
        <v>49026.854262000066</v>
      </c>
      <c r="AD83" s="329"/>
      <c r="AE83" s="75">
        <f t="shared" si="20"/>
        <v>76</v>
      </c>
      <c r="AF83" s="1168">
        <v>387441.86</v>
      </c>
      <c r="AG83" s="1176">
        <v>320707.28000000003</v>
      </c>
      <c r="AH83" s="937">
        <f>+AF83++AG83</f>
        <v>708149.14</v>
      </c>
      <c r="AJ83" s="75">
        <f t="shared" si="21"/>
        <v>76</v>
      </c>
      <c r="AK83" s="1176">
        <v>35881.132625000086</v>
      </c>
      <c r="AL83" s="1176">
        <v>10293.91565099993</v>
      </c>
      <c r="AM83" s="937">
        <f>+AK83++AL83</f>
        <v>46175.048276000016</v>
      </c>
      <c r="AO83" s="75">
        <f t="shared" si="12"/>
        <v>76</v>
      </c>
      <c r="AP83" s="1176">
        <v>216.11361099977512</v>
      </c>
      <c r="AQ83" s="1176">
        <v>2554.9807380000129</v>
      </c>
      <c r="AR83" s="937">
        <f>IF($AR$1="Y",BX83,AP83++AQ83)</f>
        <v>2851.8059860000503</v>
      </c>
      <c r="AT83" s="75">
        <f t="shared" si="13"/>
        <v>76</v>
      </c>
      <c r="AU83" s="1176"/>
      <c r="AV83" s="1176"/>
      <c r="AW83" s="937">
        <f>+AU83++AV83</f>
        <v>0</v>
      </c>
      <c r="AY83" s="75">
        <f t="shared" si="14"/>
        <v>76</v>
      </c>
      <c r="AZ83" s="1176"/>
      <c r="BA83" s="1176"/>
      <c r="BB83" s="937">
        <f>+AZ83++BA83</f>
        <v>0</v>
      </c>
      <c r="BD83" s="75">
        <f t="shared" si="15"/>
        <v>76</v>
      </c>
      <c r="BE83" s="1176"/>
      <c r="BF83" s="1176"/>
      <c r="BG83" s="937">
        <f>+BE83++BF83</f>
        <v>0</v>
      </c>
      <c r="BI83" s="75">
        <f t="shared" si="16"/>
        <v>76</v>
      </c>
      <c r="BJ83" s="1176"/>
      <c r="BK83" s="1176"/>
      <c r="BL83" s="937">
        <f>+BJ83++BK83</f>
        <v>0</v>
      </c>
      <c r="BN83" s="75">
        <f t="shared" si="17"/>
        <v>76</v>
      </c>
      <c r="BO83" s="1176"/>
      <c r="BP83" s="1176"/>
      <c r="BQ83" s="937">
        <f>+BO83++BP83</f>
        <v>0</v>
      </c>
      <c r="BS83" s="75">
        <f t="shared" si="18"/>
        <v>76</v>
      </c>
      <c r="BT83" s="1176"/>
      <c r="BU83" s="1176"/>
      <c r="BV83" s="937">
        <f>+BT83++BU83</f>
        <v>0</v>
      </c>
      <c r="BX83" s="1773">
        <f t="shared" si="19"/>
        <v>2851.8059860000503</v>
      </c>
      <c r="BY83" s="857">
        <v>-8498.6171029999969</v>
      </c>
      <c r="BZ83" s="162">
        <v>11350.423089000047</v>
      </c>
    </row>
    <row r="84" spans="1:78">
      <c r="A84" s="726">
        <f t="shared" si="22"/>
        <v>74</v>
      </c>
      <c r="B84" s="103"/>
      <c r="C84" s="23"/>
      <c r="D84" s="23"/>
      <c r="E84" s="768"/>
      <c r="F84" s="207"/>
      <c r="G84" s="768"/>
      <c r="H84" s="768"/>
      <c r="I84" s="768"/>
      <c r="J84" s="768"/>
      <c r="K84" s="768"/>
      <c r="L84" s="768"/>
      <c r="M84" s="768"/>
      <c r="N84" s="768"/>
      <c r="O84" s="768"/>
      <c r="P84" s="768"/>
      <c r="Q84" s="768"/>
      <c r="R84" s="768"/>
      <c r="S84" s="768"/>
      <c r="T84" s="768"/>
      <c r="U84" s="768"/>
      <c r="V84" s="768"/>
      <c r="W84" s="768"/>
      <c r="X84" s="768"/>
      <c r="Y84" s="768"/>
      <c r="Z84" s="768"/>
      <c r="AA84" s="768"/>
      <c r="AB84" s="857"/>
      <c r="AC84" s="857"/>
      <c r="AD84" s="329"/>
      <c r="AE84" s="75">
        <f t="shared" si="20"/>
        <v>77</v>
      </c>
      <c r="AF84" s="1175"/>
      <c r="AG84" s="1177"/>
      <c r="AH84" s="75"/>
      <c r="AJ84" s="75">
        <f t="shared" si="21"/>
        <v>77</v>
      </c>
      <c r="AK84" s="1177"/>
      <c r="AL84" s="1177"/>
      <c r="AO84" s="75">
        <f t="shared" si="12"/>
        <v>77</v>
      </c>
      <c r="AP84" s="75"/>
      <c r="AQ84" s="75"/>
      <c r="AT84" s="75">
        <f t="shared" si="13"/>
        <v>77</v>
      </c>
      <c r="AU84" s="75"/>
      <c r="AV84" s="75"/>
      <c r="AY84" s="75">
        <f t="shared" si="14"/>
        <v>77</v>
      </c>
      <c r="AZ84" s="75"/>
      <c r="BA84" s="75"/>
      <c r="BD84" s="75">
        <f t="shared" si="15"/>
        <v>77</v>
      </c>
      <c r="BE84" s="75"/>
      <c r="BF84" s="75"/>
      <c r="BI84" s="75">
        <f t="shared" si="16"/>
        <v>77</v>
      </c>
      <c r="BJ84" s="75"/>
      <c r="BK84" s="75"/>
      <c r="BN84" s="75">
        <f t="shared" si="17"/>
        <v>77</v>
      </c>
      <c r="BO84" s="75"/>
      <c r="BP84" s="75"/>
      <c r="BS84" s="75">
        <f t="shared" si="18"/>
        <v>77</v>
      </c>
      <c r="BT84" s="75"/>
      <c r="BU84" s="75"/>
      <c r="BX84" s="1773">
        <f t="shared" si="19"/>
        <v>0</v>
      </c>
      <c r="BY84" s="857">
        <v>0</v>
      </c>
      <c r="BZ84" s="162">
        <v>0</v>
      </c>
    </row>
    <row r="85" spans="1:78">
      <c r="A85" s="726">
        <f t="shared" si="22"/>
        <v>75</v>
      </c>
      <c r="B85" s="103">
        <v>931</v>
      </c>
      <c r="C85" s="23" t="str">
        <f>VLOOKUP(B85,'Stmt H'!$B:$D,3,FALSE)</f>
        <v>Rents</v>
      </c>
      <c r="D85" s="23"/>
      <c r="E85" s="768">
        <f>HLOOKUP(Attach,$AF$8:$BG$205,AE85,FALSE)</f>
        <v>2264117.5699999998</v>
      </c>
      <c r="F85" s="207"/>
      <c r="G85" s="768">
        <f>HLOOKUP(Attach,$AK$8:$AM$205,AJ85,FALSE)</f>
        <v>172541.32732100051</v>
      </c>
      <c r="H85" s="768"/>
      <c r="I85" s="768">
        <f>HLOOKUP(Attach,$AP$8:$AR$205,AO85,FALSE)</f>
        <v>-36593.993580000126</v>
      </c>
      <c r="J85" s="768"/>
      <c r="K85" s="768">
        <f>HLOOKUP(Attach,$AU$8:$AW$205,AT85,FALSE)</f>
        <v>0</v>
      </c>
      <c r="L85" s="768"/>
      <c r="M85" s="768">
        <f>HLOOKUP(Attach,$AZ$8:$BB$205,AY85,FALSE)</f>
        <v>0</v>
      </c>
      <c r="N85" s="768"/>
      <c r="O85" s="768">
        <f>HLOOKUP(Attach,$BE$8:$BG$205,BD85,FALSE)</f>
        <v>0</v>
      </c>
      <c r="P85" s="768"/>
      <c r="Q85" s="768">
        <f>HLOOKUP(Attach,$BJ$8:$BL$205,BI85,FALSE)</f>
        <v>0</v>
      </c>
      <c r="R85" s="768"/>
      <c r="S85" s="768">
        <f>HLOOKUP(Attach,$BO$8:$BQ$205,BN85,FALSE)</f>
        <v>0</v>
      </c>
      <c r="T85" s="768"/>
      <c r="U85" s="768">
        <f>HLOOKUP(Attach,$BT$8:$BV$205,BS85,FALSE)</f>
        <v>496095</v>
      </c>
      <c r="V85" s="768"/>
      <c r="W85" s="768">
        <v>0</v>
      </c>
      <c r="X85" s="768"/>
      <c r="Y85" s="768">
        <v>0</v>
      </c>
      <c r="Z85" s="768"/>
      <c r="AA85" s="768">
        <f>G85+E85+I85+K85+M85+O85+Q85+S85+U85+W85+Y85</f>
        <v>2896159.9037410002</v>
      </c>
      <c r="AB85" s="857"/>
      <c r="AC85" s="857">
        <f>AA85-E85</f>
        <v>632042.33374100039</v>
      </c>
      <c r="AD85" s="329"/>
      <c r="AE85" s="75">
        <f t="shared" si="20"/>
        <v>78</v>
      </c>
      <c r="AF85" s="1168">
        <v>1408374.88</v>
      </c>
      <c r="AG85" s="1176">
        <v>855742.69</v>
      </c>
      <c r="AH85" s="937">
        <f>+AF85++AG85</f>
        <v>2264117.5699999998</v>
      </c>
      <c r="AJ85" s="75">
        <f t="shared" si="21"/>
        <v>78</v>
      </c>
      <c r="AK85" s="1176">
        <v>128491.28004300036</v>
      </c>
      <c r="AL85" s="1176">
        <v>44050.047278000158</v>
      </c>
      <c r="AM85" s="937">
        <f>+AK85++AL85</f>
        <v>172541.32732100051</v>
      </c>
      <c r="AO85" s="75">
        <f t="shared" si="12"/>
        <v>78</v>
      </c>
      <c r="AP85" s="1176">
        <v>23389.442710999865</v>
      </c>
      <c r="AQ85" s="1176">
        <v>5365.6749640000053</v>
      </c>
      <c r="AR85" s="937">
        <f>IF($AR$1="Y",BX85,AP85++AQ85)</f>
        <v>-36593.993580000126</v>
      </c>
      <c r="AT85" s="75">
        <f t="shared" si="13"/>
        <v>78</v>
      </c>
      <c r="AU85" s="1176"/>
      <c r="AV85" s="1176"/>
      <c r="AW85" s="937">
        <f>+AU85++AV85</f>
        <v>0</v>
      </c>
      <c r="AY85" s="75">
        <f t="shared" si="14"/>
        <v>78</v>
      </c>
      <c r="AZ85" s="1176"/>
      <c r="BA85" s="1176"/>
      <c r="BB85" s="937">
        <f>+AZ85++BA85</f>
        <v>0</v>
      </c>
      <c r="BD85" s="75">
        <f t="shared" si="15"/>
        <v>78</v>
      </c>
      <c r="BE85" s="1176"/>
      <c r="BF85" s="1176"/>
      <c r="BG85" s="937">
        <f>+BE85++BF85</f>
        <v>0</v>
      </c>
      <c r="BI85" s="75">
        <f t="shared" si="16"/>
        <v>78</v>
      </c>
      <c r="BJ85" s="1176"/>
      <c r="BK85" s="1176"/>
      <c r="BL85" s="937">
        <f>+BJ85++BK85</f>
        <v>0</v>
      </c>
      <c r="BN85" s="75">
        <f t="shared" si="17"/>
        <v>78</v>
      </c>
      <c r="BO85" s="1176"/>
      <c r="BP85" s="1176"/>
      <c r="BQ85" s="937">
        <f>+BO85++BP85</f>
        <v>0</v>
      </c>
      <c r="BS85" s="75">
        <f t="shared" si="18"/>
        <v>78</v>
      </c>
      <c r="BT85" s="1176">
        <v>313667</v>
      </c>
      <c r="BU85" s="1176">
        <v>182428</v>
      </c>
      <c r="BV85" s="937">
        <f>+BT85++BU85</f>
        <v>496095</v>
      </c>
      <c r="BX85" s="1773">
        <f t="shared" si="19"/>
        <v>-36593.993580000126</v>
      </c>
      <c r="BY85" s="857">
        <v>-49483.365258000093</v>
      </c>
      <c r="BZ85" s="162">
        <v>12889.371677999967</v>
      </c>
    </row>
    <row r="86" spans="1:78">
      <c r="A86" s="726">
        <f t="shared" si="22"/>
        <v>76</v>
      </c>
      <c r="B86" s="103"/>
      <c r="C86" s="23"/>
      <c r="D86" s="23"/>
      <c r="E86" s="768"/>
      <c r="F86" s="207"/>
      <c r="G86" s="768"/>
      <c r="H86" s="768"/>
      <c r="I86" s="768"/>
      <c r="J86" s="768"/>
      <c r="K86" s="768"/>
      <c r="L86" s="768"/>
      <c r="M86" s="768"/>
      <c r="N86" s="768"/>
      <c r="O86" s="768"/>
      <c r="P86" s="768"/>
      <c r="Q86" s="768"/>
      <c r="R86" s="768"/>
      <c r="S86" s="768"/>
      <c r="T86" s="768"/>
      <c r="U86" s="768"/>
      <c r="V86" s="768"/>
      <c r="W86" s="768"/>
      <c r="X86" s="768"/>
      <c r="Y86" s="768"/>
      <c r="Z86" s="768"/>
      <c r="AA86" s="768"/>
      <c r="AB86" s="857"/>
      <c r="AC86" s="857"/>
      <c r="AD86" s="329"/>
      <c r="AE86" s="75">
        <f t="shared" si="20"/>
        <v>79</v>
      </c>
      <c r="AF86" s="1175"/>
      <c r="AG86" s="1177"/>
      <c r="AH86" s="75"/>
      <c r="AJ86" s="75">
        <f t="shared" si="21"/>
        <v>79</v>
      </c>
      <c r="AK86" s="1177"/>
      <c r="AL86" s="1177"/>
      <c r="AO86" s="75">
        <f t="shared" si="12"/>
        <v>79</v>
      </c>
      <c r="AP86" s="75"/>
      <c r="AQ86" s="75"/>
      <c r="AT86" s="75">
        <f t="shared" si="13"/>
        <v>79</v>
      </c>
      <c r="AU86" s="75"/>
      <c r="AV86" s="75"/>
      <c r="AY86" s="75">
        <f t="shared" si="14"/>
        <v>79</v>
      </c>
      <c r="AZ86" s="75"/>
      <c r="BA86" s="75"/>
      <c r="BD86" s="75">
        <f t="shared" si="15"/>
        <v>79</v>
      </c>
      <c r="BE86" s="75"/>
      <c r="BF86" s="75"/>
      <c r="BI86" s="75">
        <f t="shared" si="16"/>
        <v>79</v>
      </c>
      <c r="BJ86" s="75"/>
      <c r="BK86" s="75"/>
      <c r="BN86" s="75">
        <f t="shared" si="17"/>
        <v>79</v>
      </c>
      <c r="BO86" s="75"/>
      <c r="BP86" s="75"/>
      <c r="BS86" s="75">
        <f t="shared" si="18"/>
        <v>79</v>
      </c>
      <c r="BT86" s="75"/>
      <c r="BU86" s="75"/>
      <c r="BX86" s="1773">
        <f t="shared" si="19"/>
        <v>0</v>
      </c>
      <c r="BY86" s="857">
        <v>0</v>
      </c>
      <c r="BZ86" s="162">
        <v>0</v>
      </c>
    </row>
    <row r="87" spans="1:78">
      <c r="A87" s="1407">
        <f t="shared" si="22"/>
        <v>77</v>
      </c>
      <c r="B87" s="103">
        <v>932</v>
      </c>
      <c r="C87" s="23" t="str">
        <f>VLOOKUP(B87,'Stmt H'!$B:$D,3,FALSE)</f>
        <v>Maintenance of General Plant</v>
      </c>
      <c r="D87" s="23"/>
      <c r="E87" s="768">
        <f>HLOOKUP(Attach,$AF$8:$BG$205,AE87,FALSE)</f>
        <v>1603529.5299999998</v>
      </c>
      <c r="F87" s="207"/>
      <c r="G87" s="768">
        <f>HLOOKUP(Attach,$AK$8:$AM$205,AJ87,FALSE)</f>
        <v>128046.38069399993</v>
      </c>
      <c r="H87" s="768"/>
      <c r="I87" s="768">
        <f>HLOOKUP(Attach,$AP$8:$AR$205,AO87,FALSE)</f>
        <v>5785.5484760002</v>
      </c>
      <c r="J87" s="768"/>
      <c r="K87" s="768">
        <f>HLOOKUP(Attach,$AU$8:$AW$205,AT87,FALSE)</f>
        <v>0</v>
      </c>
      <c r="L87" s="768"/>
      <c r="M87" s="768">
        <f>HLOOKUP(Attach,$AZ$8:$BB$205,AY87,FALSE)</f>
        <v>0</v>
      </c>
      <c r="N87" s="768"/>
      <c r="O87" s="768">
        <f>HLOOKUP(Attach,$BE$8:$BG$205,BD87,FALSE)</f>
        <v>0</v>
      </c>
      <c r="P87" s="768"/>
      <c r="Q87" s="768">
        <f>HLOOKUP(Attach,$BJ$8:$BL$205,BI87,FALSE)</f>
        <v>0</v>
      </c>
      <c r="R87" s="768"/>
      <c r="S87" s="768">
        <f>HLOOKUP(Attach,$BO$8:$BQ$205,BN87,FALSE)</f>
        <v>-98215.033368526347</v>
      </c>
      <c r="T87" s="768"/>
      <c r="U87" s="768">
        <f>HLOOKUP(Attach,$BT$8:$BV$205,BS87,FALSE)</f>
        <v>0</v>
      </c>
      <c r="V87" s="768"/>
      <c r="W87" s="768">
        <v>0</v>
      </c>
      <c r="X87" s="768"/>
      <c r="Y87" s="768">
        <v>0</v>
      </c>
      <c r="Z87" s="768"/>
      <c r="AA87" s="768">
        <f>G87+E87+I87+K87+M87+O87+Q87+S87+U87+W87+Y87</f>
        <v>1639146.4258014739</v>
      </c>
      <c r="AB87" s="857"/>
      <c r="AC87" s="857">
        <f>AA87-E87</f>
        <v>35616.895801474107</v>
      </c>
      <c r="AD87" s="329"/>
      <c r="AE87" s="75">
        <f t="shared" si="20"/>
        <v>80</v>
      </c>
      <c r="AF87" s="1168">
        <v>984661.66</v>
      </c>
      <c r="AG87" s="1176">
        <v>618867.86999999988</v>
      </c>
      <c r="AH87" s="937">
        <f>+AF87++AG87</f>
        <v>1603529.5299999998</v>
      </c>
      <c r="AJ87" s="75">
        <f t="shared" si="21"/>
        <v>80</v>
      </c>
      <c r="AK87" s="1176">
        <v>48330.110626999987</v>
      </c>
      <c r="AL87" s="1176">
        <v>79716.270066999947</v>
      </c>
      <c r="AM87" s="937">
        <f>+AK87++AL87</f>
        <v>128046.38069399993</v>
      </c>
      <c r="AO87" s="75">
        <f t="shared" si="12"/>
        <v>80</v>
      </c>
      <c r="AP87" s="1176">
        <v>927.77744900004473</v>
      </c>
      <c r="AQ87" s="1176">
        <v>5852.3320159999421</v>
      </c>
      <c r="AR87" s="937">
        <f>IF($AR$1="Y",BX87,AP87++AQ87)</f>
        <v>5785.5484760002</v>
      </c>
      <c r="AT87" s="75">
        <f t="shared" si="13"/>
        <v>80</v>
      </c>
      <c r="AU87" s="1176"/>
      <c r="AV87" s="1176"/>
      <c r="AW87" s="937">
        <f>+AU87++AV87</f>
        <v>0</v>
      </c>
      <c r="AY87" s="75">
        <f t="shared" si="14"/>
        <v>80</v>
      </c>
      <c r="AZ87" s="1176"/>
      <c r="BA87" s="1176"/>
      <c r="BB87" s="937">
        <f>+AZ87++BA87</f>
        <v>0</v>
      </c>
      <c r="BD87" s="75">
        <f t="shared" si="15"/>
        <v>80</v>
      </c>
      <c r="BE87" s="1176"/>
      <c r="BF87" s="1176"/>
      <c r="BG87" s="937">
        <f>+BE87++BF87</f>
        <v>0</v>
      </c>
      <c r="BI87" s="75">
        <f t="shared" si="16"/>
        <v>80</v>
      </c>
      <c r="BJ87" s="1176"/>
      <c r="BK87" s="1176"/>
      <c r="BL87" s="937">
        <f>+BJ87++BK87</f>
        <v>0</v>
      </c>
      <c r="BN87" s="75">
        <f t="shared" si="17"/>
        <v>80</v>
      </c>
      <c r="BO87" s="1176">
        <v>-105093.05</v>
      </c>
      <c r="BP87" s="1176">
        <v>6878.0166314736598</v>
      </c>
      <c r="BQ87" s="937">
        <f>+BO87++BP87</f>
        <v>-98215.033368526347</v>
      </c>
      <c r="BS87" s="75">
        <f t="shared" si="18"/>
        <v>80</v>
      </c>
      <c r="BT87" s="1176"/>
      <c r="BU87" s="1176"/>
      <c r="BV87" s="937">
        <f>+BT87++BU87</f>
        <v>0</v>
      </c>
      <c r="BX87" s="1773">
        <f t="shared" si="19"/>
        <v>5785.5484760002</v>
      </c>
      <c r="BY87" s="857">
        <v>-23575.470794000081</v>
      </c>
      <c r="BZ87" s="162">
        <v>29361.019270000281</v>
      </c>
    </row>
    <row r="88" spans="1:78">
      <c r="A88" s="1407">
        <f t="shared" si="22"/>
        <v>78</v>
      </c>
      <c r="B88" s="7"/>
      <c r="C88" s="23"/>
      <c r="D88" s="23"/>
      <c r="E88" s="612"/>
      <c r="F88" s="330"/>
      <c r="G88" s="612"/>
      <c r="H88" s="612"/>
      <c r="I88" s="612"/>
      <c r="J88" s="612"/>
      <c r="K88" s="612"/>
      <c r="L88" s="612"/>
      <c r="M88" s="612"/>
      <c r="N88" s="612"/>
      <c r="O88" s="612"/>
      <c r="P88" s="612"/>
      <c r="Q88" s="612"/>
      <c r="R88" s="612"/>
      <c r="S88" s="612"/>
      <c r="T88" s="612"/>
      <c r="U88" s="612"/>
      <c r="V88" s="612"/>
      <c r="W88" s="612"/>
      <c r="X88" s="612"/>
      <c r="Y88" s="612"/>
      <c r="Z88" s="612"/>
      <c r="AA88" s="768"/>
      <c r="AB88" s="329"/>
      <c r="AC88" s="329"/>
      <c r="AD88" s="329"/>
      <c r="AE88" s="75">
        <f t="shared" si="20"/>
        <v>81</v>
      </c>
      <c r="AF88" s="75"/>
      <c r="AG88" s="75"/>
      <c r="AH88" s="75"/>
      <c r="AJ88" s="75">
        <f t="shared" si="21"/>
        <v>81</v>
      </c>
      <c r="AK88" s="75"/>
      <c r="AL88" s="75"/>
      <c r="AO88" s="75">
        <f t="shared" si="12"/>
        <v>81</v>
      </c>
      <c r="AP88" s="75"/>
      <c r="AQ88" s="75"/>
      <c r="AT88" s="75">
        <f t="shared" si="13"/>
        <v>81</v>
      </c>
      <c r="AU88" s="75"/>
      <c r="AV88" s="75"/>
      <c r="AY88" s="75">
        <f t="shared" si="14"/>
        <v>81</v>
      </c>
      <c r="AZ88" s="75"/>
      <c r="BA88" s="75"/>
      <c r="BD88" s="75">
        <f t="shared" si="15"/>
        <v>81</v>
      </c>
      <c r="BE88" s="75"/>
      <c r="BF88" s="75"/>
      <c r="BI88" s="75">
        <f t="shared" si="16"/>
        <v>81</v>
      </c>
      <c r="BJ88" s="75"/>
      <c r="BK88" s="75"/>
      <c r="BN88" s="75">
        <f t="shared" si="17"/>
        <v>81</v>
      </c>
      <c r="BO88" s="75"/>
      <c r="BP88" s="75"/>
      <c r="BS88" s="75">
        <f t="shared" si="18"/>
        <v>81</v>
      </c>
      <c r="BT88" s="75"/>
      <c r="BU88" s="75"/>
      <c r="BX88" s="1773">
        <f t="shared" si="19"/>
        <v>0</v>
      </c>
      <c r="BY88" s="857">
        <v>0</v>
      </c>
      <c r="BZ88" s="162">
        <v>0</v>
      </c>
    </row>
    <row r="89" spans="1:78" ht="13.5" thickBot="1">
      <c r="A89" s="473">
        <f t="shared" ref="A89:A96" si="23">A88+1</f>
        <v>79</v>
      </c>
      <c r="B89" s="7"/>
      <c r="C89" s="23" t="s">
        <v>403</v>
      </c>
      <c r="D89" s="23"/>
      <c r="E89" s="358">
        <f>SUM(E11:E87)</f>
        <v>32859578.160000004</v>
      </c>
      <c r="F89" s="614"/>
      <c r="G89" s="358">
        <f>SUM(G11:G87)</f>
        <v>2499450.6530599971</v>
      </c>
      <c r="H89" s="361"/>
      <c r="I89" s="358">
        <f>SUM(I11:I87)</f>
        <v>-70768.172473997649</v>
      </c>
      <c r="J89" s="361"/>
      <c r="K89" s="358">
        <f>SUM(K11:K87)</f>
        <v>424001</v>
      </c>
      <c r="L89" s="361"/>
      <c r="M89" s="358">
        <f>SUM(M11:M87)</f>
        <v>1834479.2120396092</v>
      </c>
      <c r="N89" s="361"/>
      <c r="O89" s="358">
        <f>SUM(O11:O87)</f>
        <v>558975</v>
      </c>
      <c r="P89" s="361"/>
      <c r="Q89" s="358">
        <f>SUM(Q11:Q87)</f>
        <v>-397270.62352941174</v>
      </c>
      <c r="R89" s="361"/>
      <c r="S89" s="358">
        <f>SUM(S11:S87)</f>
        <v>-98215.033368526347</v>
      </c>
      <c r="T89" s="361"/>
      <c r="U89" s="358">
        <f>SUM(U11:U87)</f>
        <v>18749.109999999986</v>
      </c>
      <c r="V89" s="361"/>
      <c r="W89" s="358">
        <f>SUM(W11:W87)</f>
        <v>-266193.5</v>
      </c>
      <c r="X89" s="361"/>
      <c r="Y89" s="358">
        <f>SUM(Y11:Y87)</f>
        <v>-258294.11089427161</v>
      </c>
      <c r="Z89" s="361"/>
      <c r="AA89" s="358">
        <f>SUM(AA11:AA87)</f>
        <v>37104491.69483339</v>
      </c>
      <c r="AB89" s="329"/>
      <c r="AC89" s="358">
        <f>SUM(AC11:AC87)</f>
        <v>4244913.5348333986</v>
      </c>
      <c r="AD89" s="329"/>
      <c r="AE89" s="75">
        <f t="shared" si="20"/>
        <v>82</v>
      </c>
      <c r="AF89" s="937">
        <f>SUM(AF11:AF87)</f>
        <v>20151384.859999996</v>
      </c>
      <c r="AG89" s="937">
        <f>SUM(AG11:AG87)</f>
        <v>12708193.299999997</v>
      </c>
      <c r="AH89" s="937">
        <f>+AF89++AG89</f>
        <v>32859578.159999993</v>
      </c>
      <c r="AJ89" s="75">
        <f t="shared" si="21"/>
        <v>82</v>
      </c>
      <c r="AK89" s="937">
        <f>SUM(AK11:AK87)</f>
        <v>1684446.4507929978</v>
      </c>
      <c r="AL89" s="937">
        <f>SUM(AL11:AL87)</f>
        <v>815004.20226699882</v>
      </c>
      <c r="AM89" s="937">
        <f>+AK89++AL89</f>
        <v>2499450.6530599967</v>
      </c>
      <c r="AO89" s="75">
        <f t="shared" si="12"/>
        <v>82</v>
      </c>
      <c r="AP89" s="937">
        <f>SUM(AP11:AP87)</f>
        <v>16405.746207001623</v>
      </c>
      <c r="AQ89" s="937">
        <f>SUM(AQ11:AQ87)</f>
        <v>47301.604809000804</v>
      </c>
      <c r="AR89" s="937">
        <f>IF($AR$1="Y",BX89,AP89++AQ89)</f>
        <v>0</v>
      </c>
      <c r="AT89" s="75">
        <f t="shared" si="13"/>
        <v>82</v>
      </c>
      <c r="AU89" s="937">
        <f>SUM(AU11:AU87)</f>
        <v>244577</v>
      </c>
      <c r="AV89" s="937">
        <f>SUM(AV11:AV87)</f>
        <v>179424</v>
      </c>
      <c r="AW89" s="937">
        <f>+AU89++AV89</f>
        <v>424001</v>
      </c>
      <c r="AY89" s="75">
        <f t="shared" si="14"/>
        <v>82</v>
      </c>
      <c r="AZ89" s="937">
        <f>SUM(AZ11:AZ87)</f>
        <v>1343141.0006179244</v>
      </c>
      <c r="BA89" s="937">
        <f>SUM(BA11:BA87)</f>
        <v>1050826.3752168361</v>
      </c>
      <c r="BB89" s="937">
        <f>+AZ89++BA89</f>
        <v>2393967.3758347603</v>
      </c>
      <c r="BD89" s="75">
        <f t="shared" si="15"/>
        <v>82</v>
      </c>
      <c r="BE89" s="937">
        <f>SUM(BE11:BE87)</f>
        <v>324758</v>
      </c>
      <c r="BF89" s="937">
        <f>SUM(BF11:BF87)</f>
        <v>234217</v>
      </c>
      <c r="BG89" s="937">
        <f>+BE89++BF89</f>
        <v>558975</v>
      </c>
      <c r="BI89" s="75">
        <f t="shared" si="16"/>
        <v>82</v>
      </c>
      <c r="BJ89" s="937">
        <f>SUM(BJ11:BJ87)</f>
        <v>-238535.49882352934</v>
      </c>
      <c r="BK89" s="937">
        <f>SUM(BK11:BK87)</f>
        <v>-158735.12470588239</v>
      </c>
      <c r="BL89" s="937">
        <f>+BJ89++BK89</f>
        <v>-397270.62352941174</v>
      </c>
      <c r="BN89" s="75">
        <f t="shared" si="17"/>
        <v>82</v>
      </c>
      <c r="BO89" s="937">
        <f>SUM(BO11:BO87)</f>
        <v>-105093.05</v>
      </c>
      <c r="BP89" s="937">
        <f>SUM(BP11:BP87)</f>
        <v>6878.0166314736598</v>
      </c>
      <c r="BQ89" s="937">
        <f>+BO89++BP89</f>
        <v>-98215.033368526347</v>
      </c>
      <c r="BS89" s="75">
        <f t="shared" si="18"/>
        <v>82</v>
      </c>
      <c r="BT89" s="937">
        <f>SUM(BT11:BT87)</f>
        <v>15929.900000000023</v>
      </c>
      <c r="BU89" s="937">
        <f>SUM(BU11:BU87)</f>
        <v>2819.2099999999919</v>
      </c>
      <c r="BV89" s="937">
        <f>+BT89++BU89</f>
        <v>18749.110000000015</v>
      </c>
      <c r="BX89" s="1773">
        <f t="shared" si="19"/>
        <v>0</v>
      </c>
      <c r="BY89" s="857">
        <v>0</v>
      </c>
      <c r="BZ89" s="162">
        <v>0</v>
      </c>
    </row>
    <row r="90" spans="1:78" ht="13.5" thickTop="1">
      <c r="A90" s="473">
        <f t="shared" si="23"/>
        <v>80</v>
      </c>
      <c r="B90" s="40"/>
      <c r="C90" s="41"/>
      <c r="D90" s="41"/>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29"/>
      <c r="AC90" s="329"/>
      <c r="AD90" s="329"/>
      <c r="AH90" s="75"/>
      <c r="BX90" s="1773">
        <f t="shared" si="19"/>
        <v>0</v>
      </c>
      <c r="BY90" s="857">
        <v>0</v>
      </c>
      <c r="BZ90" s="162">
        <v>0</v>
      </c>
    </row>
    <row r="91" spans="1:78">
      <c r="A91" s="473">
        <f t="shared" si="23"/>
        <v>81</v>
      </c>
      <c r="B91" s="908" t="s">
        <v>1417</v>
      </c>
      <c r="C91" s="41"/>
      <c r="D91" s="41"/>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29"/>
      <c r="AC91" s="329"/>
      <c r="AD91" s="329"/>
      <c r="AH91" s="75"/>
      <c r="BX91" s="1773">
        <f t="shared" si="19"/>
        <v>0</v>
      </c>
      <c r="BY91" s="857">
        <v>0</v>
      </c>
      <c r="BZ91" s="162">
        <v>0</v>
      </c>
    </row>
    <row r="92" spans="1:78">
      <c r="A92" s="1169">
        <f t="shared" si="23"/>
        <v>82</v>
      </c>
      <c r="B92" s="908" t="s">
        <v>1525</v>
      </c>
      <c r="C92" s="12"/>
      <c r="D92" s="12"/>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29"/>
      <c r="AC92" s="329"/>
      <c r="AD92" s="329"/>
      <c r="AH92" s="75"/>
      <c r="BX92" s="1773">
        <f t="shared" si="19"/>
        <v>0</v>
      </c>
      <c r="BY92" s="857">
        <v>0</v>
      </c>
      <c r="BZ92" s="162">
        <v>0</v>
      </c>
    </row>
    <row r="93" spans="1:78">
      <c r="A93" s="1619">
        <f t="shared" si="23"/>
        <v>83</v>
      </c>
      <c r="B93" s="1622" t="s">
        <v>1524</v>
      </c>
      <c r="C93" s="12"/>
      <c r="D93" s="12"/>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29"/>
      <c r="AC93" s="329"/>
      <c r="AD93" s="329"/>
      <c r="AH93" s="75"/>
      <c r="BX93" s="1773">
        <f t="shared" si="19"/>
        <v>0</v>
      </c>
      <c r="BY93" s="857">
        <v>0</v>
      </c>
      <c r="BZ93" s="162">
        <v>0</v>
      </c>
    </row>
    <row r="94" spans="1:78">
      <c r="A94" s="1619">
        <f t="shared" si="23"/>
        <v>84</v>
      </c>
      <c r="B94" s="908" t="s">
        <v>1527</v>
      </c>
      <c r="C94" s="12"/>
      <c r="D94" s="12"/>
      <c r="E94" s="331"/>
      <c r="F94" s="331"/>
      <c r="G94" s="331"/>
      <c r="H94" s="331"/>
      <c r="I94" s="331"/>
      <c r="J94" s="331"/>
      <c r="K94" s="331"/>
      <c r="L94" s="331"/>
      <c r="M94" s="331"/>
      <c r="N94" s="331"/>
      <c r="O94" s="331"/>
      <c r="P94" s="331"/>
      <c r="Q94" s="331"/>
      <c r="R94" s="331"/>
      <c r="S94" s="331"/>
      <c r="T94" s="331"/>
      <c r="U94" s="331"/>
      <c r="V94" s="331"/>
      <c r="W94" s="331"/>
      <c r="X94" s="331"/>
      <c r="Y94" s="331"/>
      <c r="Z94" s="331"/>
      <c r="AA94" s="331"/>
      <c r="AB94" s="329"/>
      <c r="AC94" s="329"/>
      <c r="AD94" s="329"/>
      <c r="AH94" s="75"/>
      <c r="BX94" s="1773">
        <f t="shared" si="19"/>
        <v>0</v>
      </c>
      <c r="BY94" s="857">
        <v>0</v>
      </c>
      <c r="BZ94" s="162">
        <v>0</v>
      </c>
    </row>
    <row r="95" spans="1:78">
      <c r="A95" s="1619">
        <f t="shared" si="23"/>
        <v>85</v>
      </c>
      <c r="B95" s="1623" t="s">
        <v>1526</v>
      </c>
      <c r="C95" s="1171"/>
      <c r="D95" s="12"/>
      <c r="E95" s="331"/>
      <c r="F95" s="331"/>
      <c r="G95" s="332"/>
      <c r="H95" s="332"/>
      <c r="I95" s="332"/>
      <c r="J95" s="332"/>
      <c r="K95" s="332"/>
      <c r="L95" s="332"/>
      <c r="M95" s="332"/>
      <c r="N95" s="332"/>
      <c r="O95" s="332"/>
      <c r="P95" s="332"/>
      <c r="Q95" s="332"/>
      <c r="R95" s="332"/>
      <c r="S95" s="332"/>
      <c r="T95" s="332"/>
      <c r="U95" s="332"/>
      <c r="V95" s="332"/>
      <c r="W95" s="332"/>
      <c r="X95" s="332"/>
      <c r="Y95" s="332"/>
      <c r="Z95" s="332"/>
      <c r="AA95" s="332"/>
      <c r="AB95" s="329"/>
      <c r="AC95" s="329"/>
      <c r="AD95" s="329"/>
    </row>
    <row r="96" spans="1:78">
      <c r="A96" s="1617">
        <f t="shared" si="23"/>
        <v>86</v>
      </c>
      <c r="B96" s="908" t="s">
        <v>1515</v>
      </c>
      <c r="C96" s="12"/>
      <c r="D96" s="12"/>
      <c r="E96" s="331"/>
      <c r="F96" s="331"/>
      <c r="G96" s="331"/>
      <c r="H96" s="331"/>
      <c r="I96" s="331"/>
      <c r="J96" s="331"/>
      <c r="K96" s="331"/>
      <c r="L96" s="331"/>
      <c r="M96" s="331"/>
      <c r="N96" s="331"/>
      <c r="O96" s="331"/>
      <c r="P96" s="331"/>
      <c r="Q96" s="331"/>
      <c r="R96" s="331"/>
      <c r="S96" s="331"/>
      <c r="T96" s="331"/>
      <c r="U96" s="331"/>
      <c r="V96" s="331"/>
      <c r="W96" s="331"/>
      <c r="X96" s="331"/>
      <c r="Y96" s="331"/>
      <c r="Z96" s="331"/>
      <c r="AA96" s="331"/>
      <c r="AB96" s="329"/>
      <c r="AC96" s="329"/>
      <c r="AD96" s="329"/>
    </row>
    <row r="97" spans="1:73">
      <c r="A97" s="40"/>
      <c r="B97" s="40"/>
      <c r="C97" s="12"/>
      <c r="D97" s="12"/>
      <c r="E97" s="331"/>
      <c r="F97" s="331"/>
      <c r="G97" s="331"/>
      <c r="H97" s="331"/>
      <c r="I97" s="331"/>
      <c r="J97" s="331"/>
      <c r="K97" s="331"/>
      <c r="L97" s="331"/>
      <c r="M97" s="331"/>
      <c r="N97" s="331"/>
      <c r="O97" s="331"/>
      <c r="P97" s="331"/>
      <c r="Q97" s="331"/>
      <c r="R97" s="331"/>
      <c r="S97" s="331"/>
      <c r="T97" s="331"/>
      <c r="U97" s="331"/>
      <c r="V97" s="331"/>
      <c r="W97" s="331"/>
      <c r="X97" s="331"/>
      <c r="Y97" s="331"/>
      <c r="Z97" s="331"/>
      <c r="AA97" s="1257">
        <f>AA89-(23437014+14885929)</f>
        <v>-1218451.3051666096</v>
      </c>
      <c r="AB97" s="329"/>
      <c r="AC97" s="1257">
        <f>AC89-(3285630+2177735)</f>
        <v>-1218451.4651666014</v>
      </c>
      <c r="AD97" s="329"/>
      <c r="AE97" s="1256" t="s">
        <v>1178</v>
      </c>
      <c r="AF97" s="1255">
        <f>AF89-20151384.86</f>
        <v>0</v>
      </c>
      <c r="AG97" s="1255">
        <f>AG89-12708193.3</f>
        <v>0</v>
      </c>
      <c r="AK97" s="1255">
        <f>AK89-1684446.454361</f>
        <v>-3.5680022556334734E-3</v>
      </c>
      <c r="AL97" s="1255">
        <f>AL89-815004.207002999</f>
        <v>-4.7360002063214779E-3</v>
      </c>
      <c r="AP97" s="1255">
        <f>AP89-16405.7462070016</f>
        <v>0</v>
      </c>
      <c r="AQ97" s="1255">
        <f>AQ89-47301.6048090008</f>
        <v>0</v>
      </c>
      <c r="AU97" s="1255">
        <f>AU89-244577</f>
        <v>0</v>
      </c>
      <c r="AV97" s="1255">
        <f>AV89-179424</f>
        <v>0</v>
      </c>
      <c r="AZ97" s="1255">
        <f>AZ89-1343141</f>
        <v>6.1792437918484211E-4</v>
      </c>
      <c r="BA97" s="1255">
        <f>BA89-1050826.38</f>
        <v>-4.7831637784838676E-3</v>
      </c>
      <c r="BE97" s="1255">
        <f>BE89-324758</f>
        <v>0</v>
      </c>
      <c r="BF97" s="1255">
        <f>BF89-234217</f>
        <v>0</v>
      </c>
      <c r="BJ97" s="1255">
        <f>BJ89-(-238535.498823529)</f>
        <v>-3.4924596548080444E-10</v>
      </c>
      <c r="BK97" s="1255">
        <f>BK89-(-158735.124705882)</f>
        <v>-4.0745362639427185E-10</v>
      </c>
      <c r="BO97" s="1255">
        <f>BO89-(-105093.05)</f>
        <v>0</v>
      </c>
      <c r="BP97" s="1255">
        <f>BP89-6878.01663147366</f>
        <v>0</v>
      </c>
      <c r="BT97" s="1255">
        <f>BT89-15930</f>
        <v>-9.9999999976716936E-2</v>
      </c>
      <c r="BU97" s="1255">
        <f>BU89-2819</f>
        <v>0.20999999999185093</v>
      </c>
    </row>
    <row r="98" spans="1:73">
      <c r="B98" s="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329"/>
      <c r="AC98" s="329"/>
      <c r="AD98" s="329"/>
    </row>
    <row r="99" spans="1:73">
      <c r="B99" s="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329"/>
      <c r="AC99" s="329"/>
      <c r="AD99" s="1258"/>
    </row>
    <row r="100" spans="1:73">
      <c r="B100" s="7"/>
      <c r="E100" s="157"/>
      <c r="F100" s="157"/>
      <c r="G100" s="157"/>
      <c r="H100" s="157"/>
      <c r="I100" s="157"/>
      <c r="J100" s="157"/>
      <c r="K100" s="157"/>
      <c r="L100" s="157"/>
      <c r="M100" s="157"/>
      <c r="N100" s="157"/>
      <c r="O100" s="157"/>
      <c r="P100" s="157"/>
      <c r="Q100" s="157"/>
      <c r="R100" s="157"/>
      <c r="S100" s="157"/>
      <c r="T100" s="157"/>
      <c r="U100" s="157"/>
      <c r="V100" s="157"/>
      <c r="W100" s="157" t="s">
        <v>1621</v>
      </c>
      <c r="X100" s="157"/>
      <c r="Y100" s="157" t="s">
        <v>1624</v>
      </c>
      <c r="Z100" s="157"/>
      <c r="AA100" s="157"/>
      <c r="AB100" s="329"/>
      <c r="AC100" s="329"/>
      <c r="AD100" s="1258"/>
    </row>
    <row r="101" spans="1:73">
      <c r="B101" s="7"/>
      <c r="E101" s="157"/>
      <c r="F101" s="157"/>
      <c r="G101" s="157"/>
      <c r="H101" s="157"/>
      <c r="J101" s="157"/>
      <c r="K101" s="157" t="s">
        <v>1574</v>
      </c>
      <c r="L101" s="157"/>
      <c r="M101" s="157" t="str">
        <f>'Stmt N'!AQ1</f>
        <v>Y</v>
      </c>
      <c r="N101" s="157"/>
      <c r="O101" s="157"/>
      <c r="P101" s="157"/>
      <c r="Q101" s="157"/>
      <c r="R101" s="157"/>
      <c r="S101" s="157"/>
      <c r="T101" s="157"/>
      <c r="V101" s="157"/>
      <c r="W101" s="157" t="str">
        <f>'MCC Testimony Table'!F23</f>
        <v>Y</v>
      </c>
      <c r="X101" s="157"/>
      <c r="Y101" s="157" t="str">
        <f>'MCC Testimony Table'!F24</f>
        <v>Y</v>
      </c>
      <c r="Z101" s="157"/>
      <c r="AA101" s="157"/>
      <c r="AB101" s="329"/>
      <c r="AC101" s="329"/>
      <c r="AD101" s="329"/>
    </row>
    <row r="102" spans="1:73">
      <c r="B102" s="7"/>
      <c r="E102" s="157"/>
      <c r="F102" s="157"/>
      <c r="G102" s="157"/>
      <c r="H102" s="157"/>
      <c r="I102" s="157"/>
      <c r="J102" s="157"/>
      <c r="K102" s="157" t="s">
        <v>1584</v>
      </c>
      <c r="L102" s="157"/>
      <c r="M102" s="157">
        <f>IF($M$112="Y",M113,IF($L$109="Y",M109,M106))</f>
        <v>1146907.9162485835</v>
      </c>
      <c r="N102" s="157"/>
      <c r="O102" s="157"/>
      <c r="P102" s="157"/>
      <c r="Q102" s="157"/>
      <c r="R102" s="157"/>
      <c r="S102" s="157"/>
      <c r="T102" s="157"/>
      <c r="U102" s="157"/>
      <c r="V102" s="157"/>
      <c r="W102" s="157">
        <f>-532387/2</f>
        <v>-266193.5</v>
      </c>
      <c r="X102" s="157"/>
      <c r="Y102" s="157">
        <f>IF('MCC Testimony Table'!F32="Y",'Sched H-6'!Y106,'Sched H-6'!Y104)</f>
        <v>-258294.11089427161</v>
      </c>
      <c r="Z102" s="157"/>
      <c r="AA102" s="157"/>
      <c r="AB102" s="329"/>
      <c r="AC102" s="329"/>
      <c r="AD102" s="329"/>
    </row>
    <row r="103" spans="1:73">
      <c r="B103" s="7"/>
      <c r="E103" s="157"/>
      <c r="F103" s="157"/>
      <c r="G103" s="157"/>
      <c r="H103" s="157"/>
      <c r="I103" s="157"/>
      <c r="J103" s="157"/>
      <c r="K103" s="157" t="s">
        <v>1585</v>
      </c>
      <c r="L103" s="157"/>
      <c r="M103" s="157">
        <f>IF($M$112="Y",M114,IF($L$109="Y",M110,M107))</f>
        <v>687571.29579102574</v>
      </c>
      <c r="N103" s="157"/>
      <c r="O103" s="157"/>
      <c r="P103" s="157"/>
      <c r="Q103" s="157"/>
      <c r="R103" s="157"/>
      <c r="S103" s="157"/>
      <c r="T103" s="157"/>
      <c r="U103" s="157"/>
      <c r="V103" s="157"/>
      <c r="W103" s="157"/>
      <c r="X103" s="157"/>
      <c r="Y103" s="1769">
        <v>0.87109999999999999</v>
      </c>
      <c r="Z103" s="157" t="s">
        <v>1659</v>
      </c>
      <c r="AA103" s="157"/>
      <c r="AB103" s="329"/>
      <c r="AC103" s="329"/>
      <c r="AD103" s="329"/>
    </row>
    <row r="104" spans="1:73">
      <c r="B104" s="7"/>
      <c r="E104" s="157"/>
      <c r="F104" s="157"/>
      <c r="G104" s="157"/>
      <c r="H104" s="157"/>
      <c r="I104" s="157"/>
      <c r="J104" s="157"/>
      <c r="K104" s="157"/>
      <c r="L104" s="157"/>
      <c r="M104" s="157"/>
      <c r="N104" s="157"/>
      <c r="O104" s="157"/>
      <c r="P104" s="157"/>
      <c r="Q104" s="157"/>
      <c r="R104" s="157"/>
      <c r="S104" s="157"/>
      <c r="T104" s="157"/>
      <c r="U104" s="157"/>
      <c r="V104" s="157"/>
      <c r="W104" s="157"/>
      <c r="X104" s="157"/>
      <c r="Y104" s="157">
        <v>-225000</v>
      </c>
      <c r="Z104" s="157" t="s">
        <v>1658</v>
      </c>
      <c r="AA104" s="157"/>
      <c r="AB104" s="329"/>
      <c r="AC104" s="329"/>
      <c r="AD104" s="329"/>
    </row>
    <row r="105" spans="1:73">
      <c r="B105" s="7"/>
      <c r="E105" s="157"/>
      <c r="F105" s="157"/>
      <c r="G105" s="157"/>
      <c r="H105" s="157"/>
      <c r="I105" s="157"/>
      <c r="J105" s="157"/>
      <c r="K105" s="157"/>
      <c r="L105" s="157"/>
      <c r="M105" s="157"/>
      <c r="N105" s="157"/>
      <c r="O105" s="157"/>
      <c r="P105" s="157"/>
      <c r="Q105" s="157"/>
      <c r="R105" s="157"/>
      <c r="S105" s="157"/>
      <c r="T105" s="157"/>
      <c r="U105" s="157"/>
      <c r="V105" s="157"/>
      <c r="W105" s="157"/>
      <c r="X105" s="157"/>
      <c r="Y105" s="1768">
        <f>1/Y103</f>
        <v>1.1479738261967627</v>
      </c>
      <c r="Z105" s="157" t="s">
        <v>1660</v>
      </c>
      <c r="AA105" s="157"/>
      <c r="AB105" s="329"/>
      <c r="AC105" s="329"/>
      <c r="AD105" s="329"/>
    </row>
    <row r="106" spans="1:73">
      <c r="B106" s="7"/>
      <c r="E106" s="157"/>
      <c r="F106" s="157"/>
      <c r="G106" s="157"/>
      <c r="H106" s="157"/>
      <c r="I106" s="157"/>
      <c r="J106" s="157"/>
      <c r="K106" s="157" t="s">
        <v>1619</v>
      </c>
      <c r="L106" s="157"/>
      <c r="M106" s="157">
        <v>1123448.6499999999</v>
      </c>
      <c r="N106" s="157"/>
      <c r="O106" s="157"/>
      <c r="P106" s="157"/>
      <c r="Q106" s="157"/>
      <c r="R106" s="157"/>
      <c r="S106" s="157"/>
      <c r="T106" s="157"/>
      <c r="U106" s="157"/>
      <c r="V106" s="157"/>
      <c r="W106" s="157"/>
      <c r="X106" s="157"/>
      <c r="Y106" s="157">
        <f>Y105*Y104</f>
        <v>-258294.11089427161</v>
      </c>
      <c r="Z106" s="157" t="s">
        <v>1661</v>
      </c>
      <c r="AA106" s="157"/>
      <c r="AB106" s="329"/>
      <c r="AC106" s="329"/>
      <c r="AD106" s="329"/>
    </row>
    <row r="107" spans="1:73">
      <c r="B107" s="7"/>
      <c r="E107" s="157"/>
      <c r="F107" s="157"/>
      <c r="G107" s="157"/>
      <c r="H107" s="157"/>
      <c r="I107" s="157"/>
      <c r="J107" s="157"/>
      <c r="K107" s="157"/>
      <c r="L107" s="157"/>
      <c r="M107" s="157">
        <v>673507.47</v>
      </c>
      <c r="N107" s="157"/>
      <c r="O107" s="157"/>
      <c r="P107" s="157"/>
      <c r="Q107" s="157"/>
      <c r="R107" s="157"/>
      <c r="S107" s="157"/>
      <c r="T107" s="157"/>
      <c r="U107" s="157"/>
      <c r="V107" s="157"/>
      <c r="W107" s="157"/>
      <c r="X107" s="157"/>
      <c r="Y107" s="157"/>
      <c r="Z107" s="157"/>
      <c r="AA107" s="157"/>
      <c r="AB107" s="329"/>
      <c r="AC107" s="329"/>
      <c r="AD107" s="329"/>
    </row>
    <row r="108" spans="1:73">
      <c r="B108" s="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329"/>
      <c r="AC108" s="329"/>
      <c r="AD108" s="329"/>
    </row>
    <row r="109" spans="1:73">
      <c r="B109" s="7"/>
      <c r="K109" s="8" t="s">
        <v>1620</v>
      </c>
      <c r="L109" s="8" t="str">
        <f>'MCC Testimony Table'!F22</f>
        <v>Y</v>
      </c>
      <c r="M109" s="3">
        <v>850695.22124512494</v>
      </c>
    </row>
    <row r="110" spans="1:73">
      <c r="B110" s="7"/>
      <c r="M110" s="3">
        <v>673507.47</v>
      </c>
    </row>
    <row r="111" spans="1:73">
      <c r="B111" s="7"/>
    </row>
    <row r="112" spans="1:73" ht="13.5" thickBot="1">
      <c r="B112" s="7"/>
      <c r="K112" s="8" t="s">
        <v>1665</v>
      </c>
      <c r="M112" s="8" t="str">
        <f>'MCC Testimony Table'!F35</f>
        <v>Y</v>
      </c>
    </row>
    <row r="113" spans="13:13">
      <c r="M113" s="1771">
        <v>1146907.9162485835</v>
      </c>
    </row>
    <row r="114" spans="13:13" ht="13.5" thickBot="1">
      <c r="M114" s="1772">
        <v>687571.29579102574</v>
      </c>
    </row>
  </sheetData>
  <pageMargins left="0.7" right="0.7" top="0.75" bottom="0.75" header="0.3" footer="0.3"/>
  <pageSetup scale="65"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35"/>
  <sheetViews>
    <sheetView workbookViewId="0"/>
  </sheetViews>
  <sheetFormatPr defaultRowHeight="12.75"/>
  <cols>
    <col min="1" max="1" width="6.83203125" customWidth="1"/>
    <col min="2" max="2" width="46.1640625" customWidth="1"/>
    <col min="3" max="3" width="3.33203125" customWidth="1"/>
    <col min="4" max="4" width="22.33203125" customWidth="1"/>
    <col min="5" max="5" width="3.33203125" customWidth="1"/>
    <col min="6" max="6" width="27.1640625" bestFit="1" customWidth="1"/>
    <col min="7" max="7" width="12.33203125" customWidth="1"/>
    <col min="8" max="8" width="5.1640625" customWidth="1"/>
    <col min="9" max="9" width="21.33203125" bestFit="1" customWidth="1"/>
    <col min="10" max="11" width="21.83203125" bestFit="1" customWidth="1"/>
    <col min="14" max="14" width="13.33203125" customWidth="1"/>
  </cols>
  <sheetData>
    <row r="1" spans="1:15">
      <c r="A1" s="25" t="str">
        <f>Company</f>
        <v>BLACK HILLS NEBRASKA GAS, LLC</v>
      </c>
      <c r="B1" s="14"/>
      <c r="C1" s="14"/>
      <c r="D1" s="14"/>
      <c r="E1" s="14"/>
      <c r="F1" s="615" t="str">
        <f>Attach</f>
        <v>FINAL - BH January 15, 2021 Rev. Req. Model</v>
      </c>
    </row>
    <row r="2" spans="1:15">
      <c r="A2" s="70" t="s">
        <v>459</v>
      </c>
      <c r="B2" s="14"/>
      <c r="C2" s="14"/>
      <c r="D2" s="14"/>
      <c r="E2" s="14"/>
      <c r="F2" s="343" t="s">
        <v>795</v>
      </c>
    </row>
    <row r="3" spans="1:15">
      <c r="A3" s="70" t="str">
        <f>TYEnded</f>
        <v>FOR THE TEST YEAR ENDING DECEMBER 31, 2020</v>
      </c>
      <c r="B3" s="14"/>
      <c r="C3" s="14"/>
      <c r="D3" s="14"/>
      <c r="E3" s="14"/>
      <c r="F3" s="14"/>
    </row>
    <row r="4" spans="1:15" s="62" customFormat="1">
      <c r="A4" s="70"/>
      <c r="B4" s="14"/>
      <c r="C4" s="14"/>
      <c r="D4" s="14"/>
      <c r="E4" s="14"/>
      <c r="F4" s="14"/>
    </row>
    <row r="5" spans="1:15">
      <c r="A5" s="645" t="s">
        <v>59</v>
      </c>
      <c r="B5" s="645"/>
      <c r="C5" s="15"/>
      <c r="D5" s="15"/>
      <c r="E5" s="15"/>
      <c r="F5" s="724"/>
      <c r="H5" s="75">
        <v>1</v>
      </c>
      <c r="I5" s="75" t="str">
        <f>References!$C$17</f>
        <v>Exhibit No. MCC-2 NEG</v>
      </c>
      <c r="J5" s="75" t="str">
        <f>References!$D$17</f>
        <v>Exhibit No. MCC-2 NEGD</v>
      </c>
      <c r="K5" s="75" t="str">
        <f>References!$E$17</f>
        <v>FINAL - BH January 15, 2021 Rev. Req. Model</v>
      </c>
    </row>
    <row r="6" spans="1:15">
      <c r="A6" s="646" t="s">
        <v>195</v>
      </c>
      <c r="B6" s="646" t="s">
        <v>196</v>
      </c>
      <c r="C6" s="362"/>
      <c r="D6" s="362" t="s">
        <v>285</v>
      </c>
      <c r="E6" s="362"/>
      <c r="F6" s="362" t="s">
        <v>286</v>
      </c>
      <c r="H6" s="75">
        <f>1+H5</f>
        <v>2</v>
      </c>
      <c r="I6" s="75" t="str">
        <f>References!$C$18</f>
        <v>NEG</v>
      </c>
      <c r="J6" s="75" t="str">
        <f>References!$D$18</f>
        <v>NEGD</v>
      </c>
      <c r="K6" s="75" t="str">
        <f>References!$E$18</f>
        <v>Tot Co</v>
      </c>
    </row>
    <row r="7" spans="1:15">
      <c r="A7" s="647"/>
      <c r="B7" s="648"/>
      <c r="C7" s="14"/>
      <c r="D7" s="14"/>
      <c r="E7" s="14"/>
      <c r="F7" s="14"/>
      <c r="H7" s="75">
        <f t="shared" ref="H7:H30" si="0">1+H6</f>
        <v>3</v>
      </c>
      <c r="I7" s="75"/>
      <c r="J7" s="75"/>
      <c r="K7" s="75"/>
    </row>
    <row r="8" spans="1:15">
      <c r="A8" s="647">
        <v>1</v>
      </c>
      <c r="B8" s="219" t="s">
        <v>705</v>
      </c>
      <c r="C8" s="14"/>
      <c r="D8" s="14"/>
      <c r="E8" s="14"/>
      <c r="F8" s="498">
        <f>HLOOKUP(Attach,$I$5:$S$112,$H8,FALSE)</f>
        <v>641877.33999999985</v>
      </c>
      <c r="H8" s="75">
        <f t="shared" si="0"/>
        <v>4</v>
      </c>
      <c r="I8" s="1168">
        <v>381147.44</v>
      </c>
      <c r="J8" s="1168">
        <v>260729.89999999991</v>
      </c>
      <c r="K8" s="937">
        <f>+I8+J8</f>
        <v>641877.33999999985</v>
      </c>
      <c r="N8" s="835">
        <v>641877.33999999985</v>
      </c>
      <c r="O8" s="1606">
        <f>F8-N8</f>
        <v>0</v>
      </c>
    </row>
    <row r="9" spans="1:15" s="62" customFormat="1">
      <c r="A9" s="647">
        <f>A8+1</f>
        <v>2</v>
      </c>
      <c r="B9" s="219" t="s">
        <v>706</v>
      </c>
      <c r="C9" s="14"/>
      <c r="D9" s="14"/>
      <c r="E9" s="14"/>
      <c r="F9" s="835">
        <f>HLOOKUP(Attach,$I$5:$S$112,$H9,FALSE)</f>
        <v>771643.28</v>
      </c>
      <c r="H9" s="75">
        <f t="shared" si="0"/>
        <v>5</v>
      </c>
      <c r="I9" s="1168">
        <v>410125.35000000003</v>
      </c>
      <c r="J9" s="1168">
        <v>361517.92999999993</v>
      </c>
      <c r="K9" s="937">
        <f t="shared" ref="K9:K19" si="1">+I9+J9</f>
        <v>771643.28</v>
      </c>
      <c r="N9" s="835">
        <v>771643.28</v>
      </c>
      <c r="O9" s="1606">
        <f t="shared" ref="O9:O29" si="2">F9-N9</f>
        <v>0</v>
      </c>
    </row>
    <row r="10" spans="1:15">
      <c r="A10" s="647">
        <f t="shared" ref="A10:A29" si="3">A9+1</f>
        <v>3</v>
      </c>
      <c r="B10" s="219" t="s">
        <v>963</v>
      </c>
      <c r="C10" s="14"/>
      <c r="D10" s="14"/>
      <c r="E10" s="14"/>
      <c r="F10" s="686">
        <f>HLOOKUP(Attach,$I$5:$S$112,$H10,FALSE)</f>
        <v>519241.0400000001</v>
      </c>
      <c r="H10" s="75">
        <f t="shared" si="0"/>
        <v>6</v>
      </c>
      <c r="I10" s="1168">
        <v>442974.23000000004</v>
      </c>
      <c r="J10" s="1168">
        <v>76266.810000000056</v>
      </c>
      <c r="K10" s="937">
        <f t="shared" si="1"/>
        <v>519241.0400000001</v>
      </c>
      <c r="L10" s="927"/>
      <c r="N10" s="835">
        <v>519241.0400000001</v>
      </c>
      <c r="O10" s="1606">
        <f t="shared" si="2"/>
        <v>0</v>
      </c>
    </row>
    <row r="11" spans="1:15">
      <c r="A11" s="647">
        <f t="shared" si="3"/>
        <v>4</v>
      </c>
      <c r="B11" s="219" t="s">
        <v>678</v>
      </c>
      <c r="C11" s="14"/>
      <c r="D11" s="14"/>
      <c r="E11" s="14"/>
      <c r="F11" s="649">
        <f>F8+F10+F9</f>
        <v>1932761.66</v>
      </c>
      <c r="H11" s="75">
        <f t="shared" si="0"/>
        <v>7</v>
      </c>
      <c r="I11" s="937">
        <f>SUM(I8:I10)</f>
        <v>1234247.02</v>
      </c>
      <c r="J11" s="937">
        <f>SUM(J8:J10)</f>
        <v>698514.6399999999</v>
      </c>
      <c r="K11" s="937">
        <f t="shared" si="1"/>
        <v>1932761.66</v>
      </c>
      <c r="N11" s="835">
        <v>1932761.66</v>
      </c>
      <c r="O11" s="1606">
        <f t="shared" si="2"/>
        <v>0</v>
      </c>
    </row>
    <row r="12" spans="1:15">
      <c r="A12" s="647">
        <f t="shared" si="3"/>
        <v>5</v>
      </c>
      <c r="B12" s="219"/>
      <c r="C12" s="14"/>
      <c r="D12" s="650"/>
      <c r="E12" s="14"/>
      <c r="F12" s="649"/>
      <c r="H12" s="75">
        <f t="shared" si="0"/>
        <v>8</v>
      </c>
      <c r="I12" s="82"/>
      <c r="J12" s="760"/>
      <c r="K12" s="506"/>
      <c r="N12" s="835"/>
      <c r="O12" s="1606">
        <f t="shared" si="2"/>
        <v>0</v>
      </c>
    </row>
    <row r="13" spans="1:15">
      <c r="A13" s="647">
        <f t="shared" si="3"/>
        <v>6</v>
      </c>
      <c r="B13" s="219" t="s">
        <v>460</v>
      </c>
      <c r="C13" s="14"/>
      <c r="D13" s="650"/>
      <c r="E13" s="14"/>
      <c r="F13" s="836">
        <f>AVERAGE(F8:F10)</f>
        <v>644253.8866666666</v>
      </c>
      <c r="H13" s="75">
        <f t="shared" si="0"/>
        <v>9</v>
      </c>
      <c r="I13" s="836">
        <f>AVERAGE(I8:I10)</f>
        <v>411415.67333333334</v>
      </c>
      <c r="J13" s="836">
        <f>AVERAGE(J8:J10)</f>
        <v>232838.21333333329</v>
      </c>
      <c r="K13" s="506"/>
      <c r="N13" s="835">
        <v>644253.8866666666</v>
      </c>
      <c r="O13" s="1606">
        <f t="shared" si="2"/>
        <v>0</v>
      </c>
    </row>
    <row r="14" spans="1:15" s="62" customFormat="1">
      <c r="A14" s="647">
        <f t="shared" si="3"/>
        <v>7</v>
      </c>
      <c r="B14" s="219"/>
      <c r="C14" s="14"/>
      <c r="D14" s="650"/>
      <c r="E14" s="14"/>
      <c r="F14" s="651"/>
      <c r="H14" s="75">
        <f t="shared" si="0"/>
        <v>10</v>
      </c>
      <c r="I14" s="82"/>
      <c r="J14" s="760"/>
      <c r="K14" s="506"/>
      <c r="N14" s="835"/>
      <c r="O14" s="1606">
        <f t="shared" si="2"/>
        <v>0</v>
      </c>
    </row>
    <row r="15" spans="1:15" s="62" customFormat="1">
      <c r="A15" s="647">
        <f t="shared" si="3"/>
        <v>8</v>
      </c>
      <c r="B15" s="219" t="s">
        <v>1082</v>
      </c>
      <c r="C15" s="14"/>
      <c r="D15" s="650"/>
      <c r="E15" s="14"/>
      <c r="F15" s="498">
        <f>HLOOKUP(Attach,$I$5:$S$112,$H15,FALSE)</f>
        <v>141184429.3299998</v>
      </c>
      <c r="H15" s="75">
        <f t="shared" si="0"/>
        <v>11</v>
      </c>
      <c r="I15" s="1168">
        <v>80591816.079999804</v>
      </c>
      <c r="J15" s="1168">
        <v>60592613.25</v>
      </c>
      <c r="K15" s="937">
        <f t="shared" ref="K15:K17" si="4">+I15+J15</f>
        <v>141184429.3299998</v>
      </c>
      <c r="N15" s="835">
        <v>141184429.3299998</v>
      </c>
      <c r="O15" s="1606">
        <f t="shared" si="2"/>
        <v>0</v>
      </c>
    </row>
    <row r="16" spans="1:15" s="62" customFormat="1">
      <c r="A16" s="647">
        <f t="shared" si="3"/>
        <v>9</v>
      </c>
      <c r="B16" s="219" t="s">
        <v>1083</v>
      </c>
      <c r="C16" s="14"/>
      <c r="D16" s="650"/>
      <c r="E16" s="14"/>
      <c r="F16" s="835">
        <f>HLOOKUP(Attach,$I$5:$S$112,$H16,FALSE)</f>
        <v>151735026.0799998</v>
      </c>
      <c r="H16" s="75">
        <f t="shared" si="0"/>
        <v>12</v>
      </c>
      <c r="I16" s="1168">
        <v>90945872.319999799</v>
      </c>
      <c r="J16" s="1168">
        <v>60789153.759999998</v>
      </c>
      <c r="K16" s="937">
        <f t="shared" si="4"/>
        <v>151735026.0799998</v>
      </c>
      <c r="N16" s="835">
        <v>151735026.0799998</v>
      </c>
      <c r="O16" s="1606">
        <f t="shared" si="2"/>
        <v>0</v>
      </c>
    </row>
    <row r="17" spans="1:15" s="62" customFormat="1">
      <c r="A17" s="647">
        <f t="shared" si="3"/>
        <v>10</v>
      </c>
      <c r="B17" s="219" t="s">
        <v>1084</v>
      </c>
      <c r="C17" s="14"/>
      <c r="D17" s="650"/>
      <c r="E17" s="14"/>
      <c r="F17" s="856">
        <f>HLOOKUP(Attach,$I$5:$S$112,$H17,FALSE)</f>
        <v>146161048.69</v>
      </c>
      <c r="H17" s="75">
        <f t="shared" si="0"/>
        <v>13</v>
      </c>
      <c r="I17" s="1168">
        <v>88850403.120000005</v>
      </c>
      <c r="J17" s="1168">
        <v>57310645.57</v>
      </c>
      <c r="K17" s="937">
        <f t="shared" si="4"/>
        <v>146161048.69</v>
      </c>
      <c r="L17" s="927"/>
      <c r="N17" s="835">
        <v>146161048.69</v>
      </c>
      <c r="O17" s="1606">
        <f t="shared" si="2"/>
        <v>0</v>
      </c>
    </row>
    <row r="18" spans="1:15" s="62" customFormat="1">
      <c r="A18" s="647">
        <f t="shared" si="3"/>
        <v>11</v>
      </c>
      <c r="B18" s="219"/>
      <c r="C18" s="14"/>
      <c r="D18" s="650"/>
      <c r="E18" s="14"/>
      <c r="F18" s="857"/>
      <c r="H18" s="75"/>
      <c r="I18" s="82"/>
      <c r="J18" s="760"/>
      <c r="K18" s="506"/>
      <c r="N18" s="835"/>
      <c r="O18" s="1606">
        <f t="shared" si="2"/>
        <v>0</v>
      </c>
    </row>
    <row r="19" spans="1:15" s="62" customFormat="1">
      <c r="A19" s="647">
        <f t="shared" si="3"/>
        <v>12</v>
      </c>
      <c r="B19" s="219" t="s">
        <v>964</v>
      </c>
      <c r="C19" s="14"/>
      <c r="D19" s="650"/>
      <c r="E19" s="14"/>
      <c r="F19" s="837">
        <f>AVERAGE(F15:F17)</f>
        <v>146360168.03333321</v>
      </c>
      <c r="G19" s="590"/>
      <c r="H19" s="75">
        <f>1+H17</f>
        <v>14</v>
      </c>
      <c r="I19" s="937">
        <f>AVERAGE(I15:I17)</f>
        <v>86796030.506666541</v>
      </c>
      <c r="J19" s="937">
        <f>AVERAGE(J15:J17)</f>
        <v>59564137.526666664</v>
      </c>
      <c r="K19" s="937">
        <f t="shared" si="1"/>
        <v>146360168.03333321</v>
      </c>
      <c r="N19" s="835">
        <v>146360168.03333321</v>
      </c>
      <c r="O19" s="1606">
        <f t="shared" si="2"/>
        <v>0</v>
      </c>
    </row>
    <row r="20" spans="1:15" s="62" customFormat="1">
      <c r="A20" s="647">
        <f t="shared" si="3"/>
        <v>13</v>
      </c>
      <c r="B20" s="219"/>
      <c r="C20" s="14"/>
      <c r="D20" s="650"/>
      <c r="E20" s="14"/>
      <c r="F20" s="652"/>
      <c r="G20" s="590"/>
      <c r="H20" s="75">
        <f t="shared" si="0"/>
        <v>15</v>
      </c>
      <c r="I20" s="82"/>
      <c r="J20" s="760"/>
      <c r="K20" s="506"/>
      <c r="N20" s="835"/>
      <c r="O20" s="1606">
        <f t="shared" si="2"/>
        <v>0</v>
      </c>
    </row>
    <row r="21" spans="1:15" s="62" customFormat="1">
      <c r="A21" s="647">
        <f t="shared" si="3"/>
        <v>14</v>
      </c>
      <c r="B21" s="219" t="s">
        <v>828</v>
      </c>
      <c r="C21" s="14"/>
      <c r="D21" s="103" t="s">
        <v>1085</v>
      </c>
      <c r="E21" s="14"/>
      <c r="F21" s="464">
        <f>F13/F19</f>
        <v>4.4018389383096304E-3</v>
      </c>
      <c r="H21" s="75">
        <f t="shared" si="0"/>
        <v>16</v>
      </c>
      <c r="I21" s="464">
        <f>I13/I19</f>
        <v>4.7400286733358587E-3</v>
      </c>
      <c r="J21" s="464">
        <f>J13/J19</f>
        <v>3.9090335729127686E-3</v>
      </c>
      <c r="N21" s="464">
        <v>4.4018389383096304E-3</v>
      </c>
      <c r="O21" s="1606">
        <f t="shared" si="2"/>
        <v>0</v>
      </c>
    </row>
    <row r="22" spans="1:15" s="62" customFormat="1">
      <c r="A22" s="647">
        <f t="shared" si="3"/>
        <v>15</v>
      </c>
      <c r="B22" s="219"/>
      <c r="C22" s="14"/>
      <c r="D22" s="650"/>
      <c r="E22" s="14"/>
      <c r="F22" s="464"/>
      <c r="H22" s="75">
        <f t="shared" si="0"/>
        <v>17</v>
      </c>
      <c r="N22" s="835"/>
      <c r="O22" s="1606">
        <f t="shared" si="2"/>
        <v>0</v>
      </c>
    </row>
    <row r="23" spans="1:15" s="62" customFormat="1">
      <c r="A23" s="647">
        <f t="shared" si="3"/>
        <v>16</v>
      </c>
      <c r="B23" s="219" t="s">
        <v>514</v>
      </c>
      <c r="C23" s="14"/>
      <c r="D23" s="103" t="s">
        <v>1457</v>
      </c>
      <c r="E23" s="14"/>
      <c r="F23" s="837">
        <f ca="1">'Stmt M'!Q15</f>
        <v>151016144</v>
      </c>
      <c r="G23" s="837"/>
      <c r="H23" s="75">
        <f t="shared" si="0"/>
        <v>18</v>
      </c>
      <c r="N23" s="1607">
        <v>159623343</v>
      </c>
      <c r="O23" s="1606">
        <f t="shared" ca="1" si="2"/>
        <v>-8607199</v>
      </c>
    </row>
    <row r="24" spans="1:15" s="62" customFormat="1">
      <c r="A24" s="647">
        <f t="shared" si="3"/>
        <v>17</v>
      </c>
      <c r="B24" s="219"/>
      <c r="C24" s="14"/>
      <c r="D24" s="650"/>
      <c r="E24" s="14"/>
      <c r="F24" s="653"/>
      <c r="H24" s="75">
        <f t="shared" si="0"/>
        <v>19</v>
      </c>
      <c r="N24" s="835"/>
      <c r="O24" s="1606">
        <f t="shared" si="2"/>
        <v>0</v>
      </c>
    </row>
    <row r="25" spans="1:15" s="62" customFormat="1">
      <c r="A25" s="647">
        <f t="shared" si="3"/>
        <v>18</v>
      </c>
      <c r="B25" s="219" t="s">
        <v>512</v>
      </c>
      <c r="C25" s="14"/>
      <c r="D25" s="650"/>
      <c r="E25" s="14"/>
      <c r="F25" s="653">
        <f ca="1">F23*F21</f>
        <v>664748.74297257431</v>
      </c>
      <c r="H25" s="75">
        <f t="shared" si="0"/>
        <v>20</v>
      </c>
      <c r="N25" s="835">
        <v>702636.246680554</v>
      </c>
      <c r="O25" s="1606">
        <f t="shared" ca="1" si="2"/>
        <v>-37887.503707979689</v>
      </c>
    </row>
    <row r="26" spans="1:15">
      <c r="A26" s="647">
        <f t="shared" si="3"/>
        <v>19</v>
      </c>
      <c r="B26" s="219"/>
      <c r="C26" s="14"/>
      <c r="D26" s="650"/>
      <c r="E26" s="14"/>
      <c r="F26" s="649"/>
      <c r="H26" s="75">
        <f t="shared" si="0"/>
        <v>21</v>
      </c>
      <c r="I26" s="62"/>
      <c r="J26" s="62"/>
      <c r="K26" s="62"/>
      <c r="N26" s="835"/>
      <c r="O26" s="1606">
        <f t="shared" si="2"/>
        <v>0</v>
      </c>
    </row>
    <row r="27" spans="1:15">
      <c r="A27" s="647">
        <f t="shared" si="3"/>
        <v>20</v>
      </c>
      <c r="B27" s="654" t="s">
        <v>675</v>
      </c>
      <c r="C27" s="14"/>
      <c r="D27" s="103" t="s">
        <v>909</v>
      </c>
      <c r="E27" s="14"/>
      <c r="F27" s="838">
        <f>'Stmt H'!F132</f>
        <v>519241.04000000004</v>
      </c>
      <c r="H27" s="75">
        <f t="shared" si="0"/>
        <v>22</v>
      </c>
      <c r="I27" s="62"/>
      <c r="J27" s="62"/>
      <c r="K27" s="62"/>
      <c r="N27" s="835">
        <v>519241.04000000004</v>
      </c>
      <c r="O27" s="1606">
        <f t="shared" si="2"/>
        <v>0</v>
      </c>
    </row>
    <row r="28" spans="1:15">
      <c r="A28" s="647">
        <f t="shared" si="3"/>
        <v>21</v>
      </c>
      <c r="B28" s="654"/>
      <c r="C28" s="14"/>
      <c r="D28" s="650"/>
      <c r="E28" s="14"/>
      <c r="F28" s="506"/>
      <c r="H28" s="75">
        <f t="shared" si="0"/>
        <v>23</v>
      </c>
      <c r="I28" s="62"/>
      <c r="J28" s="62"/>
      <c r="K28" s="62"/>
      <c r="N28" s="835"/>
      <c r="O28" s="1606">
        <f t="shared" si="2"/>
        <v>0</v>
      </c>
    </row>
    <row r="29" spans="1:15" ht="13.5" thickBot="1">
      <c r="A29" s="647">
        <f t="shared" si="3"/>
        <v>22</v>
      </c>
      <c r="B29" s="654" t="s">
        <v>470</v>
      </c>
      <c r="C29" s="14"/>
      <c r="D29" s="650"/>
      <c r="E29" s="14"/>
      <c r="F29" s="655">
        <f ca="1">F25-F27</f>
        <v>145507.70297257428</v>
      </c>
      <c r="H29" s="75">
        <f t="shared" si="0"/>
        <v>24</v>
      </c>
      <c r="I29" s="62"/>
      <c r="J29" s="62"/>
      <c r="K29" s="62"/>
      <c r="N29" s="835">
        <v>183395.20668055397</v>
      </c>
      <c r="O29" s="1606">
        <f t="shared" ca="1" si="2"/>
        <v>-37887.503707979689</v>
      </c>
    </row>
    <row r="30" spans="1:15" ht="13.5" thickTop="1">
      <c r="B30" s="14"/>
      <c r="C30" s="14"/>
      <c r="D30" s="650"/>
      <c r="E30" s="14"/>
      <c r="F30" s="14"/>
      <c r="H30" s="75">
        <f t="shared" si="0"/>
        <v>25</v>
      </c>
      <c r="K30" s="62"/>
    </row>
    <row r="31" spans="1:15">
      <c r="D31" s="2"/>
      <c r="K31" s="62"/>
    </row>
    <row r="32" spans="1:15">
      <c r="D32" s="927"/>
      <c r="E32" s="62"/>
      <c r="F32" s="62"/>
      <c r="K32" s="62"/>
    </row>
    <row r="33" spans="4:11">
      <c r="D33" s="927"/>
      <c r="K33" s="62"/>
    </row>
    <row r="34" spans="4:11">
      <c r="K34" s="62"/>
    </row>
    <row r="35" spans="4:11">
      <c r="K35" s="62"/>
    </row>
  </sheetData>
  <pageMargins left="0.5" right="0.5" top="0.75" bottom="0.75" header="0.3" footer="0.3"/>
  <pageSetup scale="97" orientation="portrait"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T34"/>
  <sheetViews>
    <sheetView workbookViewId="0"/>
  </sheetViews>
  <sheetFormatPr defaultColWidth="8.83203125" defaultRowHeight="12.75"/>
  <cols>
    <col min="1" max="1" width="6.83203125" style="62" customWidth="1"/>
    <col min="2" max="2" width="9.6640625" style="62" bestFit="1" customWidth="1"/>
    <col min="3" max="3" width="3.33203125" style="62" customWidth="1"/>
    <col min="4" max="4" width="47.1640625" style="62" customWidth="1"/>
    <col min="5" max="5" width="3.33203125" style="62" customWidth="1"/>
    <col min="6" max="6" width="15.33203125" style="62" customWidth="1"/>
    <col min="7" max="7" width="3.6640625" style="62" customWidth="1"/>
    <col min="8" max="8" width="15.33203125" style="62" customWidth="1"/>
    <col min="9" max="9" width="3.33203125" style="62" customWidth="1"/>
    <col min="10" max="10" width="17.83203125" style="62" bestFit="1" customWidth="1"/>
    <col min="11" max="11" width="6.1640625" style="62" bestFit="1" customWidth="1"/>
    <col min="12" max="12" width="2.1640625" style="62" bestFit="1" customWidth="1"/>
    <col min="13" max="13" width="2.1640625" style="62" customWidth="1"/>
    <col min="14" max="16" width="7.83203125" style="62" customWidth="1"/>
    <col min="17" max="17" width="3.1640625" style="62" customWidth="1"/>
    <col min="18" max="20" width="18.83203125" style="62" bestFit="1" customWidth="1"/>
    <col min="21" max="16384" width="8.83203125" style="62"/>
  </cols>
  <sheetData>
    <row r="1" spans="1:20">
      <c r="A1" s="69" t="str">
        <f>Company</f>
        <v>BLACK HILLS NEBRASKA GAS, LLC</v>
      </c>
      <c r="J1" s="72" t="str">
        <f>Attach</f>
        <v>FINAL - BH January 15, 2021 Rev. Req. Model</v>
      </c>
    </row>
    <row r="2" spans="1:20">
      <c r="A2" s="543" t="s">
        <v>808</v>
      </c>
      <c r="J2" s="56" t="s">
        <v>796</v>
      </c>
    </row>
    <row r="3" spans="1:20">
      <c r="A3" s="70" t="str">
        <f>TYEnded</f>
        <v>FOR THE TEST YEAR ENDING DECEMBER 31, 2020</v>
      </c>
    </row>
    <row r="4" spans="1:20">
      <c r="A4" s="70"/>
    </row>
    <row r="5" spans="1:20">
      <c r="F5" s="5" t="s">
        <v>199</v>
      </c>
      <c r="H5" s="5" t="s">
        <v>200</v>
      </c>
      <c r="J5" s="5" t="s">
        <v>199</v>
      </c>
      <c r="L5" s="75">
        <v>1</v>
      </c>
      <c r="M5" s="75"/>
      <c r="N5" s="75" t="str">
        <f>References!$C$17</f>
        <v>Exhibit No. MCC-2 NEG</v>
      </c>
      <c r="O5" s="75" t="str">
        <f>References!$D$17</f>
        <v>Exhibit No. MCC-2 NEGD</v>
      </c>
      <c r="P5" s="75" t="str">
        <f>References!$E$17</f>
        <v>FINAL - BH January 15, 2021 Rev. Req. Model</v>
      </c>
      <c r="Q5" s="75"/>
      <c r="R5" s="75" t="str">
        <f>References!$C$17</f>
        <v>Exhibit No. MCC-2 NEG</v>
      </c>
      <c r="S5" s="75" t="str">
        <f>References!$D$17</f>
        <v>Exhibit No. MCC-2 NEGD</v>
      </c>
      <c r="T5" s="75" t="str">
        <f>References!$E$17</f>
        <v>FINAL - BH January 15, 2021 Rev. Req. Model</v>
      </c>
    </row>
    <row r="6" spans="1:20" ht="25.5">
      <c r="A6" s="389" t="s">
        <v>117</v>
      </c>
      <c r="B6" s="390" t="s">
        <v>517</v>
      </c>
      <c r="C6" s="390"/>
      <c r="D6" s="391" t="s">
        <v>196</v>
      </c>
      <c r="E6" s="365"/>
      <c r="F6" s="391" t="s">
        <v>405</v>
      </c>
      <c r="G6" s="389"/>
      <c r="H6" s="392" t="s">
        <v>817</v>
      </c>
      <c r="I6" s="389"/>
      <c r="J6" s="392" t="s">
        <v>817</v>
      </c>
      <c r="K6" s="162"/>
      <c r="L6" s="75">
        <v>2</v>
      </c>
      <c r="M6" s="75"/>
      <c r="N6" s="75" t="str">
        <f>References!$C$18</f>
        <v>NEG</v>
      </c>
      <c r="O6" s="75" t="str">
        <f>References!$D$18</f>
        <v>NEGD</v>
      </c>
      <c r="P6" s="75" t="str">
        <f>References!$E$18</f>
        <v>Tot Co</v>
      </c>
      <c r="Q6" s="75"/>
      <c r="R6" s="75" t="str">
        <f>References!$C$18</f>
        <v>NEG</v>
      </c>
      <c r="S6" s="75" t="str">
        <f>References!$D$18</f>
        <v>NEGD</v>
      </c>
      <c r="T6" s="75" t="str">
        <f>References!$E$18</f>
        <v>Tot Co</v>
      </c>
    </row>
    <row r="7" spans="1:20">
      <c r="F7" s="874"/>
      <c r="L7" s="75">
        <v>3</v>
      </c>
      <c r="M7" s="75"/>
      <c r="N7" s="75"/>
      <c r="O7" s="75"/>
      <c r="P7" s="75"/>
      <c r="Q7" s="75"/>
      <c r="R7" s="75"/>
      <c r="S7" s="75"/>
      <c r="T7" s="75"/>
    </row>
    <row r="8" spans="1:20" ht="13.5" thickBot="1">
      <c r="A8" s="2">
        <v>1</v>
      </c>
      <c r="B8" s="2">
        <v>903</v>
      </c>
      <c r="D8" s="8" t="s">
        <v>170</v>
      </c>
      <c r="E8" s="8"/>
      <c r="F8" s="874">
        <f>HLOOKUP(Attach,M5:P8,L8,FALSE)</f>
        <v>0</v>
      </c>
      <c r="G8" s="875"/>
      <c r="H8" s="874">
        <f>HLOOKUP(Attach,R5:T8,L8,FALSE)</f>
        <v>243386.85</v>
      </c>
      <c r="J8" s="878">
        <f>H8-F8</f>
        <v>243386.85</v>
      </c>
      <c r="K8" s="347"/>
      <c r="L8" s="75">
        <v>4</v>
      </c>
      <c r="M8" s="75"/>
      <c r="N8" s="938">
        <v>0</v>
      </c>
      <c r="O8" s="938">
        <v>0</v>
      </c>
      <c r="P8" s="937">
        <f>+N8+O8</f>
        <v>0</v>
      </c>
      <c r="Q8" s="75"/>
      <c r="R8" s="938">
        <v>243386.85</v>
      </c>
      <c r="S8" s="938">
        <v>0</v>
      </c>
      <c r="T8" s="937">
        <f>+R8+S8</f>
        <v>243386.85</v>
      </c>
    </row>
    <row r="9" spans="1:20" ht="13.5" thickTop="1">
      <c r="A9" s="2">
        <f>A8+1</f>
        <v>2</v>
      </c>
      <c r="F9" s="2"/>
      <c r="G9" s="2"/>
      <c r="H9" s="2"/>
      <c r="L9" s="75">
        <v>5</v>
      </c>
      <c r="M9" s="75"/>
    </row>
    <row r="10" spans="1:20">
      <c r="A10" s="2">
        <f t="shared" ref="A10" si="0">A9+1</f>
        <v>3</v>
      </c>
      <c r="B10" s="14" t="s">
        <v>1516</v>
      </c>
      <c r="C10" s="14"/>
      <c r="D10" s="23"/>
      <c r="E10" s="14"/>
      <c r="F10" s="650"/>
      <c r="G10" s="650"/>
      <c r="H10" s="650"/>
    </row>
    <row r="11" spans="1:20">
      <c r="A11" s="2"/>
      <c r="F11" s="2"/>
      <c r="G11" s="2"/>
      <c r="H11" s="2"/>
    </row>
    <row r="12" spans="1:20">
      <c r="A12" s="2"/>
      <c r="D12" s="8"/>
      <c r="F12" s="875"/>
      <c r="G12" s="875"/>
      <c r="H12" s="578"/>
      <c r="P12" s="8"/>
    </row>
    <row r="13" spans="1:20">
      <c r="A13" s="2"/>
      <c r="N13" s="8"/>
      <c r="O13" s="8"/>
    </row>
    <row r="14" spans="1:20">
      <c r="A14" s="2"/>
    </row>
    <row r="15" spans="1:20">
      <c r="A15" s="2"/>
      <c r="N15" s="8"/>
    </row>
    <row r="16" spans="1:20">
      <c r="A16" s="2"/>
      <c r="N16" s="8"/>
    </row>
    <row r="17" spans="1:15">
      <c r="A17" s="2"/>
    </row>
    <row r="18" spans="1:15">
      <c r="A18" s="2"/>
      <c r="N18" s="208"/>
      <c r="O18" s="208"/>
    </row>
    <row r="19" spans="1:15">
      <c r="A19" s="2"/>
      <c r="N19" s="8"/>
      <c r="O19" s="8"/>
    </row>
    <row r="20" spans="1:15">
      <c r="A20" s="2"/>
      <c r="N20" s="1237"/>
      <c r="O20" s="8"/>
    </row>
    <row r="21" spans="1:15">
      <c r="A21" s="2"/>
      <c r="O21" s="8"/>
    </row>
    <row r="22" spans="1:15">
      <c r="A22" s="2"/>
    </row>
    <row r="23" spans="1:15">
      <c r="A23" s="2"/>
    </row>
    <row r="24" spans="1:15">
      <c r="A24" s="2"/>
    </row>
    <row r="25" spans="1:15">
      <c r="A25" s="2"/>
    </row>
    <row r="26" spans="1:15">
      <c r="A26" s="2"/>
    </row>
    <row r="27" spans="1:15">
      <c r="A27" s="2"/>
    </row>
    <row r="28" spans="1:15">
      <c r="A28" s="2"/>
    </row>
    <row r="29" spans="1:15">
      <c r="A29" s="2"/>
    </row>
    <row r="30" spans="1:15">
      <c r="A30" s="2"/>
    </row>
    <row r="31" spans="1:15">
      <c r="A31" s="2"/>
    </row>
    <row r="32" spans="1:15">
      <c r="A32" s="2"/>
    </row>
    <row r="33" spans="1:1">
      <c r="A33" s="2"/>
    </row>
    <row r="34" spans="1:1">
      <c r="A34" s="2"/>
    </row>
  </sheetData>
  <pageMargins left="0.7" right="0.7" top="0.75" bottom="0.75" header="0.3" footer="0.3"/>
  <pageSetup orientation="landscape"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N36"/>
  <sheetViews>
    <sheetView workbookViewId="0"/>
  </sheetViews>
  <sheetFormatPr defaultColWidth="8.83203125" defaultRowHeight="12.75"/>
  <cols>
    <col min="1" max="1" width="6.83203125" style="62" customWidth="1"/>
    <col min="2" max="2" width="9.6640625" style="62" bestFit="1" customWidth="1"/>
    <col min="3" max="3" width="3.33203125" style="62" customWidth="1"/>
    <col min="4" max="4" width="33.33203125" style="62" customWidth="1"/>
    <col min="5" max="5" width="33.6640625" style="62" customWidth="1"/>
    <col min="6" max="6" width="23" style="62" customWidth="1"/>
    <col min="7" max="7" width="3.33203125" style="62" customWidth="1"/>
    <col min="8" max="8" width="17.83203125" style="62" bestFit="1" customWidth="1"/>
    <col min="9" max="9" width="6.1640625" style="62" bestFit="1" customWidth="1"/>
    <col min="10" max="10" width="2.1640625" style="62" bestFit="1" customWidth="1"/>
    <col min="11" max="11" width="2.1640625" style="62" customWidth="1"/>
    <col min="12" max="14" width="18.83203125" style="62" bestFit="1" customWidth="1"/>
    <col min="15" max="16384" width="8.83203125" style="62"/>
  </cols>
  <sheetData>
    <row r="1" spans="1:14">
      <c r="A1" s="69" t="str">
        <f>Company</f>
        <v>BLACK HILLS NEBRASKA GAS, LLC</v>
      </c>
      <c r="H1" s="72" t="str">
        <f>Attach</f>
        <v>FINAL - BH January 15, 2021 Rev. Req. Model</v>
      </c>
    </row>
    <row r="2" spans="1:14">
      <c r="A2" s="69" t="s">
        <v>1517</v>
      </c>
      <c r="H2" s="56" t="s">
        <v>797</v>
      </c>
    </row>
    <row r="3" spans="1:14">
      <c r="A3" s="1221" t="str">
        <f>References!B2</f>
        <v>FOR THE BASE YEAR ENDED DECEMBER 31, 2019</v>
      </c>
    </row>
    <row r="4" spans="1:14">
      <c r="A4" s="70"/>
    </row>
    <row r="5" spans="1:14">
      <c r="H5" s="5" t="s">
        <v>21</v>
      </c>
      <c r="J5" s="75">
        <v>1</v>
      </c>
      <c r="K5" s="75"/>
      <c r="L5" s="75" t="str">
        <f>References!$C$17</f>
        <v>Exhibit No. MCC-2 NEG</v>
      </c>
      <c r="M5" s="75" t="str">
        <f>References!$D$17</f>
        <v>Exhibit No. MCC-2 NEGD</v>
      </c>
      <c r="N5" s="75" t="str">
        <f>References!$E$17</f>
        <v>FINAL - BH January 15, 2021 Rev. Req. Model</v>
      </c>
    </row>
    <row r="6" spans="1:14" ht="25.5">
      <c r="A6" s="389" t="s">
        <v>117</v>
      </c>
      <c r="B6" s="390" t="s">
        <v>517</v>
      </c>
      <c r="C6" s="390"/>
      <c r="D6" s="1222" t="s">
        <v>196</v>
      </c>
      <c r="E6" s="1222" t="s">
        <v>1144</v>
      </c>
      <c r="F6" s="391" t="s">
        <v>285</v>
      </c>
      <c r="G6" s="389"/>
      <c r="H6" s="392" t="s">
        <v>286</v>
      </c>
      <c r="I6" s="162"/>
      <c r="J6" s="75">
        <v>2</v>
      </c>
      <c r="K6" s="75"/>
      <c r="L6" s="75" t="str">
        <f>References!$C$18</f>
        <v>NEG</v>
      </c>
      <c r="M6" s="75" t="str">
        <f>References!$D$18</f>
        <v>NEGD</v>
      </c>
      <c r="N6" s="75" t="str">
        <f>References!$E$18</f>
        <v>Tot Co</v>
      </c>
    </row>
    <row r="7" spans="1:14">
      <c r="J7" s="75">
        <v>3</v>
      </c>
      <c r="K7" s="75"/>
      <c r="L7" s="75"/>
      <c r="M7" s="75"/>
      <c r="N7" s="75"/>
    </row>
    <row r="8" spans="1:14">
      <c r="A8" s="2">
        <v>1</v>
      </c>
      <c r="B8" s="2"/>
      <c r="D8" s="8" t="s">
        <v>1518</v>
      </c>
      <c r="E8" s="8"/>
      <c r="F8" s="796" t="s">
        <v>1145</v>
      </c>
      <c r="H8" s="498">
        <f>HLOOKUP(Attach,L5:N8,J8,FALSE)</f>
        <v>850705.07</v>
      </c>
      <c r="I8" s="347"/>
      <c r="J8" s="75">
        <v>4</v>
      </c>
      <c r="K8" s="75"/>
      <c r="L8" s="938">
        <v>0</v>
      </c>
      <c r="M8" s="938">
        <v>850705.07</v>
      </c>
      <c r="N8" s="937">
        <f>+L8+M8</f>
        <v>850705.07</v>
      </c>
    </row>
    <row r="9" spans="1:14">
      <c r="A9" s="2">
        <f>A8+1</f>
        <v>2</v>
      </c>
      <c r="F9" s="2"/>
      <c r="J9" s="75">
        <v>5</v>
      </c>
      <c r="K9" s="75"/>
      <c r="L9" s="14"/>
      <c r="M9" s="14"/>
      <c r="N9" s="506"/>
    </row>
    <row r="10" spans="1:14">
      <c r="A10" s="2">
        <f t="shared" ref="A10:A14" si="0">A9+1</f>
        <v>3</v>
      </c>
      <c r="D10" s="23" t="s">
        <v>1142</v>
      </c>
      <c r="E10" s="23"/>
      <c r="F10" s="650" t="s">
        <v>1146</v>
      </c>
      <c r="G10" s="14"/>
      <c r="H10" s="1223">
        <v>4</v>
      </c>
      <c r="J10" s="75"/>
      <c r="K10" s="75"/>
      <c r="L10" s="14"/>
      <c r="M10" s="14"/>
      <c r="N10" s="506"/>
    </row>
    <row r="11" spans="1:14">
      <c r="A11" s="2">
        <f t="shared" si="0"/>
        <v>4</v>
      </c>
      <c r="F11" s="2"/>
      <c r="H11" s="1224"/>
      <c r="J11" s="75"/>
      <c r="K11" s="75"/>
      <c r="L11" s="14"/>
      <c r="M11" s="14"/>
      <c r="N11" s="506"/>
    </row>
    <row r="12" spans="1:14" ht="13.5" thickBot="1">
      <c r="A12" s="2">
        <f t="shared" si="0"/>
        <v>5</v>
      </c>
      <c r="B12" s="2">
        <v>926</v>
      </c>
      <c r="D12" s="8" t="s">
        <v>1143</v>
      </c>
      <c r="E12" s="8" t="s">
        <v>246</v>
      </c>
      <c r="F12" s="1206" t="s">
        <v>1147</v>
      </c>
      <c r="H12" s="878">
        <f>H8/H10</f>
        <v>212676.26749999999</v>
      </c>
    </row>
    <row r="13" spans="1:14" ht="13.5" thickTop="1">
      <c r="A13" s="2">
        <f t="shared" si="0"/>
        <v>6</v>
      </c>
      <c r="F13" s="2"/>
    </row>
    <row r="14" spans="1:14">
      <c r="A14" s="1207">
        <f t="shared" si="0"/>
        <v>7</v>
      </c>
      <c r="B14" s="23" t="s">
        <v>1148</v>
      </c>
      <c r="D14" s="8"/>
      <c r="E14" s="8"/>
      <c r="F14" s="796"/>
    </row>
    <row r="15" spans="1:14">
      <c r="A15" s="2"/>
    </row>
    <row r="16" spans="1:14">
      <c r="A16" s="2"/>
    </row>
    <row r="17" spans="1:1">
      <c r="A17" s="2"/>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row r="35" spans="1:1">
      <c r="A35" s="2"/>
    </row>
    <row r="36" spans="1:1">
      <c r="A36" s="2"/>
    </row>
  </sheetData>
  <pageMargins left="0.95" right="0.7" top="0.75" bottom="0.75" header="0.3" footer="0.3"/>
  <pageSetup orientation="landscape"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34"/>
  <sheetViews>
    <sheetView workbookViewId="0"/>
  </sheetViews>
  <sheetFormatPr defaultColWidth="8.83203125" defaultRowHeight="12.75"/>
  <cols>
    <col min="1" max="1" width="6.83203125" style="62" customWidth="1"/>
    <col min="2" max="2" width="9.6640625" style="62" bestFit="1" customWidth="1"/>
    <col min="3" max="3" width="3.33203125" style="62" customWidth="1"/>
    <col min="4" max="4" width="47.1640625" style="62" customWidth="1"/>
    <col min="5" max="5" width="3.33203125" style="62" customWidth="1"/>
    <col min="6" max="6" width="14.33203125" style="62" customWidth="1"/>
    <col min="7" max="7" width="3.33203125" style="62" customWidth="1"/>
    <col min="8" max="8" width="15.33203125" style="62" customWidth="1"/>
    <col min="9" max="9" width="3.33203125" style="62" customWidth="1"/>
    <col min="10" max="10" width="17.83203125" style="62" bestFit="1" customWidth="1"/>
    <col min="11" max="11" width="6.1640625" style="62" bestFit="1" customWidth="1"/>
    <col min="12" max="12" width="2.1640625" style="62" bestFit="1" customWidth="1"/>
    <col min="13" max="13" width="1.33203125" style="62" customWidth="1"/>
    <col min="14" max="16" width="18.83203125" style="62" bestFit="1" customWidth="1"/>
    <col min="17" max="16384" width="8.83203125" style="62"/>
  </cols>
  <sheetData>
    <row r="1" spans="1:16">
      <c r="A1" s="69" t="str">
        <f>Company</f>
        <v>BLACK HILLS NEBRASKA GAS, LLC</v>
      </c>
      <c r="J1" s="72" t="str">
        <f>Attach</f>
        <v>FINAL - BH January 15, 2021 Rev. Req. Model</v>
      </c>
    </row>
    <row r="2" spans="1:16">
      <c r="A2" s="543" t="s">
        <v>858</v>
      </c>
      <c r="J2" s="56" t="s">
        <v>822</v>
      </c>
    </row>
    <row r="3" spans="1:16">
      <c r="A3" s="70" t="str">
        <f>TYEnded</f>
        <v>FOR THE TEST YEAR ENDING DECEMBER 31, 2020</v>
      </c>
    </row>
    <row r="4" spans="1:16">
      <c r="A4" s="70"/>
      <c r="J4" s="5" t="s">
        <v>21</v>
      </c>
    </row>
    <row r="5" spans="1:16">
      <c r="F5" s="5" t="s">
        <v>199</v>
      </c>
      <c r="H5" s="5" t="s">
        <v>200</v>
      </c>
      <c r="I5" s="5"/>
      <c r="J5" s="5" t="s">
        <v>297</v>
      </c>
      <c r="L5" s="75">
        <v>1</v>
      </c>
      <c r="M5" s="75"/>
      <c r="N5" s="75" t="str">
        <f>References!$C$17</f>
        <v>Exhibit No. MCC-2 NEG</v>
      </c>
      <c r="O5" s="75" t="str">
        <f>References!$D$17</f>
        <v>Exhibit No. MCC-2 NEGD</v>
      </c>
      <c r="P5" s="75" t="str">
        <f>References!$E$17</f>
        <v>FINAL - BH January 15, 2021 Rev. Req. Model</v>
      </c>
    </row>
    <row r="6" spans="1:16" ht="38.25">
      <c r="A6" s="389" t="s">
        <v>117</v>
      </c>
      <c r="B6" s="390" t="s">
        <v>517</v>
      </c>
      <c r="C6" s="390"/>
      <c r="D6" s="391" t="s">
        <v>196</v>
      </c>
      <c r="E6" s="365"/>
      <c r="F6" s="876" t="s">
        <v>832</v>
      </c>
      <c r="G6" s="877"/>
      <c r="H6" s="876" t="s">
        <v>899</v>
      </c>
      <c r="I6" s="389"/>
      <c r="J6" s="392" t="s">
        <v>144</v>
      </c>
      <c r="K6" s="162"/>
      <c r="L6" s="75">
        <v>2</v>
      </c>
      <c r="M6" s="75"/>
      <c r="N6" s="75" t="str">
        <f>References!$C$18</f>
        <v>NEG</v>
      </c>
      <c r="O6" s="75" t="str">
        <f>References!$D$18</f>
        <v>NEGD</v>
      </c>
      <c r="P6" s="75" t="str">
        <f>References!$E$18</f>
        <v>Tot Co</v>
      </c>
    </row>
    <row r="7" spans="1:16">
      <c r="L7" s="75">
        <v>3</v>
      </c>
      <c r="M7" s="75"/>
      <c r="N7" s="75"/>
      <c r="O7" s="75"/>
      <c r="P7" s="75"/>
    </row>
    <row r="8" spans="1:16" ht="13.5" thickBot="1">
      <c r="A8" s="2">
        <v>1</v>
      </c>
      <c r="B8" s="2">
        <v>930.2</v>
      </c>
      <c r="D8" s="8" t="str">
        <f>'Stmt H'!D165</f>
        <v>Miscellaneous General Expense</v>
      </c>
      <c r="E8" s="8"/>
      <c r="F8" s="569">
        <v>0.5</v>
      </c>
      <c r="G8" s="8"/>
      <c r="H8" s="880">
        <f>HLOOKUP(Attach,N5:P8,L8,FALSE)</f>
        <v>285707</v>
      </c>
      <c r="J8" s="878">
        <f>H8*F8</f>
        <v>142853.5</v>
      </c>
      <c r="K8" s="347"/>
      <c r="L8" s="75">
        <v>4</v>
      </c>
      <c r="M8" s="75"/>
      <c r="N8" s="938">
        <f>185324+20547</f>
        <v>205871</v>
      </c>
      <c r="O8" s="938">
        <f>68217+11619</f>
        <v>79836</v>
      </c>
      <c r="P8" s="937">
        <f>+N8+O8</f>
        <v>285707</v>
      </c>
    </row>
    <row r="9" spans="1:16" ht="13.5" thickTop="1">
      <c r="A9" s="2">
        <f>A8+1</f>
        <v>2</v>
      </c>
      <c r="H9" s="2"/>
      <c r="L9" s="75">
        <v>5</v>
      </c>
      <c r="M9" s="75"/>
    </row>
    <row r="10" spans="1:16">
      <c r="A10" s="2">
        <f t="shared" ref="A10" si="0">A9+1</f>
        <v>3</v>
      </c>
      <c r="B10" s="8" t="s">
        <v>900</v>
      </c>
      <c r="D10" s="8"/>
      <c r="H10" s="2"/>
    </row>
    <row r="11" spans="1:16">
      <c r="A11" s="2"/>
      <c r="H11" s="2"/>
    </row>
    <row r="12" spans="1:16">
      <c r="A12" s="2"/>
      <c r="D12" s="8"/>
      <c r="H12" s="807"/>
    </row>
    <row r="13" spans="1:16">
      <c r="A13" s="2"/>
    </row>
    <row r="14" spans="1:16">
      <c r="A14" s="2"/>
    </row>
    <row r="15" spans="1:16">
      <c r="A15" s="2"/>
    </row>
    <row r="16" spans="1:16">
      <c r="A16" s="2"/>
    </row>
    <row r="17" spans="1:1">
      <c r="A17" s="2"/>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row r="29" spans="1:1">
      <c r="A29" s="2"/>
    </row>
    <row r="30" spans="1:1">
      <c r="A30" s="2"/>
    </row>
    <row r="31" spans="1:1">
      <c r="A31" s="2"/>
    </row>
    <row r="32" spans="1:1">
      <c r="A32" s="2"/>
    </row>
    <row r="33" spans="1:1">
      <c r="A33" s="2"/>
    </row>
    <row r="34" spans="1:1">
      <c r="A34" s="2"/>
    </row>
  </sheetData>
  <pageMargins left="0.95" right="0.7" top="0.75" bottom="0.75" header="0.3" footer="0.3"/>
  <pageSetup orientation="landscape"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P61"/>
  <sheetViews>
    <sheetView workbookViewId="0"/>
  </sheetViews>
  <sheetFormatPr defaultColWidth="10.6640625" defaultRowHeight="12.75"/>
  <cols>
    <col min="1" max="1" width="5.83203125" style="86" customWidth="1"/>
    <col min="2" max="2" width="37.33203125" style="85" customWidth="1"/>
    <col min="3" max="3" width="6.33203125" style="86" bestFit="1" customWidth="1"/>
    <col min="4" max="4" width="16" style="86" customWidth="1"/>
    <col min="5" max="5" width="3.33203125" style="86" customWidth="1"/>
    <col min="6" max="6" width="34.33203125" style="85" customWidth="1"/>
    <col min="7" max="7" width="2.6640625" style="85" customWidth="1"/>
    <col min="8" max="8" width="3.33203125" style="85" bestFit="1" customWidth="1"/>
    <col min="9" max="9" width="21" style="85" customWidth="1"/>
    <col min="10" max="10" width="20.1640625" style="130" bestFit="1" customWidth="1"/>
    <col min="11" max="11" width="21" style="130" bestFit="1" customWidth="1"/>
    <col min="12" max="12" width="12.83203125" style="85" customWidth="1"/>
    <col min="13" max="13" width="13.83203125" style="130" bestFit="1" customWidth="1"/>
    <col min="14" max="16384" width="10.6640625" style="85"/>
  </cols>
  <sheetData>
    <row r="1" spans="1:16" ht="15" customHeight="1">
      <c r="A1" s="69" t="str">
        <f>Company</f>
        <v>BLACK HILLS NEBRASKA GAS, LLC</v>
      </c>
      <c r="B1" s="69"/>
      <c r="C1" s="5"/>
      <c r="D1" s="69"/>
      <c r="E1" s="69"/>
      <c r="F1" s="72" t="str">
        <f>Attach</f>
        <v>FINAL - BH January 15, 2021 Rev. Req. Model</v>
      </c>
      <c r="G1" s="30"/>
      <c r="H1" s="68"/>
      <c r="I1" s="929"/>
    </row>
    <row r="2" spans="1:16" ht="15" customHeight="1">
      <c r="A2" s="69" t="s">
        <v>307</v>
      </c>
      <c r="B2" s="69"/>
      <c r="C2" s="5"/>
      <c r="D2" s="69"/>
      <c r="E2" s="69"/>
      <c r="F2" s="72" t="s">
        <v>361</v>
      </c>
      <c r="G2" s="30"/>
      <c r="H2" s="68"/>
    </row>
    <row r="3" spans="1:16" ht="15" customHeight="1">
      <c r="A3" s="1" t="str">
        <f>References!B2</f>
        <v>FOR THE BASE YEAR ENDED DECEMBER 31, 2019</v>
      </c>
      <c r="B3" s="68"/>
      <c r="C3" s="68"/>
      <c r="D3" s="68"/>
      <c r="E3" s="68"/>
      <c r="F3" s="73" t="s">
        <v>240</v>
      </c>
      <c r="G3" s="68"/>
      <c r="H3" s="70"/>
    </row>
    <row r="4" spans="1:16" ht="15" customHeight="1">
      <c r="A4" s="1375"/>
      <c r="B4" s="68"/>
      <c r="C4" s="68"/>
      <c r="D4" s="68"/>
      <c r="E4" s="68"/>
      <c r="F4" s="68"/>
      <c r="G4" s="68"/>
      <c r="H4" s="70"/>
    </row>
    <row r="5" spans="1:16">
      <c r="A5" s="68" t="s">
        <v>59</v>
      </c>
      <c r="B5" s="30"/>
      <c r="C5" s="68"/>
      <c r="D5" s="68" t="s">
        <v>241</v>
      </c>
      <c r="E5" s="68"/>
      <c r="F5" s="434"/>
      <c r="G5" s="18"/>
      <c r="H5" s="86">
        <v>1</v>
      </c>
      <c r="I5" s="86" t="str">
        <f>References!$C$17</f>
        <v>Exhibit No. MCC-2 NEG</v>
      </c>
      <c r="J5" s="86" t="str">
        <f>References!$D$17</f>
        <v>Exhibit No. MCC-2 NEGD</v>
      </c>
      <c r="K5" s="86" t="str">
        <f>References!$E$17</f>
        <v>FINAL - BH January 15, 2021 Rev. Req. Model</v>
      </c>
    </row>
    <row r="6" spans="1:16">
      <c r="A6" s="427" t="s">
        <v>195</v>
      </c>
      <c r="B6" s="427" t="s">
        <v>196</v>
      </c>
      <c r="C6" s="427" t="s">
        <v>764</v>
      </c>
      <c r="D6" s="427" t="s">
        <v>65</v>
      </c>
      <c r="E6" s="427"/>
      <c r="F6" s="435">
        <v>43830</v>
      </c>
      <c r="G6" s="102"/>
      <c r="H6" s="86">
        <f>H5+1</f>
        <v>2</v>
      </c>
      <c r="I6" s="86" t="s">
        <v>955</v>
      </c>
      <c r="J6" s="86" t="s">
        <v>958</v>
      </c>
      <c r="K6" s="86" t="s">
        <v>347</v>
      </c>
      <c r="L6" s="86"/>
    </row>
    <row r="7" spans="1:16">
      <c r="H7" s="86">
        <f t="shared" ref="H7:H53" si="0">H6+1</f>
        <v>3</v>
      </c>
    </row>
    <row r="8" spans="1:16">
      <c r="A8" s="485">
        <v>1</v>
      </c>
      <c r="B8" s="486" t="s">
        <v>197</v>
      </c>
      <c r="C8" s="485"/>
      <c r="D8" s="485"/>
      <c r="H8" s="86">
        <f t="shared" si="0"/>
        <v>4</v>
      </c>
    </row>
    <row r="9" spans="1:16">
      <c r="A9" s="485">
        <f>A8+1</f>
        <v>2</v>
      </c>
      <c r="B9" s="220" t="s">
        <v>147</v>
      </c>
      <c r="C9" s="485"/>
      <c r="D9" s="485">
        <v>101</v>
      </c>
      <c r="F9" s="1458">
        <f t="shared" ref="F9:F16" si="1">HLOOKUP(Attach,$I$5:$K$53,H9,FALSE)</f>
        <v>718134792.57999992</v>
      </c>
      <c r="G9" s="16"/>
      <c r="H9" s="86">
        <f t="shared" si="0"/>
        <v>5</v>
      </c>
      <c r="I9" s="1459">
        <v>393949797.57999992</v>
      </c>
      <c r="J9" s="1460">
        <v>324184995</v>
      </c>
      <c r="K9" s="1461">
        <f t="shared" ref="K9:K53" si="2">SUM(I9:J9)</f>
        <v>718134792.57999992</v>
      </c>
      <c r="L9" s="131"/>
      <c r="P9" s="1470"/>
    </row>
    <row r="10" spans="1:16">
      <c r="A10" s="485">
        <f t="shared" ref="A10:A57" si="3">A9+1</f>
        <v>3</v>
      </c>
      <c r="B10" s="220" t="s">
        <v>982</v>
      </c>
      <c r="C10" s="485"/>
      <c r="D10" s="485">
        <v>101</v>
      </c>
      <c r="F10" s="708">
        <f t="shared" si="1"/>
        <v>3261</v>
      </c>
      <c r="G10" s="16"/>
      <c r="H10" s="86">
        <f t="shared" si="0"/>
        <v>6</v>
      </c>
      <c r="I10" s="1459">
        <v>3261</v>
      </c>
      <c r="J10" s="1460">
        <v>0</v>
      </c>
      <c r="K10" s="1461">
        <f t="shared" si="2"/>
        <v>3261</v>
      </c>
      <c r="L10" s="131"/>
      <c r="P10" s="1470"/>
    </row>
    <row r="11" spans="1:16">
      <c r="A11" s="485">
        <f t="shared" si="3"/>
        <v>4</v>
      </c>
      <c r="B11" s="220" t="s">
        <v>983</v>
      </c>
      <c r="C11" s="485"/>
      <c r="D11" s="485">
        <v>101</v>
      </c>
      <c r="F11" s="708">
        <f t="shared" si="1"/>
        <v>933812</v>
      </c>
      <c r="G11" s="16"/>
      <c r="H11" s="86">
        <f t="shared" si="0"/>
        <v>7</v>
      </c>
      <c r="I11" s="1459">
        <v>565054</v>
      </c>
      <c r="J11" s="1460">
        <v>368758</v>
      </c>
      <c r="K11" s="1461">
        <f t="shared" si="2"/>
        <v>933812</v>
      </c>
      <c r="L11" s="131"/>
      <c r="P11" s="1470"/>
    </row>
    <row r="12" spans="1:16">
      <c r="A12" s="485">
        <f t="shared" si="3"/>
        <v>5</v>
      </c>
      <c r="B12" s="220" t="s">
        <v>152</v>
      </c>
      <c r="C12" s="485"/>
      <c r="D12" s="485">
        <v>106</v>
      </c>
      <c r="F12" s="708">
        <f t="shared" si="1"/>
        <v>92659688</v>
      </c>
      <c r="G12" s="17"/>
      <c r="H12" s="86">
        <f t="shared" si="0"/>
        <v>8</v>
      </c>
      <c r="I12" s="1459">
        <v>68727119</v>
      </c>
      <c r="J12" s="1460">
        <v>23932569</v>
      </c>
      <c r="K12" s="1461">
        <f t="shared" si="2"/>
        <v>92659688</v>
      </c>
      <c r="P12" s="1470"/>
    </row>
    <row r="13" spans="1:16">
      <c r="A13" s="485">
        <f t="shared" si="3"/>
        <v>6</v>
      </c>
      <c r="B13" s="220" t="s">
        <v>263</v>
      </c>
      <c r="C13" s="485"/>
      <c r="D13" s="485">
        <v>107</v>
      </c>
      <c r="F13" s="708">
        <f t="shared" si="1"/>
        <v>11800664</v>
      </c>
      <c r="G13" s="17"/>
      <c r="H13" s="86">
        <f t="shared" si="0"/>
        <v>9</v>
      </c>
      <c r="I13" s="1459">
        <v>6154644</v>
      </c>
      <c r="J13" s="1460">
        <v>5646020</v>
      </c>
      <c r="K13" s="1461">
        <f t="shared" si="2"/>
        <v>11800664</v>
      </c>
      <c r="P13" s="1470"/>
    </row>
    <row r="14" spans="1:16">
      <c r="A14" s="485">
        <f t="shared" si="3"/>
        <v>7</v>
      </c>
      <c r="B14" s="220" t="s">
        <v>592</v>
      </c>
      <c r="C14" s="1366">
        <v>-1</v>
      </c>
      <c r="D14" s="485">
        <v>114</v>
      </c>
      <c r="F14" s="708">
        <f t="shared" si="1"/>
        <v>42487092</v>
      </c>
      <c r="G14" s="17"/>
      <c r="H14" s="86">
        <f t="shared" si="0"/>
        <v>10</v>
      </c>
      <c r="I14" s="1459">
        <v>42487092</v>
      </c>
      <c r="J14" s="1460">
        <v>0</v>
      </c>
      <c r="K14" s="1461">
        <f t="shared" si="2"/>
        <v>42487092</v>
      </c>
      <c r="L14" s="929"/>
      <c r="P14" s="1470"/>
    </row>
    <row r="15" spans="1:16">
      <c r="A15" s="485">
        <f t="shared" si="3"/>
        <v>8</v>
      </c>
      <c r="B15" s="220" t="s">
        <v>593</v>
      </c>
      <c r="C15" s="485"/>
      <c r="D15" s="485">
        <v>117</v>
      </c>
      <c r="F15" s="708">
        <f t="shared" si="1"/>
        <v>0</v>
      </c>
      <c r="G15" s="17"/>
      <c r="H15" s="86">
        <f t="shared" si="0"/>
        <v>11</v>
      </c>
      <c r="I15" s="1459">
        <v>0</v>
      </c>
      <c r="J15" s="1460">
        <v>0</v>
      </c>
      <c r="K15" s="1461">
        <f t="shared" si="2"/>
        <v>0</v>
      </c>
      <c r="P15" s="1470"/>
    </row>
    <row r="16" spans="1:16">
      <c r="A16" s="485">
        <f t="shared" si="3"/>
        <v>9</v>
      </c>
      <c r="B16" s="220" t="s">
        <v>19</v>
      </c>
      <c r="C16" s="485"/>
      <c r="D16" s="485">
        <v>118</v>
      </c>
      <c r="F16" s="708">
        <f t="shared" si="1"/>
        <v>45535472</v>
      </c>
      <c r="G16" s="54"/>
      <c r="H16" s="86">
        <f t="shared" si="0"/>
        <v>12</v>
      </c>
      <c r="I16" s="1459">
        <v>29618808</v>
      </c>
      <c r="J16" s="1460">
        <v>15916664</v>
      </c>
      <c r="K16" s="1461">
        <f t="shared" si="2"/>
        <v>45535472</v>
      </c>
      <c r="P16" s="1470"/>
    </row>
    <row r="17" spans="1:16">
      <c r="A17" s="485">
        <f t="shared" si="3"/>
        <v>10</v>
      </c>
      <c r="B17" s="220"/>
      <c r="C17" s="485"/>
      <c r="D17" s="485"/>
      <c r="F17" s="353"/>
      <c r="G17" s="54"/>
      <c r="H17" s="86">
        <f t="shared" si="0"/>
        <v>13</v>
      </c>
      <c r="I17" s="693"/>
      <c r="J17" s="1462"/>
      <c r="K17" s="1461"/>
      <c r="P17" s="1470"/>
    </row>
    <row r="18" spans="1:16">
      <c r="A18" s="485">
        <f t="shared" si="3"/>
        <v>11</v>
      </c>
      <c r="B18" s="220" t="s">
        <v>80</v>
      </c>
      <c r="C18" s="485"/>
      <c r="D18" s="485"/>
      <c r="F18" s="1564">
        <f t="shared" ref="F18:F25" si="4">HLOOKUP(Attach,$I$5:$K$53,H18,FALSE)</f>
        <v>911554781.57999992</v>
      </c>
      <c r="G18" s="353"/>
      <c r="H18" s="86">
        <f t="shared" si="0"/>
        <v>14</v>
      </c>
      <c r="I18" s="1463">
        <f t="shared" ref="I18:J18" si="5">SUM(I9:I16)</f>
        <v>541505775.57999992</v>
      </c>
      <c r="J18" s="1463">
        <f t="shared" si="5"/>
        <v>370049006</v>
      </c>
      <c r="K18" s="1461">
        <f t="shared" si="2"/>
        <v>911554781.57999992</v>
      </c>
      <c r="P18" s="1470"/>
    </row>
    <row r="19" spans="1:16">
      <c r="A19" s="485">
        <f t="shared" si="3"/>
        <v>12</v>
      </c>
      <c r="B19" s="220" t="s">
        <v>153</v>
      </c>
      <c r="C19" s="485"/>
      <c r="D19" s="485">
        <v>108</v>
      </c>
      <c r="F19" s="688">
        <f t="shared" si="4"/>
        <v>-271000955.36999995</v>
      </c>
      <c r="G19" s="17"/>
      <c r="H19" s="86">
        <f t="shared" si="0"/>
        <v>15</v>
      </c>
      <c r="I19" s="1460">
        <v>-139528174.94999999</v>
      </c>
      <c r="J19" s="1460">
        <v>-131472780.41999997</v>
      </c>
      <c r="K19" s="1461">
        <f t="shared" si="2"/>
        <v>-271000955.36999995</v>
      </c>
      <c r="L19" s="131"/>
      <c r="P19" s="1470"/>
    </row>
    <row r="20" spans="1:16">
      <c r="A20" s="485">
        <f t="shared" si="3"/>
        <v>13</v>
      </c>
      <c r="B20" s="220" t="s">
        <v>1326</v>
      </c>
      <c r="C20" s="485"/>
      <c r="D20" s="485">
        <v>108</v>
      </c>
      <c r="F20" s="688">
        <f t="shared" si="4"/>
        <v>1183436.0279999999</v>
      </c>
      <c r="G20" s="17"/>
      <c r="H20" s="86">
        <f t="shared" si="0"/>
        <v>16</v>
      </c>
      <c r="I20" s="1460">
        <v>695492.71799999988</v>
      </c>
      <c r="J20" s="1460">
        <v>487943.31000000011</v>
      </c>
      <c r="K20" s="1461">
        <f t="shared" si="2"/>
        <v>1183436.0279999999</v>
      </c>
      <c r="L20" s="1401"/>
      <c r="P20" s="1470"/>
    </row>
    <row r="21" spans="1:16">
      <c r="A21" s="485">
        <f t="shared" si="3"/>
        <v>14</v>
      </c>
      <c r="B21" s="220" t="s">
        <v>594</v>
      </c>
      <c r="C21" s="485"/>
      <c r="D21" s="485">
        <v>108</v>
      </c>
      <c r="F21" s="688">
        <f t="shared" si="4"/>
        <v>-3263</v>
      </c>
      <c r="G21" s="17"/>
      <c r="H21" s="86">
        <f t="shared" si="0"/>
        <v>17</v>
      </c>
      <c r="I21" s="1459">
        <v>-3263</v>
      </c>
      <c r="J21" s="1460">
        <v>0</v>
      </c>
      <c r="K21" s="1461">
        <f t="shared" si="2"/>
        <v>-3263</v>
      </c>
      <c r="L21" s="131"/>
      <c r="P21" s="1470"/>
    </row>
    <row r="22" spans="1:16">
      <c r="A22" s="485">
        <f t="shared" si="3"/>
        <v>15</v>
      </c>
      <c r="B22" s="220" t="s">
        <v>984</v>
      </c>
      <c r="C22" s="485"/>
      <c r="D22" s="485">
        <v>108</v>
      </c>
      <c r="F22" s="688">
        <f t="shared" si="4"/>
        <v>-808284</v>
      </c>
      <c r="G22" s="17"/>
      <c r="H22" s="86">
        <f t="shared" si="0"/>
        <v>18</v>
      </c>
      <c r="I22" s="1459">
        <v>-511431</v>
      </c>
      <c r="J22" s="1460">
        <v>-296853</v>
      </c>
      <c r="K22" s="1461">
        <f t="shared" si="2"/>
        <v>-808284</v>
      </c>
      <c r="L22" s="131"/>
      <c r="P22" s="1470"/>
    </row>
    <row r="23" spans="1:16">
      <c r="A23" s="485">
        <f t="shared" si="3"/>
        <v>16</v>
      </c>
      <c r="B23" s="220" t="s">
        <v>985</v>
      </c>
      <c r="C23" s="485"/>
      <c r="D23" s="485">
        <v>111</v>
      </c>
      <c r="F23" s="688">
        <f t="shared" si="4"/>
        <v>-29245</v>
      </c>
      <c r="G23" s="17"/>
      <c r="H23" s="86">
        <f t="shared" si="0"/>
        <v>19</v>
      </c>
      <c r="I23" s="1459">
        <v>-29245</v>
      </c>
      <c r="J23" s="1460">
        <v>0</v>
      </c>
      <c r="K23" s="1461">
        <f t="shared" si="2"/>
        <v>-29245</v>
      </c>
      <c r="L23" s="131"/>
      <c r="P23" s="1470"/>
    </row>
    <row r="24" spans="1:16">
      <c r="A24" s="485">
        <f t="shared" si="3"/>
        <v>17</v>
      </c>
      <c r="B24" s="220" t="s">
        <v>986</v>
      </c>
      <c r="C24" s="485"/>
      <c r="D24" s="485">
        <v>115</v>
      </c>
      <c r="F24" s="688">
        <f t="shared" si="4"/>
        <v>0</v>
      </c>
      <c r="G24" s="17"/>
      <c r="H24" s="86">
        <f t="shared" si="0"/>
        <v>20</v>
      </c>
      <c r="I24" s="1459">
        <v>0</v>
      </c>
      <c r="J24" s="1460">
        <v>0</v>
      </c>
      <c r="K24" s="1461">
        <f t="shared" si="2"/>
        <v>0</v>
      </c>
      <c r="L24" s="131"/>
      <c r="P24" s="1470"/>
    </row>
    <row r="25" spans="1:16" ht="12.2" customHeight="1">
      <c r="A25" s="485">
        <f t="shared" si="3"/>
        <v>18</v>
      </c>
      <c r="B25" s="220" t="s">
        <v>20</v>
      </c>
      <c r="C25" s="485"/>
      <c r="D25" s="485">
        <v>119</v>
      </c>
      <c r="F25" s="687">
        <f t="shared" si="4"/>
        <v>-14863661</v>
      </c>
      <c r="G25" s="54"/>
      <c r="H25" s="86">
        <f t="shared" si="0"/>
        <v>21</v>
      </c>
      <c r="I25" s="1459">
        <v>-13512393</v>
      </c>
      <c r="J25" s="1460">
        <v>-1351268</v>
      </c>
      <c r="K25" s="1461">
        <f t="shared" si="2"/>
        <v>-14863661</v>
      </c>
      <c r="L25" s="132"/>
      <c r="P25" s="1470"/>
    </row>
    <row r="26" spans="1:16">
      <c r="A26" s="485">
        <f t="shared" si="3"/>
        <v>19</v>
      </c>
      <c r="B26" s="486" t="s">
        <v>248</v>
      </c>
      <c r="C26" s="485"/>
      <c r="D26" s="485"/>
      <c r="F26" s="454">
        <f>SUM(F18:F25)</f>
        <v>626032809.23800004</v>
      </c>
      <c r="G26" s="474"/>
      <c r="H26" s="86">
        <f t="shared" si="0"/>
        <v>22</v>
      </c>
      <c r="I26" s="1461">
        <f t="shared" ref="I26:J26" si="6">SUM(I18:I25)</f>
        <v>388616761.34799993</v>
      </c>
      <c r="J26" s="1461">
        <f t="shared" si="6"/>
        <v>237416047.89000005</v>
      </c>
      <c r="K26" s="1461">
        <f t="shared" si="2"/>
        <v>626032809.23799992</v>
      </c>
      <c r="P26" s="1470"/>
    </row>
    <row r="27" spans="1:16">
      <c r="A27" s="485">
        <f t="shared" si="3"/>
        <v>20</v>
      </c>
      <c r="B27" s="486"/>
      <c r="C27" s="485"/>
      <c r="D27" s="485"/>
      <c r="G27" s="17"/>
      <c r="H27" s="86">
        <f t="shared" si="0"/>
        <v>23</v>
      </c>
      <c r="I27" s="693"/>
      <c r="J27" s="1462"/>
      <c r="K27" s="1461"/>
      <c r="P27" s="1470"/>
    </row>
    <row r="28" spans="1:16">
      <c r="A28" s="485">
        <f t="shared" si="3"/>
        <v>21</v>
      </c>
      <c r="B28" s="220" t="s">
        <v>595</v>
      </c>
      <c r="C28" s="485"/>
      <c r="D28" s="485" t="s">
        <v>1287</v>
      </c>
      <c r="F28" s="1458">
        <f>HLOOKUP(Attach,$I$5:$K$53,H28,FALSE)</f>
        <v>540432.62999999966</v>
      </c>
      <c r="G28" s="54"/>
      <c r="H28" s="86">
        <f t="shared" si="0"/>
        <v>24</v>
      </c>
      <c r="I28" s="1459">
        <v>780456.62999999966</v>
      </c>
      <c r="J28" s="1459">
        <v>-240024</v>
      </c>
      <c r="K28" s="1461">
        <f t="shared" si="2"/>
        <v>540432.62999999966</v>
      </c>
      <c r="L28" s="21"/>
      <c r="P28" s="1470"/>
    </row>
    <row r="29" spans="1:16">
      <c r="A29" s="485">
        <f t="shared" si="3"/>
        <v>22</v>
      </c>
      <c r="B29" s="904"/>
      <c r="C29" s="485"/>
      <c r="D29" s="485"/>
      <c r="F29" s="361"/>
      <c r="G29" s="54"/>
      <c r="H29" s="86">
        <f t="shared" si="0"/>
        <v>25</v>
      </c>
      <c r="I29" s="1459"/>
      <c r="J29" s="1459"/>
      <c r="K29" s="1461"/>
      <c r="L29" s="21"/>
      <c r="P29" s="1470"/>
    </row>
    <row r="30" spans="1:16">
      <c r="A30" s="485">
        <f t="shared" si="3"/>
        <v>23</v>
      </c>
      <c r="B30" s="904"/>
      <c r="C30" s="485"/>
      <c r="D30" s="485"/>
      <c r="F30" s="361"/>
      <c r="G30" s="54"/>
      <c r="H30" s="86">
        <f t="shared" si="0"/>
        <v>26</v>
      </c>
      <c r="I30" s="1459"/>
      <c r="J30" s="1459"/>
      <c r="K30" s="1461"/>
      <c r="L30" s="21"/>
      <c r="P30" s="1470"/>
    </row>
    <row r="31" spans="1:16">
      <c r="A31" s="485">
        <f t="shared" si="3"/>
        <v>24</v>
      </c>
      <c r="B31" s="486" t="s">
        <v>54</v>
      </c>
      <c r="C31" s="485"/>
      <c r="D31" s="485"/>
      <c r="F31" s="54"/>
      <c r="G31" s="17"/>
      <c r="H31" s="86">
        <f t="shared" si="0"/>
        <v>27</v>
      </c>
      <c r="I31" s="1459"/>
      <c r="J31" s="1459"/>
      <c r="K31" s="1461"/>
      <c r="L31" s="21"/>
      <c r="P31" s="1470"/>
    </row>
    <row r="32" spans="1:16">
      <c r="A32" s="485">
        <f t="shared" si="3"/>
        <v>25</v>
      </c>
      <c r="B32" s="220" t="s">
        <v>55</v>
      </c>
      <c r="C32" s="485"/>
      <c r="D32" s="485">
        <v>131</v>
      </c>
      <c r="F32" s="1458">
        <f t="shared" ref="F32:F41" si="7">HLOOKUP(Attach,$I$5:$K$53,H32,FALSE)</f>
        <v>0</v>
      </c>
      <c r="G32" s="17"/>
      <c r="H32" s="86">
        <f t="shared" si="0"/>
        <v>28</v>
      </c>
      <c r="I32" s="1459">
        <v>0</v>
      </c>
      <c r="J32" s="1460">
        <v>0</v>
      </c>
      <c r="K32" s="1461">
        <f t="shared" si="2"/>
        <v>0</v>
      </c>
      <c r="L32" s="19"/>
      <c r="P32" s="1470"/>
    </row>
    <row r="33" spans="1:16">
      <c r="A33" s="485">
        <f t="shared" si="3"/>
        <v>26</v>
      </c>
      <c r="B33" s="220" t="s">
        <v>596</v>
      </c>
      <c r="C33" s="485"/>
      <c r="D33" s="485">
        <v>135</v>
      </c>
      <c r="F33" s="688">
        <f t="shared" si="7"/>
        <v>0</v>
      </c>
      <c r="G33" s="17"/>
      <c r="H33" s="86">
        <f t="shared" si="0"/>
        <v>29</v>
      </c>
      <c r="I33" s="1459">
        <v>0</v>
      </c>
      <c r="J33" s="1460">
        <v>0</v>
      </c>
      <c r="K33" s="1461">
        <f t="shared" si="2"/>
        <v>0</v>
      </c>
      <c r="L33" s="131"/>
      <c r="P33" s="1470"/>
    </row>
    <row r="34" spans="1:16">
      <c r="A34" s="485">
        <f t="shared" si="3"/>
        <v>27</v>
      </c>
      <c r="B34" s="220" t="s">
        <v>56</v>
      </c>
      <c r="C34" s="485"/>
      <c r="D34" s="485" t="s">
        <v>597</v>
      </c>
      <c r="F34" s="688">
        <f t="shared" si="7"/>
        <v>70482287</v>
      </c>
      <c r="G34" s="17"/>
      <c r="H34" s="86">
        <f t="shared" si="0"/>
        <v>30</v>
      </c>
      <c r="I34" s="1459">
        <v>52662024</v>
      </c>
      <c r="J34" s="1460">
        <v>17820263</v>
      </c>
      <c r="K34" s="1461">
        <f t="shared" si="2"/>
        <v>70482287</v>
      </c>
      <c r="L34" s="131"/>
      <c r="P34" s="1470"/>
    </row>
    <row r="35" spans="1:16">
      <c r="A35" s="485">
        <f t="shared" si="3"/>
        <v>28</v>
      </c>
      <c r="B35" s="220" t="s">
        <v>57</v>
      </c>
      <c r="C35" s="485"/>
      <c r="D35" s="485">
        <v>146</v>
      </c>
      <c r="F35" s="688">
        <f t="shared" si="7"/>
        <v>6594941</v>
      </c>
      <c r="G35" s="17"/>
      <c r="H35" s="86">
        <f t="shared" si="0"/>
        <v>31</v>
      </c>
      <c r="I35" s="1459">
        <v>2222571</v>
      </c>
      <c r="J35" s="1460">
        <v>4372370</v>
      </c>
      <c r="K35" s="1461">
        <f t="shared" si="2"/>
        <v>6594941</v>
      </c>
      <c r="P35" s="1470"/>
    </row>
    <row r="36" spans="1:16">
      <c r="A36" s="485">
        <f t="shared" si="3"/>
        <v>29</v>
      </c>
      <c r="B36" s="220" t="s">
        <v>389</v>
      </c>
      <c r="C36" s="485"/>
      <c r="D36" s="485" t="s">
        <v>598</v>
      </c>
      <c r="F36" s="688">
        <f t="shared" si="7"/>
        <v>0</v>
      </c>
      <c r="G36" s="17"/>
      <c r="H36" s="86">
        <f t="shared" si="0"/>
        <v>32</v>
      </c>
      <c r="I36" s="1459">
        <v>0</v>
      </c>
      <c r="J36" s="1460">
        <v>0</v>
      </c>
      <c r="K36" s="1461">
        <f t="shared" si="2"/>
        <v>0</v>
      </c>
      <c r="L36" s="19"/>
      <c r="P36" s="1470"/>
    </row>
    <row r="37" spans="1:16" ht="13.5" customHeight="1">
      <c r="A37" s="485">
        <f t="shared" si="3"/>
        <v>30</v>
      </c>
      <c r="B37" s="220" t="s">
        <v>58</v>
      </c>
      <c r="C37" s="485"/>
      <c r="D37" s="485" t="s">
        <v>987</v>
      </c>
      <c r="F37" s="688">
        <f t="shared" si="7"/>
        <v>5606796</v>
      </c>
      <c r="G37" s="17"/>
      <c r="H37" s="86">
        <f t="shared" si="0"/>
        <v>33</v>
      </c>
      <c r="I37" s="1459">
        <v>1977064</v>
      </c>
      <c r="J37" s="1460">
        <v>3629732</v>
      </c>
      <c r="K37" s="1461">
        <f t="shared" si="2"/>
        <v>5606796</v>
      </c>
      <c r="L37" s="19"/>
      <c r="P37" s="1470"/>
    </row>
    <row r="38" spans="1:16" ht="13.5" customHeight="1">
      <c r="A38" s="485">
        <f t="shared" si="3"/>
        <v>31</v>
      </c>
      <c r="B38" s="220" t="s">
        <v>593</v>
      </c>
      <c r="C38" s="485"/>
      <c r="D38" s="485">
        <v>164</v>
      </c>
      <c r="F38" s="688">
        <f t="shared" si="7"/>
        <v>7413038</v>
      </c>
      <c r="G38" s="17"/>
      <c r="H38" s="86">
        <f t="shared" si="0"/>
        <v>34</v>
      </c>
      <c r="I38" s="1459">
        <v>7413038</v>
      </c>
      <c r="J38" s="1460">
        <v>0</v>
      </c>
      <c r="K38" s="1461">
        <f t="shared" si="2"/>
        <v>7413038</v>
      </c>
      <c r="L38" s="19"/>
      <c r="P38" s="1470"/>
    </row>
    <row r="39" spans="1:16" ht="13.5" customHeight="1">
      <c r="A39" s="485">
        <f t="shared" si="3"/>
        <v>32</v>
      </c>
      <c r="B39" s="220" t="s">
        <v>322</v>
      </c>
      <c r="C39" s="485"/>
      <c r="D39" s="485">
        <v>165</v>
      </c>
      <c r="F39" s="688">
        <f t="shared" si="7"/>
        <v>522648</v>
      </c>
      <c r="G39" s="17"/>
      <c r="H39" s="86">
        <f t="shared" si="0"/>
        <v>35</v>
      </c>
      <c r="I39" s="1459">
        <v>442064</v>
      </c>
      <c r="J39" s="1460">
        <v>80584</v>
      </c>
      <c r="K39" s="1461">
        <f t="shared" si="2"/>
        <v>522648</v>
      </c>
      <c r="L39" s="19"/>
      <c r="P39" s="1470"/>
    </row>
    <row r="40" spans="1:16">
      <c r="A40" s="485">
        <f t="shared" si="3"/>
        <v>33</v>
      </c>
      <c r="B40" s="220" t="s">
        <v>390</v>
      </c>
      <c r="C40" s="485"/>
      <c r="D40" s="485" t="s">
        <v>599</v>
      </c>
      <c r="F40" s="688">
        <f t="shared" si="7"/>
        <v>2894</v>
      </c>
      <c r="G40" s="17"/>
      <c r="H40" s="86">
        <f t="shared" si="0"/>
        <v>36</v>
      </c>
      <c r="I40" s="1459">
        <v>2894</v>
      </c>
      <c r="J40" s="1460">
        <v>0</v>
      </c>
      <c r="K40" s="1461">
        <f t="shared" si="2"/>
        <v>2894</v>
      </c>
      <c r="L40" s="131"/>
      <c r="P40" s="1470"/>
    </row>
    <row r="41" spans="1:16">
      <c r="A41" s="485">
        <f t="shared" si="3"/>
        <v>34</v>
      </c>
      <c r="B41" s="204" t="s">
        <v>413</v>
      </c>
      <c r="C41" s="485"/>
      <c r="D41" s="485">
        <v>175</v>
      </c>
      <c r="F41" s="687">
        <f t="shared" si="7"/>
        <v>0</v>
      </c>
      <c r="G41" s="54"/>
      <c r="H41" s="86">
        <f t="shared" si="0"/>
        <v>37</v>
      </c>
      <c r="I41" s="1459">
        <v>0</v>
      </c>
      <c r="J41" s="1460">
        <v>0</v>
      </c>
      <c r="K41" s="1461">
        <f t="shared" si="2"/>
        <v>0</v>
      </c>
      <c r="P41" s="1470"/>
    </row>
    <row r="42" spans="1:16">
      <c r="A42" s="485">
        <f t="shared" si="3"/>
        <v>35</v>
      </c>
      <c r="B42" s="486" t="s">
        <v>4</v>
      </c>
      <c r="C42" s="485"/>
      <c r="D42" s="485"/>
      <c r="F42" s="361">
        <f>SUM(F32:F41)</f>
        <v>90622604</v>
      </c>
      <c r="G42" s="361"/>
      <c r="H42" s="86">
        <f t="shared" si="0"/>
        <v>38</v>
      </c>
      <c r="I42" s="1464">
        <f t="shared" ref="I42:J42" si="8">SUM(I32:I41)</f>
        <v>64719655</v>
      </c>
      <c r="J42" s="1464">
        <f t="shared" si="8"/>
        <v>25902949</v>
      </c>
      <c r="K42" s="1461">
        <f t="shared" si="2"/>
        <v>90622604</v>
      </c>
      <c r="P42" s="1470"/>
    </row>
    <row r="43" spans="1:16">
      <c r="A43" s="485">
        <f t="shared" si="3"/>
        <v>36</v>
      </c>
      <c r="B43" s="486"/>
      <c r="C43" s="485"/>
      <c r="D43" s="485"/>
      <c r="F43" s="361"/>
      <c r="G43" s="54"/>
      <c r="H43" s="86">
        <f t="shared" si="0"/>
        <v>39</v>
      </c>
      <c r="I43" s="693"/>
      <c r="J43" s="1462"/>
      <c r="K43" s="1461"/>
      <c r="P43" s="1470"/>
    </row>
    <row r="44" spans="1:16">
      <c r="A44" s="485">
        <f t="shared" si="3"/>
        <v>37</v>
      </c>
      <c r="B44" s="486" t="s">
        <v>5</v>
      </c>
      <c r="C44" s="485"/>
      <c r="D44" s="485"/>
      <c r="F44" s="361"/>
      <c r="G44" s="54"/>
      <c r="H44" s="86">
        <f t="shared" si="0"/>
        <v>40</v>
      </c>
      <c r="I44" s="1459"/>
      <c r="J44" s="1460"/>
      <c r="K44" s="1461"/>
      <c r="P44" s="1470"/>
    </row>
    <row r="45" spans="1:16">
      <c r="A45" s="485">
        <f t="shared" si="3"/>
        <v>38</v>
      </c>
      <c r="B45" s="220" t="s">
        <v>6</v>
      </c>
      <c r="C45" s="485"/>
      <c r="D45" s="485">
        <v>181</v>
      </c>
      <c r="F45" s="1458">
        <f t="shared" ref="F45:F50" si="9">HLOOKUP(Attach,$I$5:$K$53,H45,FALSE)</f>
        <v>0</v>
      </c>
      <c r="G45" s="17"/>
      <c r="H45" s="86">
        <f t="shared" si="0"/>
        <v>41</v>
      </c>
      <c r="I45" s="1459">
        <v>0</v>
      </c>
      <c r="J45" s="1460">
        <v>0</v>
      </c>
      <c r="K45" s="1461">
        <f t="shared" si="2"/>
        <v>0</v>
      </c>
      <c r="L45" s="19"/>
      <c r="P45" s="1470"/>
    </row>
    <row r="46" spans="1:16">
      <c r="A46" s="485">
        <f t="shared" si="3"/>
        <v>39</v>
      </c>
      <c r="B46" s="220" t="s">
        <v>314</v>
      </c>
      <c r="C46" s="485"/>
      <c r="D46" s="485">
        <v>182</v>
      </c>
      <c r="F46" s="688">
        <f t="shared" si="9"/>
        <v>28079156</v>
      </c>
      <c r="G46" s="17"/>
      <c r="H46" s="86">
        <f t="shared" si="0"/>
        <v>42</v>
      </c>
      <c r="I46" s="1459">
        <v>17481483</v>
      </c>
      <c r="J46" s="1460">
        <v>10597673</v>
      </c>
      <c r="K46" s="1461">
        <f t="shared" si="2"/>
        <v>28079156</v>
      </c>
      <c r="L46" s="19"/>
      <c r="P46" s="1470"/>
    </row>
    <row r="47" spans="1:16">
      <c r="A47" s="485">
        <f t="shared" si="3"/>
        <v>40</v>
      </c>
      <c r="B47" s="220" t="s">
        <v>7</v>
      </c>
      <c r="C47" s="485"/>
      <c r="D47" s="485">
        <v>183</v>
      </c>
      <c r="F47" s="688">
        <f t="shared" si="9"/>
        <v>107633</v>
      </c>
      <c r="G47" s="17"/>
      <c r="H47" s="86">
        <f t="shared" si="0"/>
        <v>43</v>
      </c>
      <c r="I47" s="1459">
        <v>107633</v>
      </c>
      <c r="J47" s="1460">
        <v>0</v>
      </c>
      <c r="K47" s="1461">
        <f t="shared" si="2"/>
        <v>107633</v>
      </c>
      <c r="L47" s="19"/>
      <c r="P47" s="1470"/>
    </row>
    <row r="48" spans="1:16">
      <c r="A48" s="485">
        <f t="shared" si="3"/>
        <v>41</v>
      </c>
      <c r="B48" s="220" t="s">
        <v>220</v>
      </c>
      <c r="C48" s="485"/>
      <c r="D48" s="485" t="s">
        <v>600</v>
      </c>
      <c r="F48" s="688">
        <f t="shared" si="9"/>
        <v>1463618</v>
      </c>
      <c r="G48" s="17"/>
      <c r="H48" s="86">
        <f t="shared" si="0"/>
        <v>44</v>
      </c>
      <c r="I48" s="1459">
        <v>532280</v>
      </c>
      <c r="J48" s="1460">
        <v>931338</v>
      </c>
      <c r="K48" s="1461">
        <f t="shared" si="2"/>
        <v>1463618</v>
      </c>
      <c r="P48" s="1470"/>
    </row>
    <row r="49" spans="1:16">
      <c r="A49" s="485">
        <f t="shared" si="3"/>
        <v>42</v>
      </c>
      <c r="B49" s="220" t="s">
        <v>60</v>
      </c>
      <c r="C49" s="485"/>
      <c r="D49" s="485">
        <v>190</v>
      </c>
      <c r="F49" s="688">
        <f t="shared" si="9"/>
        <v>60194005</v>
      </c>
      <c r="G49" s="17"/>
      <c r="H49" s="86">
        <f t="shared" si="0"/>
        <v>45</v>
      </c>
      <c r="I49" s="1459">
        <v>13647060</v>
      </c>
      <c r="J49" s="1460">
        <v>46546945</v>
      </c>
      <c r="K49" s="1461">
        <f t="shared" si="2"/>
        <v>60194005</v>
      </c>
      <c r="L49" s="929"/>
      <c r="P49" s="1470"/>
    </row>
    <row r="50" spans="1:16">
      <c r="A50" s="485">
        <f t="shared" si="3"/>
        <v>43</v>
      </c>
      <c r="B50" s="220" t="s">
        <v>148</v>
      </c>
      <c r="C50" s="485"/>
      <c r="D50" s="485">
        <v>191</v>
      </c>
      <c r="F50" s="687">
        <f t="shared" si="9"/>
        <v>303221</v>
      </c>
      <c r="G50" s="17"/>
      <c r="H50" s="86">
        <f t="shared" si="0"/>
        <v>46</v>
      </c>
      <c r="I50" s="1459">
        <v>709</v>
      </c>
      <c r="J50" s="1460">
        <v>302512</v>
      </c>
      <c r="K50" s="1461">
        <f t="shared" si="2"/>
        <v>303221</v>
      </c>
      <c r="P50" s="1470"/>
    </row>
    <row r="51" spans="1:16">
      <c r="A51" s="485">
        <f t="shared" si="3"/>
        <v>44</v>
      </c>
      <c r="B51" s="486" t="s">
        <v>44</v>
      </c>
      <c r="C51" s="485"/>
      <c r="D51" s="485"/>
      <c r="F51" s="361">
        <f>SUM(F45:F50)</f>
        <v>90147633</v>
      </c>
      <c r="G51" s="361"/>
      <c r="H51" s="86">
        <f t="shared" si="0"/>
        <v>47</v>
      </c>
      <c r="I51" s="1464">
        <f>SUM(I45:I50)</f>
        <v>31769165</v>
      </c>
      <c r="J51" s="1464">
        <f>SUM(J45:J50)</f>
        <v>58378468</v>
      </c>
      <c r="K51" s="1461">
        <f t="shared" si="2"/>
        <v>90147633</v>
      </c>
      <c r="L51" s="19"/>
      <c r="P51" s="1470"/>
    </row>
    <row r="52" spans="1:16">
      <c r="A52" s="485">
        <f t="shared" si="3"/>
        <v>45</v>
      </c>
      <c r="B52" s="486"/>
      <c r="C52" s="485"/>
      <c r="D52" s="485"/>
      <c r="F52" s="54"/>
      <c r="G52" s="54"/>
      <c r="H52" s="86">
        <f t="shared" si="0"/>
        <v>48</v>
      </c>
      <c r="I52" s="693"/>
      <c r="J52" s="693"/>
      <c r="K52" s="1461"/>
      <c r="M52" s="85"/>
      <c r="P52" s="1470"/>
    </row>
    <row r="53" spans="1:16" ht="13.5" thickBot="1">
      <c r="A53" s="485">
        <f t="shared" si="3"/>
        <v>46</v>
      </c>
      <c r="B53" s="486" t="s">
        <v>45</v>
      </c>
      <c r="C53" s="485"/>
      <c r="D53" s="485"/>
      <c r="F53" s="134">
        <f>ROUND(F51+F42+F26+F28,0)</f>
        <v>807343479</v>
      </c>
      <c r="G53" s="134"/>
      <c r="H53" s="86">
        <f t="shared" si="0"/>
        <v>49</v>
      </c>
      <c r="I53" s="1465">
        <f>ROUND(I51+I42+I26+I28+I29+I30,0)</f>
        <v>485886038</v>
      </c>
      <c r="J53" s="1465">
        <f>ROUND(J51+J42+J26+J28+J29+J30,0)</f>
        <v>321457441</v>
      </c>
      <c r="K53" s="1461">
        <f t="shared" si="2"/>
        <v>807343479</v>
      </c>
      <c r="M53" s="85"/>
      <c r="P53" s="1470"/>
    </row>
    <row r="54" spans="1:16" ht="13.5" thickTop="1">
      <c r="A54" s="485">
        <f t="shared" si="3"/>
        <v>47</v>
      </c>
      <c r="F54" s="136"/>
      <c r="G54" s="54"/>
      <c r="H54" s="54"/>
      <c r="J54" s="85"/>
      <c r="K54" s="85"/>
      <c r="M54" s="85"/>
    </row>
    <row r="55" spans="1:16">
      <c r="A55" s="485">
        <f t="shared" si="3"/>
        <v>48</v>
      </c>
      <c r="B55" s="85" t="s">
        <v>1266</v>
      </c>
      <c r="G55" s="54"/>
      <c r="H55" s="137"/>
      <c r="J55" s="85"/>
      <c r="K55" s="85"/>
      <c r="M55" s="85"/>
    </row>
    <row r="56" spans="1:16">
      <c r="A56" s="485">
        <f t="shared" si="3"/>
        <v>49</v>
      </c>
      <c r="B56" s="85" t="s">
        <v>980</v>
      </c>
      <c r="G56" s="54"/>
      <c r="H56" s="137"/>
      <c r="J56" s="85"/>
      <c r="K56" s="85"/>
      <c r="M56" s="85"/>
    </row>
    <row r="57" spans="1:16">
      <c r="A57" s="485">
        <f t="shared" si="3"/>
        <v>50</v>
      </c>
      <c r="B57" s="85" t="s">
        <v>981</v>
      </c>
      <c r="G57" s="54"/>
      <c r="H57" s="137"/>
      <c r="J57" s="85"/>
      <c r="K57" s="85"/>
      <c r="M57" s="85"/>
    </row>
    <row r="58" spans="1:16">
      <c r="J58" s="85"/>
      <c r="K58" s="85"/>
      <c r="M58" s="85"/>
    </row>
    <row r="59" spans="1:16">
      <c r="I59" s="1371">
        <f>(I9+I12+I16)-'Sched D-1'!W77</f>
        <v>0.57999992370605469</v>
      </c>
      <c r="J59" s="1371">
        <f>(J9+J12+J16)-'Sched D-1'!X77</f>
        <v>1</v>
      </c>
      <c r="K59" s="1372" t="s">
        <v>1288</v>
      </c>
    </row>
    <row r="60" spans="1:16">
      <c r="F60" s="137"/>
      <c r="I60" s="1371">
        <f>(I19+I23+I25)+'Stmt E'!R31</f>
        <v>5.0000011920928955E-2</v>
      </c>
      <c r="J60" s="1371">
        <f>(J19+J25)+'Stmt E'!S31</f>
        <v>0.58000002801418304</v>
      </c>
      <c r="K60" s="1372" t="s">
        <v>1289</v>
      </c>
      <c r="L60" s="929"/>
    </row>
    <row r="61" spans="1:16">
      <c r="L61" s="929"/>
    </row>
  </sheetData>
  <phoneticPr fontId="15" type="noConversion"/>
  <printOptions horizontalCentered="1"/>
  <pageMargins left="0.75" right="0.18" top="1" bottom="1" header="1" footer="0.19"/>
  <pageSetup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D0F-4FAA-479C-9AF7-754FCCDA7143}">
  <sheetPr>
    <pageSetUpPr fitToPage="1"/>
  </sheetPr>
  <dimension ref="A1:W59"/>
  <sheetViews>
    <sheetView workbookViewId="0"/>
  </sheetViews>
  <sheetFormatPr defaultColWidth="10.6640625" defaultRowHeight="12.75"/>
  <cols>
    <col min="1" max="1" width="6.83203125" style="8" customWidth="1"/>
    <col min="2" max="2" width="9.6640625" style="8" bestFit="1" customWidth="1"/>
    <col min="3" max="3" width="39.33203125" style="8" bestFit="1" customWidth="1"/>
    <col min="4" max="4" width="3.33203125" style="8" customWidth="1"/>
    <col min="5" max="5" width="24.33203125" style="8" customWidth="1"/>
    <col min="6" max="8" width="15.83203125" style="8" customWidth="1"/>
    <col min="9" max="9" width="24.33203125" style="8" customWidth="1"/>
    <col min="10" max="10" width="8.33203125" style="8" customWidth="1"/>
    <col min="11" max="11" width="3.1640625" style="8" bestFit="1" customWidth="1"/>
    <col min="12" max="14" width="12.83203125" style="162" customWidth="1"/>
    <col min="15" max="15" width="3.33203125" style="162" customWidth="1"/>
    <col min="16" max="18" width="12.83203125" style="162" customWidth="1"/>
    <col min="19" max="19" width="3.6640625" style="162" customWidth="1"/>
    <col min="20" max="22" width="12.83203125" style="162" customWidth="1"/>
    <col min="23" max="23" width="3.33203125" style="162" customWidth="1"/>
    <col min="24" max="16384" width="10.6640625" style="162"/>
  </cols>
  <sheetData>
    <row r="1" spans="1:23" ht="12.75" customHeight="1">
      <c r="A1" s="69" t="str">
        <f>Company</f>
        <v>BLACK HILLS NEBRASKA GAS, LLC</v>
      </c>
      <c r="B1" s="119"/>
      <c r="C1" s="119"/>
      <c r="D1" s="119"/>
      <c r="E1" s="119"/>
      <c r="F1" s="119"/>
      <c r="G1" s="119"/>
      <c r="H1" s="119"/>
      <c r="I1" s="72" t="str">
        <f>Attach</f>
        <v>FINAL - BH January 15, 2021 Rev. Req. Model</v>
      </c>
      <c r="J1" s="119"/>
      <c r="K1" s="56"/>
    </row>
    <row r="2" spans="1:23" ht="12.75" customHeight="1">
      <c r="A2" s="70" t="s">
        <v>1248</v>
      </c>
      <c r="B2" s="119"/>
      <c r="C2" s="119"/>
      <c r="D2" s="119"/>
      <c r="E2" s="119"/>
      <c r="F2" s="119"/>
      <c r="G2" s="119"/>
      <c r="H2" s="119"/>
      <c r="I2" s="56" t="s">
        <v>772</v>
      </c>
      <c r="J2" s="119"/>
      <c r="K2" s="56"/>
    </row>
    <row r="3" spans="1:23" ht="12.75" customHeight="1">
      <c r="A3" s="70" t="str">
        <f>TYEnded</f>
        <v>FOR THE TEST YEAR ENDING DECEMBER 31, 2020</v>
      </c>
      <c r="B3" s="119"/>
      <c r="C3" s="119"/>
      <c r="D3" s="119"/>
      <c r="E3" s="119"/>
      <c r="F3" s="119"/>
      <c r="G3" s="119"/>
      <c r="H3" s="119"/>
      <c r="J3" s="119"/>
      <c r="K3" s="119"/>
    </row>
    <row r="4" spans="1:23" ht="12.75" customHeight="1">
      <c r="A4" s="70"/>
      <c r="B4" s="119"/>
      <c r="C4" s="119"/>
      <c r="D4" s="119"/>
      <c r="E4" s="119"/>
      <c r="F4" s="119"/>
      <c r="G4" s="119"/>
      <c r="H4" s="119"/>
      <c r="J4" s="119"/>
      <c r="K4" s="119"/>
    </row>
    <row r="5" spans="1:23" ht="12.75" customHeight="1">
      <c r="A5" s="70"/>
      <c r="B5" s="119"/>
      <c r="C5" s="119"/>
      <c r="D5" s="119"/>
      <c r="E5" s="119"/>
      <c r="F5" s="119"/>
      <c r="G5" s="119"/>
      <c r="H5" s="119"/>
      <c r="J5" s="119"/>
      <c r="K5" s="119"/>
    </row>
    <row r="6" spans="1:23" ht="12.75" customHeight="1">
      <c r="A6" s="70"/>
      <c r="B6" s="119"/>
      <c r="C6" s="119"/>
      <c r="D6" s="119"/>
      <c r="E6" s="119"/>
      <c r="F6" s="119"/>
      <c r="G6" s="119"/>
      <c r="H6" s="119"/>
      <c r="J6" s="119"/>
      <c r="K6" s="119"/>
      <c r="L6" s="162" t="s">
        <v>405</v>
      </c>
      <c r="P6" s="162" t="s">
        <v>1252</v>
      </c>
      <c r="T6" s="162" t="s">
        <v>1253</v>
      </c>
    </row>
    <row r="7" spans="1:23" ht="12.75" customHeight="1">
      <c r="A7" s="70"/>
      <c r="B7" s="119"/>
      <c r="C7" s="119"/>
      <c r="D7" s="119"/>
      <c r="E7" s="375" t="s">
        <v>199</v>
      </c>
      <c r="F7" s="375" t="s">
        <v>200</v>
      </c>
      <c r="G7" s="375" t="s">
        <v>41</v>
      </c>
      <c r="H7" s="375" t="s">
        <v>202</v>
      </c>
      <c r="I7" s="375" t="s">
        <v>203</v>
      </c>
      <c r="J7" s="119"/>
      <c r="K7" s="119"/>
    </row>
    <row r="8" spans="1:23">
      <c r="A8" s="216"/>
      <c r="B8" s="213"/>
      <c r="C8" s="689"/>
      <c r="D8" s="689"/>
      <c r="E8" s="689"/>
      <c r="F8" s="512" t="s">
        <v>21</v>
      </c>
      <c r="G8" s="512" t="s">
        <v>22</v>
      </c>
      <c r="H8" s="512"/>
      <c r="I8" s="689"/>
      <c r="J8" s="217"/>
      <c r="K8" s="75">
        <v>1</v>
      </c>
      <c r="L8" s="75" t="str">
        <f>References!$C$17</f>
        <v>Exhibit No. MCC-2 NEG</v>
      </c>
      <c r="M8" s="75" t="str">
        <f>References!$D$17</f>
        <v>Exhibit No. MCC-2 NEGD</v>
      </c>
      <c r="N8" s="75" t="str">
        <f>References!$E$17</f>
        <v>FINAL - BH January 15, 2021 Rev. Req. Model</v>
      </c>
      <c r="O8" s="82"/>
      <c r="P8" s="75" t="str">
        <f>References!$C$17</f>
        <v>Exhibit No. MCC-2 NEG</v>
      </c>
      <c r="Q8" s="75" t="str">
        <f>References!$D$17</f>
        <v>Exhibit No. MCC-2 NEGD</v>
      </c>
      <c r="R8" s="75" t="str">
        <f>References!$E$17</f>
        <v>FINAL - BH January 15, 2021 Rev. Req. Model</v>
      </c>
      <c r="T8" s="75" t="str">
        <f>References!$C$17</f>
        <v>Exhibit No. MCC-2 NEG</v>
      </c>
      <c r="U8" s="75" t="str">
        <f>References!$D$17</f>
        <v>Exhibit No. MCC-2 NEGD</v>
      </c>
      <c r="V8" s="75" t="str">
        <f>References!$E$17</f>
        <v>FINAL - BH January 15, 2021 Rev. Req. Model</v>
      </c>
    </row>
    <row r="9" spans="1:23" ht="38.25">
      <c r="A9" s="397" t="s">
        <v>117</v>
      </c>
      <c r="B9" s="398" t="s">
        <v>517</v>
      </c>
      <c r="C9" s="399" t="s">
        <v>124</v>
      </c>
      <c r="D9" s="691"/>
      <c r="E9" s="1362" t="s">
        <v>1206</v>
      </c>
      <c r="F9" s="1362" t="s">
        <v>1250</v>
      </c>
      <c r="G9" s="1362" t="s">
        <v>1251</v>
      </c>
      <c r="H9" s="1362" t="s">
        <v>1254</v>
      </c>
      <c r="I9" s="1362" t="s">
        <v>1207</v>
      </c>
      <c r="J9" s="218"/>
      <c r="K9" s="75">
        <f>K8+1</f>
        <v>2</v>
      </c>
      <c r="L9" s="75" t="str">
        <f>References!$C$18</f>
        <v>NEG</v>
      </c>
      <c r="M9" s="75" t="str">
        <f>References!$D$18</f>
        <v>NEGD</v>
      </c>
      <c r="N9" s="75" t="str">
        <f>References!$E$18</f>
        <v>Tot Co</v>
      </c>
      <c r="O9" s="82"/>
      <c r="P9" s="75" t="str">
        <f>References!$C$18</f>
        <v>NEG</v>
      </c>
      <c r="Q9" s="75" t="str">
        <f>References!$D$18</f>
        <v>NEGD</v>
      </c>
      <c r="R9" s="75" t="str">
        <f>References!$E$18</f>
        <v>Tot Co</v>
      </c>
      <c r="T9" s="75" t="str">
        <f>References!$C$18</f>
        <v>NEG</v>
      </c>
      <c r="U9" s="75" t="str">
        <f>References!$D$18</f>
        <v>NEGD</v>
      </c>
      <c r="V9" s="75" t="str">
        <f>References!$E$18</f>
        <v>Tot Co</v>
      </c>
    </row>
    <row r="10" spans="1:23">
      <c r="A10" s="337"/>
      <c r="B10" s="233"/>
      <c r="C10" s="338"/>
      <c r="D10" s="640"/>
      <c r="E10" s="690"/>
      <c r="F10" s="690"/>
      <c r="G10" s="690"/>
      <c r="H10" s="690"/>
      <c r="I10" s="690"/>
      <c r="J10" s="218"/>
      <c r="K10" s="75">
        <f t="shared" ref="K10:K12" si="0">K9+1</f>
        <v>3</v>
      </c>
      <c r="L10" s="75"/>
      <c r="M10" s="75"/>
      <c r="N10" s="75"/>
      <c r="O10" s="82"/>
      <c r="P10" s="75"/>
      <c r="Q10" s="75"/>
      <c r="R10" s="75"/>
      <c r="T10" s="75"/>
      <c r="U10" s="75"/>
      <c r="V10" s="75"/>
    </row>
    <row r="11" spans="1:23">
      <c r="A11" s="337">
        <v>1</v>
      </c>
      <c r="B11" s="233" t="s">
        <v>1249</v>
      </c>
      <c r="C11" s="98" t="s">
        <v>1086</v>
      </c>
      <c r="D11" s="640"/>
      <c r="E11" s="547">
        <f>IF($E$18="Y",(HLOOKUP(Attach,$L$8:$N$12,$K11,FALSE)-'Sched H-1'!J12),HLOOKUP(Attach,$L$8:$N$12,$K11,FALSE))</f>
        <v>6539506.1700000009</v>
      </c>
      <c r="F11" s="547">
        <f>HLOOKUP(Attach,$P$8:$R$12,$K11,FALSE)</f>
        <v>-248192.52</v>
      </c>
      <c r="G11" s="547">
        <f>HLOOKUP(Attach,$T$8:$V$12,$K11,FALSE)</f>
        <v>410191.47</v>
      </c>
      <c r="H11" s="547">
        <f>SUM(E11:G11)</f>
        <v>6701505.120000001</v>
      </c>
      <c r="I11" s="547">
        <f>H11-E11</f>
        <v>161998.95000000019</v>
      </c>
      <c r="J11" s="218"/>
      <c r="K11" s="75">
        <f t="shared" si="0"/>
        <v>4</v>
      </c>
      <c r="L11" s="973">
        <f>'Stmt H'!X102</f>
        <v>3488301.95</v>
      </c>
      <c r="M11" s="973">
        <f>'Stmt H'!Y102</f>
        <v>3199045.36</v>
      </c>
      <c r="N11" s="1331">
        <f>+L11++M11</f>
        <v>6687347.3100000005</v>
      </c>
      <c r="O11" s="642"/>
      <c r="P11" s="973">
        <v>-248192.52</v>
      </c>
      <c r="Q11" s="973">
        <v>0</v>
      </c>
      <c r="R11" s="1331">
        <f>+P11+Q11</f>
        <v>-248192.52</v>
      </c>
      <c r="S11" s="1339"/>
      <c r="T11" s="973">
        <v>410191.47</v>
      </c>
      <c r="U11" s="973">
        <v>0</v>
      </c>
      <c r="V11" s="1331">
        <f>+T11+U11</f>
        <v>410191.47</v>
      </c>
      <c r="W11" s="1339"/>
    </row>
    <row r="12" spans="1:23">
      <c r="A12" s="337">
        <f>A11+1</f>
        <v>2</v>
      </c>
      <c r="B12" s="233"/>
      <c r="C12" s="338"/>
      <c r="D12" s="640"/>
      <c r="E12" s="690"/>
      <c r="F12" s="690"/>
      <c r="G12" s="690"/>
      <c r="H12" s="690"/>
      <c r="I12" s="690"/>
      <c r="J12" s="218"/>
      <c r="K12" s="75">
        <f t="shared" si="0"/>
        <v>5</v>
      </c>
      <c r="L12" s="1175"/>
      <c r="M12" s="1175"/>
      <c r="N12" s="1175"/>
      <c r="O12" s="842"/>
      <c r="P12" s="1175"/>
      <c r="Q12" s="1175"/>
      <c r="R12" s="1175"/>
      <c r="S12" s="1339"/>
      <c r="T12" s="1175"/>
      <c r="U12" s="1175"/>
      <c r="V12" s="1175"/>
      <c r="W12" s="1339"/>
    </row>
    <row r="13" spans="1:23" ht="13.5" thickBot="1">
      <c r="A13" s="337">
        <f>A12+1</f>
        <v>3</v>
      </c>
      <c r="B13" s="41"/>
      <c r="C13" s="117" t="s">
        <v>229</v>
      </c>
      <c r="D13" s="41"/>
      <c r="E13" s="358">
        <f>SUM(E11:E12)</f>
        <v>6539506.1700000009</v>
      </c>
      <c r="F13" s="358">
        <f>SUM(F11:F12)</f>
        <v>-248192.52</v>
      </c>
      <c r="G13" s="358">
        <f>SUM(G11:G12)</f>
        <v>410191.47</v>
      </c>
      <c r="H13" s="358">
        <f>SUM(H11:H12)</f>
        <v>6701505.120000001</v>
      </c>
      <c r="I13" s="358">
        <f>SUM(I11:I12)</f>
        <v>161998.95000000019</v>
      </c>
      <c r="J13" s="41"/>
      <c r="K13" s="199"/>
      <c r="L13" s="163"/>
      <c r="P13" s="1331">
        <f>SUM(P11:P12)</f>
        <v>-248192.52</v>
      </c>
      <c r="Q13" s="1331">
        <f>SUM(Q11:Q12)</f>
        <v>0</v>
      </c>
      <c r="R13" s="1331">
        <f>SUM(R11:R12)</f>
        <v>-248192.52</v>
      </c>
      <c r="T13" s="1331">
        <f>SUM(T11:T12)</f>
        <v>410191.47</v>
      </c>
      <c r="U13" s="1331">
        <f>SUM(U11:U12)</f>
        <v>0</v>
      </c>
      <c r="V13" s="1331">
        <f>SUM(V11:V12)</f>
        <v>410191.47</v>
      </c>
    </row>
    <row r="14" spans="1:23" ht="13.5" thickTop="1">
      <c r="A14" s="40">
        <f t="shared" ref="A14:A16" si="1">A13+1</f>
        <v>4</v>
      </c>
      <c r="B14" s="41"/>
      <c r="C14" s="117"/>
      <c r="D14" s="41"/>
      <c r="E14" s="361"/>
      <c r="F14" s="361"/>
      <c r="G14" s="361"/>
      <c r="H14" s="361"/>
      <c r="I14" s="361"/>
      <c r="J14" s="41"/>
      <c r="K14" s="199"/>
      <c r="L14" s="163"/>
      <c r="P14" s="163"/>
    </row>
    <row r="15" spans="1:23">
      <c r="A15" s="40">
        <f t="shared" si="1"/>
        <v>5</v>
      </c>
      <c r="B15" s="41" t="s">
        <v>1255</v>
      </c>
      <c r="C15" s="117"/>
      <c r="D15" s="41"/>
      <c r="E15" s="361"/>
      <c r="F15" s="361"/>
      <c r="G15" s="361"/>
      <c r="H15" s="361"/>
      <c r="I15" s="361"/>
      <c r="J15" s="41"/>
      <c r="K15" s="199"/>
      <c r="L15" s="163"/>
      <c r="P15" s="163"/>
    </row>
    <row r="16" spans="1:23">
      <c r="A16" s="40">
        <f t="shared" si="1"/>
        <v>6</v>
      </c>
      <c r="B16" s="41" t="s">
        <v>1272</v>
      </c>
      <c r="C16" s="41"/>
      <c r="D16" s="41"/>
      <c r="E16" s="209"/>
      <c r="F16" s="209"/>
      <c r="G16" s="209"/>
      <c r="H16" s="209"/>
      <c r="I16" s="209"/>
      <c r="J16" s="41"/>
      <c r="K16" s="199"/>
      <c r="L16" s="163"/>
      <c r="P16" s="163"/>
    </row>
    <row r="17" spans="1:16">
      <c r="A17" s="40"/>
      <c r="B17" s="41"/>
      <c r="C17" s="117"/>
      <c r="D17" s="41"/>
      <c r="E17" s="361"/>
      <c r="F17" s="361"/>
      <c r="G17" s="361"/>
      <c r="H17" s="361"/>
      <c r="I17" s="361"/>
      <c r="J17" s="41"/>
      <c r="K17" s="199"/>
      <c r="L17" s="163"/>
      <c r="P17" s="163"/>
    </row>
    <row r="18" spans="1:16">
      <c r="A18" s="40"/>
      <c r="B18" s="41"/>
      <c r="C18" s="41" t="s">
        <v>1562</v>
      </c>
      <c r="D18" s="41"/>
      <c r="E18" s="41" t="str">
        <f>'Stmt N'!AK1</f>
        <v>Y</v>
      </c>
      <c r="F18" s="41"/>
      <c r="G18" s="41"/>
      <c r="H18" s="41"/>
      <c r="I18" s="199"/>
      <c r="J18" s="41"/>
      <c r="K18" s="199"/>
      <c r="L18" s="163"/>
      <c r="P18" s="163"/>
    </row>
    <row r="19" spans="1:16">
      <c r="A19" s="40"/>
      <c r="B19" s="41"/>
      <c r="C19" s="41"/>
      <c r="D19" s="41"/>
      <c r="E19" s="41"/>
      <c r="F19" s="41"/>
      <c r="G19" s="41"/>
      <c r="H19" s="41"/>
      <c r="I19" s="199"/>
      <c r="J19" s="41"/>
      <c r="K19" s="199"/>
      <c r="L19" s="163"/>
      <c r="P19" s="163"/>
    </row>
    <row r="20" spans="1:16">
      <c r="A20" s="40"/>
      <c r="B20" s="41"/>
      <c r="C20" s="41"/>
      <c r="D20" s="41"/>
      <c r="E20" s="41"/>
      <c r="F20" s="472"/>
      <c r="G20" s="472"/>
      <c r="H20" s="472"/>
      <c r="I20" s="199"/>
      <c r="J20" s="41"/>
      <c r="K20" s="199"/>
      <c r="L20" s="163"/>
      <c r="P20" s="163"/>
    </row>
    <row r="21" spans="1:16">
      <c r="A21" s="40"/>
      <c r="B21" s="41"/>
      <c r="C21" s="41"/>
      <c r="D21" s="41"/>
      <c r="E21" s="41"/>
      <c r="F21" s="41"/>
      <c r="G21" s="41"/>
      <c r="H21" s="41"/>
      <c r="I21" s="199"/>
      <c r="J21" s="41"/>
      <c r="K21" s="199"/>
      <c r="L21" s="163"/>
      <c r="P21" s="163"/>
    </row>
    <row r="22" spans="1:16">
      <c r="A22" s="40"/>
      <c r="B22" s="41"/>
      <c r="C22" s="41"/>
      <c r="D22" s="41"/>
      <c r="E22" s="41"/>
      <c r="F22" s="41"/>
      <c r="G22" s="41"/>
      <c r="H22" s="41"/>
      <c r="I22" s="199"/>
      <c r="J22" s="41"/>
      <c r="K22" s="199"/>
      <c r="L22" s="163"/>
      <c r="P22" s="163"/>
    </row>
    <row r="23" spans="1:16">
      <c r="A23" s="40"/>
      <c r="B23" s="41"/>
      <c r="C23" s="41"/>
      <c r="D23" s="41"/>
      <c r="E23" s="41"/>
      <c r="F23" s="41"/>
      <c r="G23" s="41"/>
      <c r="H23" s="41"/>
      <c r="I23" s="199"/>
      <c r="J23" s="41"/>
      <c r="K23" s="199"/>
      <c r="L23" s="163"/>
      <c r="P23" s="163"/>
    </row>
    <row r="24" spans="1:16">
      <c r="A24" s="40"/>
      <c r="B24" s="41"/>
      <c r="C24" s="41"/>
      <c r="D24" s="41"/>
      <c r="E24" s="41"/>
      <c r="F24" s="41"/>
      <c r="G24" s="41"/>
      <c r="H24" s="41"/>
      <c r="I24" s="199"/>
      <c r="J24" s="41"/>
      <c r="K24" s="199"/>
      <c r="L24" s="163"/>
      <c r="P24" s="163"/>
    </row>
    <row r="25" spans="1:16">
      <c r="A25" s="40"/>
      <c r="B25" s="41"/>
      <c r="C25" s="41"/>
      <c r="D25" s="41"/>
      <c r="E25" s="41"/>
      <c r="F25" s="41"/>
      <c r="G25" s="41"/>
      <c r="H25" s="41"/>
      <c r="I25" s="199"/>
      <c r="J25" s="41"/>
      <c r="K25" s="199"/>
      <c r="L25" s="163"/>
      <c r="P25" s="163"/>
    </row>
    <row r="26" spans="1:16">
      <c r="A26" s="40"/>
      <c r="B26" s="41"/>
      <c r="C26" s="41"/>
      <c r="D26" s="41"/>
      <c r="E26" s="41"/>
      <c r="F26" s="41"/>
      <c r="G26" s="41"/>
      <c r="H26" s="41"/>
      <c r="I26" s="199"/>
      <c r="J26" s="41"/>
      <c r="K26" s="199"/>
      <c r="L26" s="163"/>
      <c r="P26" s="163"/>
    </row>
    <row r="27" spans="1:16">
      <c r="A27" s="40"/>
      <c r="B27" s="41"/>
      <c r="C27" s="41"/>
      <c r="D27" s="41"/>
      <c r="E27" s="41"/>
      <c r="F27" s="41"/>
      <c r="G27" s="41"/>
      <c r="H27" s="41"/>
      <c r="I27" s="199"/>
      <c r="J27" s="41"/>
      <c r="K27" s="199"/>
      <c r="L27" s="163"/>
      <c r="P27" s="163"/>
    </row>
    <row r="28" spans="1:16">
      <c r="A28" s="40"/>
      <c r="B28" s="41"/>
      <c r="C28" s="41"/>
      <c r="D28" s="41"/>
      <c r="E28" s="41"/>
      <c r="F28" s="41"/>
      <c r="G28" s="41"/>
      <c r="H28" s="41"/>
      <c r="I28" s="199"/>
      <c r="J28" s="41"/>
      <c r="K28" s="199"/>
      <c r="L28" s="163"/>
      <c r="P28" s="163"/>
    </row>
    <row r="29" spans="1:16">
      <c r="A29" s="40"/>
      <c r="B29" s="41"/>
      <c r="C29" s="41"/>
      <c r="D29" s="41"/>
      <c r="E29" s="41"/>
      <c r="F29" s="41"/>
      <c r="G29" s="41"/>
      <c r="H29" s="41"/>
      <c r="I29" s="199"/>
      <c r="J29" s="41"/>
      <c r="K29" s="199"/>
      <c r="L29" s="163"/>
      <c r="P29" s="163"/>
    </row>
    <row r="30" spans="1:16">
      <c r="A30" s="40"/>
      <c r="B30" s="41"/>
      <c r="C30" s="41"/>
      <c r="D30" s="41"/>
      <c r="E30" s="41"/>
      <c r="F30" s="41"/>
      <c r="G30" s="41"/>
      <c r="H30" s="41"/>
      <c r="I30" s="199"/>
      <c r="J30" s="41"/>
      <c r="K30" s="199"/>
      <c r="L30" s="163"/>
      <c r="P30" s="163"/>
    </row>
    <row r="31" spans="1:16">
      <c r="A31" s="40"/>
      <c r="B31" s="41"/>
      <c r="C31" s="41"/>
      <c r="D31" s="41"/>
      <c r="E31" s="41"/>
      <c r="F31" s="41"/>
      <c r="G31" s="41"/>
      <c r="H31" s="41"/>
      <c r="I31" s="199"/>
      <c r="J31" s="41"/>
      <c r="K31" s="199"/>
      <c r="L31" s="163"/>
      <c r="P31" s="163"/>
    </row>
    <row r="32" spans="1:16">
      <c r="A32" s="40"/>
      <c r="B32" s="41"/>
      <c r="C32" s="41"/>
      <c r="D32" s="41"/>
      <c r="E32" s="41"/>
      <c r="F32" s="41"/>
      <c r="G32" s="41"/>
      <c r="H32" s="41"/>
      <c r="I32" s="199"/>
      <c r="J32" s="41"/>
      <c r="K32" s="199"/>
      <c r="L32" s="163"/>
      <c r="P32" s="163"/>
    </row>
    <row r="33" spans="1:16">
      <c r="A33" s="40"/>
      <c r="B33" s="41"/>
      <c r="C33" s="41"/>
      <c r="D33" s="41"/>
      <c r="E33" s="41"/>
      <c r="F33" s="41"/>
      <c r="G33" s="41"/>
      <c r="H33" s="41"/>
      <c r="I33" s="199"/>
      <c r="J33" s="41"/>
      <c r="K33" s="199"/>
      <c r="L33" s="163"/>
      <c r="P33" s="163"/>
    </row>
    <row r="34" spans="1:16">
      <c r="A34" s="40"/>
      <c r="B34" s="41"/>
      <c r="C34" s="41"/>
      <c r="D34" s="41"/>
      <c r="E34" s="41"/>
      <c r="F34" s="41"/>
      <c r="G34" s="41"/>
      <c r="H34" s="41"/>
      <c r="I34" s="199"/>
      <c r="J34" s="41"/>
      <c r="K34" s="199"/>
      <c r="L34" s="163"/>
      <c r="P34" s="163"/>
    </row>
    <row r="35" spans="1:16">
      <c r="A35" s="40"/>
      <c r="B35" s="41"/>
      <c r="C35" s="41"/>
      <c r="D35" s="41"/>
      <c r="E35" s="41"/>
      <c r="F35" s="41"/>
      <c r="G35" s="41"/>
      <c r="H35" s="41"/>
      <c r="I35" s="199"/>
      <c r="J35" s="41"/>
      <c r="K35" s="199"/>
      <c r="L35" s="163"/>
      <c r="P35" s="163"/>
    </row>
    <row r="36" spans="1:16">
      <c r="A36" s="40"/>
      <c r="B36" s="41"/>
      <c r="C36" s="41"/>
      <c r="D36" s="41"/>
      <c r="E36" s="41"/>
      <c r="F36" s="41"/>
      <c r="G36" s="41"/>
      <c r="H36" s="41"/>
      <c r="I36" s="199"/>
      <c r="J36" s="41"/>
      <c r="K36" s="199"/>
      <c r="L36" s="163"/>
      <c r="P36" s="163"/>
    </row>
    <row r="37" spans="1:16">
      <c r="A37" s="40"/>
      <c r="B37" s="41"/>
      <c r="C37" s="41"/>
      <c r="D37" s="41"/>
      <c r="E37" s="41"/>
      <c r="F37" s="41"/>
      <c r="G37" s="41"/>
      <c r="H37" s="41"/>
      <c r="I37" s="199"/>
      <c r="J37" s="41"/>
      <c r="K37" s="199"/>
      <c r="L37" s="163"/>
      <c r="P37" s="163"/>
    </row>
    <row r="38" spans="1:16">
      <c r="A38" s="40"/>
      <c r="B38" s="41"/>
      <c r="C38" s="41"/>
      <c r="D38" s="41"/>
      <c r="E38" s="41"/>
      <c r="F38" s="41"/>
      <c r="G38" s="41"/>
      <c r="H38" s="41"/>
      <c r="I38" s="199"/>
      <c r="J38" s="41"/>
      <c r="K38" s="199"/>
      <c r="L38" s="163"/>
      <c r="P38" s="163"/>
    </row>
    <row r="39" spans="1:16">
      <c r="A39" s="40"/>
      <c r="B39" s="41"/>
      <c r="C39" s="41"/>
      <c r="D39" s="41"/>
      <c r="E39" s="41"/>
      <c r="F39" s="41"/>
      <c r="G39" s="41"/>
      <c r="H39" s="41"/>
      <c r="I39" s="199"/>
      <c r="J39" s="41"/>
      <c r="K39" s="199"/>
      <c r="L39" s="163"/>
      <c r="P39" s="163"/>
    </row>
    <row r="40" spans="1:16">
      <c r="A40" s="40"/>
      <c r="B40" s="41"/>
      <c r="C40" s="41"/>
      <c r="D40" s="41"/>
      <c r="E40" s="41"/>
      <c r="F40" s="41"/>
      <c r="G40" s="41"/>
      <c r="H40" s="41"/>
      <c r="I40" s="199"/>
      <c r="J40" s="41"/>
      <c r="K40" s="199"/>
      <c r="L40" s="163"/>
      <c r="P40" s="163"/>
    </row>
    <row r="41" spans="1:16">
      <c r="A41" s="40"/>
      <c r="B41" s="41"/>
      <c r="C41" s="41"/>
      <c r="D41" s="41"/>
      <c r="E41" s="41"/>
      <c r="F41" s="41"/>
      <c r="G41" s="41"/>
      <c r="H41" s="41"/>
      <c r="I41" s="199"/>
      <c r="J41" s="41"/>
      <c r="K41" s="199"/>
      <c r="L41" s="163"/>
      <c r="P41" s="163"/>
    </row>
    <row r="42" spans="1:16">
      <c r="A42" s="40"/>
      <c r="B42" s="41"/>
      <c r="C42" s="41"/>
      <c r="D42" s="41"/>
      <c r="E42" s="41"/>
      <c r="F42" s="41"/>
      <c r="G42" s="41"/>
      <c r="H42" s="41"/>
      <c r="I42" s="199"/>
      <c r="J42" s="41"/>
      <c r="K42" s="199"/>
      <c r="L42" s="163"/>
      <c r="P42" s="163"/>
    </row>
    <row r="43" spans="1:16">
      <c r="A43" s="40"/>
      <c r="B43" s="41"/>
      <c r="C43" s="41"/>
      <c r="D43" s="41"/>
      <c r="E43" s="41"/>
      <c r="F43" s="41"/>
      <c r="G43" s="41"/>
      <c r="H43" s="41"/>
      <c r="I43" s="199"/>
      <c r="J43" s="41"/>
      <c r="K43" s="199"/>
      <c r="L43" s="163"/>
      <c r="P43" s="163"/>
    </row>
    <row r="44" spans="1:16">
      <c r="A44" s="40"/>
      <c r="B44" s="41"/>
      <c r="C44" s="41"/>
      <c r="D44" s="41"/>
      <c r="E44" s="41"/>
      <c r="F44" s="41"/>
      <c r="G44" s="41"/>
      <c r="H44" s="41"/>
      <c r="I44" s="199"/>
      <c r="J44" s="41"/>
      <c r="K44" s="199"/>
      <c r="L44" s="163"/>
      <c r="P44" s="163"/>
    </row>
    <row r="45" spans="1:16">
      <c r="A45" s="40"/>
      <c r="B45" s="41"/>
      <c r="C45" s="41"/>
      <c r="D45" s="41"/>
      <c r="E45" s="41"/>
      <c r="F45" s="41"/>
      <c r="G45" s="41"/>
      <c r="H45" s="41"/>
      <c r="I45" s="199"/>
      <c r="J45" s="41"/>
      <c r="K45" s="199"/>
      <c r="L45" s="163"/>
      <c r="P45" s="163"/>
    </row>
    <row r="46" spans="1:16">
      <c r="A46" s="40"/>
      <c r="B46" s="41"/>
      <c r="C46" s="41"/>
      <c r="D46" s="41"/>
      <c r="E46" s="41"/>
      <c r="F46" s="41"/>
      <c r="G46" s="41"/>
      <c r="H46" s="41"/>
      <c r="I46" s="199"/>
      <c r="J46" s="41"/>
      <c r="K46" s="199"/>
      <c r="L46" s="163"/>
      <c r="P46" s="163"/>
    </row>
    <row r="47" spans="1:16">
      <c r="A47" s="40"/>
      <c r="B47" s="41"/>
      <c r="C47" s="41"/>
      <c r="D47" s="41"/>
      <c r="E47" s="41"/>
      <c r="F47" s="41"/>
      <c r="G47" s="41"/>
      <c r="H47" s="41"/>
      <c r="I47" s="199"/>
      <c r="J47" s="41"/>
      <c r="K47" s="199"/>
      <c r="L47" s="163"/>
      <c r="P47" s="163"/>
    </row>
    <row r="48" spans="1:16">
      <c r="A48" s="40"/>
      <c r="B48" s="41"/>
      <c r="C48" s="41"/>
      <c r="D48" s="41"/>
      <c r="E48" s="41"/>
      <c r="F48" s="41"/>
      <c r="G48" s="41"/>
      <c r="H48" s="41"/>
      <c r="I48" s="199"/>
      <c r="J48" s="41"/>
      <c r="K48" s="199"/>
      <c r="L48" s="163"/>
      <c r="P48" s="163"/>
    </row>
    <row r="49" spans="1:16">
      <c r="A49" s="40"/>
      <c r="B49" s="41"/>
      <c r="C49" s="41"/>
      <c r="D49" s="41"/>
      <c r="E49" s="41"/>
      <c r="F49" s="41"/>
      <c r="G49" s="41"/>
      <c r="H49" s="41"/>
      <c r="I49" s="199"/>
      <c r="J49" s="41"/>
      <c r="K49" s="199"/>
      <c r="L49" s="163"/>
      <c r="P49" s="163"/>
    </row>
    <row r="50" spans="1:16">
      <c r="A50" s="40"/>
      <c r="B50" s="41"/>
      <c r="C50" s="41"/>
      <c r="D50" s="41"/>
      <c r="E50" s="41"/>
      <c r="F50" s="41"/>
      <c r="G50" s="41"/>
      <c r="H50" s="41"/>
      <c r="I50" s="199"/>
      <c r="J50" s="41"/>
      <c r="K50" s="199"/>
      <c r="L50" s="163"/>
      <c r="P50" s="163"/>
    </row>
    <row r="51" spans="1:16">
      <c r="A51" s="40"/>
      <c r="B51" s="41"/>
      <c r="C51" s="41"/>
      <c r="D51" s="41"/>
      <c r="E51" s="41"/>
      <c r="F51" s="41"/>
      <c r="G51" s="41"/>
      <c r="H51" s="41"/>
      <c r="I51" s="199"/>
      <c r="J51" s="41"/>
      <c r="K51" s="199"/>
      <c r="L51" s="163"/>
      <c r="P51" s="163"/>
    </row>
    <row r="52" spans="1:16">
      <c r="A52" s="40"/>
      <c r="B52" s="41"/>
      <c r="C52" s="41"/>
      <c r="D52" s="41"/>
      <c r="E52" s="41"/>
      <c r="F52" s="41"/>
      <c r="G52" s="41"/>
      <c r="H52" s="41"/>
      <c r="I52" s="199"/>
      <c r="J52" s="41"/>
      <c r="K52" s="199"/>
      <c r="L52" s="163"/>
      <c r="P52" s="163"/>
    </row>
    <row r="53" spans="1:16">
      <c r="A53" s="40"/>
      <c r="B53" s="41"/>
      <c r="C53" s="41"/>
      <c r="D53" s="41"/>
      <c r="E53" s="41"/>
      <c r="F53" s="41"/>
      <c r="G53" s="41"/>
      <c r="H53" s="41"/>
      <c r="I53" s="199"/>
      <c r="J53" s="41"/>
      <c r="K53" s="199"/>
    </row>
    <row r="54" spans="1:16">
      <c r="A54" s="40"/>
      <c r="B54" s="41"/>
      <c r="C54" s="41"/>
      <c r="D54" s="41"/>
      <c r="E54" s="41"/>
      <c r="F54" s="41"/>
      <c r="G54" s="41"/>
      <c r="H54" s="41"/>
      <c r="I54" s="199"/>
      <c r="J54" s="41"/>
      <c r="K54" s="199"/>
    </row>
    <row r="55" spans="1:16">
      <c r="A55" s="40"/>
      <c r="B55" s="41"/>
      <c r="C55" s="41"/>
      <c r="D55" s="41"/>
      <c r="E55" s="41"/>
      <c r="F55" s="41"/>
      <c r="G55" s="41"/>
      <c r="H55" s="41"/>
      <c r="I55" s="41"/>
      <c r="J55" s="41"/>
      <c r="K55" s="41"/>
    </row>
    <row r="56" spans="1:16">
      <c r="A56" s="40"/>
      <c r="B56" s="41"/>
      <c r="C56" s="41"/>
      <c r="D56" s="41"/>
      <c r="E56" s="41"/>
      <c r="F56" s="41"/>
      <c r="G56" s="41"/>
      <c r="H56" s="41"/>
      <c r="I56" s="41"/>
      <c r="J56" s="41"/>
      <c r="K56" s="156"/>
    </row>
    <row r="57" spans="1:16">
      <c r="A57" s="40"/>
      <c r="B57" s="41"/>
      <c r="C57" s="41"/>
      <c r="D57" s="41"/>
      <c r="E57" s="41"/>
      <c r="F57" s="41"/>
      <c r="G57" s="41"/>
      <c r="H57" s="41"/>
      <c r="I57" s="41"/>
      <c r="J57" s="41"/>
      <c r="K57" s="199"/>
    </row>
    <row r="58" spans="1:16">
      <c r="A58" s="40"/>
      <c r="B58" s="41"/>
      <c r="C58" s="41"/>
      <c r="D58" s="41"/>
      <c r="E58" s="41"/>
      <c r="F58" s="41"/>
      <c r="G58" s="41"/>
      <c r="H58" s="41"/>
      <c r="I58" s="41"/>
      <c r="J58" s="41"/>
      <c r="K58" s="161"/>
    </row>
    <row r="59" spans="1:16">
      <c r="A59" s="40"/>
      <c r="B59" s="41"/>
      <c r="C59" s="41"/>
      <c r="D59" s="41"/>
      <c r="E59" s="41"/>
      <c r="F59" s="41"/>
      <c r="G59" s="41"/>
      <c r="H59" s="41"/>
      <c r="I59" s="41"/>
      <c r="J59" s="41"/>
      <c r="K59" s="156"/>
    </row>
  </sheetData>
  <printOptions horizontalCentered="1"/>
  <pageMargins left="0.25" right="0.25" top="1" bottom="0.5" header="1" footer="0.5"/>
  <pageSetup scale="96"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N114"/>
  <sheetViews>
    <sheetView workbookViewId="0"/>
  </sheetViews>
  <sheetFormatPr defaultColWidth="10.6640625" defaultRowHeight="12.75"/>
  <cols>
    <col min="1" max="1" width="6.83203125" style="8" customWidth="1"/>
    <col min="2" max="2" width="11.1640625" style="8" bestFit="1" customWidth="1"/>
    <col min="3" max="3" width="78.33203125" style="8" bestFit="1" customWidth="1"/>
    <col min="4" max="4" width="3.33203125" style="8" customWidth="1"/>
    <col min="5" max="5" width="17.33203125" style="8" customWidth="1"/>
    <col min="6" max="6" width="3.33203125" style="8" customWidth="1"/>
    <col min="7" max="7" width="13.1640625" style="8" customWidth="1"/>
    <col min="8" max="8" width="7" style="162" customWidth="1"/>
    <col min="9" max="9" width="5" style="162" customWidth="1"/>
    <col min="10" max="10" width="3.1640625" style="8" bestFit="1" customWidth="1"/>
    <col min="11" max="11" width="21.33203125" style="162" bestFit="1" customWidth="1"/>
    <col min="12" max="13" width="21.83203125" style="162" bestFit="1" customWidth="1"/>
    <col min="14" max="14" width="22.6640625" style="162" customWidth="1"/>
    <col min="15" max="16384" width="10.6640625" style="162"/>
  </cols>
  <sheetData>
    <row r="1" spans="1:13" ht="12.75" customHeight="1">
      <c r="A1" s="69" t="str">
        <f>Company</f>
        <v>BLACK HILLS NEBRASKA GAS, LLC</v>
      </c>
      <c r="B1" s="119"/>
      <c r="C1" s="119"/>
      <c r="D1" s="119"/>
      <c r="E1" s="119"/>
      <c r="F1" s="119"/>
      <c r="G1" s="72" t="str">
        <f>Attach</f>
        <v>FINAL - BH January 15, 2021 Rev. Req. Model</v>
      </c>
      <c r="J1" s="56"/>
    </row>
    <row r="2" spans="1:13" ht="12.75" customHeight="1">
      <c r="A2" s="70" t="s">
        <v>496</v>
      </c>
      <c r="B2" s="119"/>
      <c r="C2" s="119"/>
      <c r="D2" s="119"/>
      <c r="E2" s="119"/>
      <c r="F2" s="119"/>
      <c r="G2" s="72" t="s">
        <v>771</v>
      </c>
      <c r="J2" s="56"/>
    </row>
    <row r="3" spans="1:13" ht="12.75" customHeight="1">
      <c r="A3" s="70" t="str">
        <f>TYEnded</f>
        <v>FOR THE TEST YEAR ENDING DECEMBER 31, 2020</v>
      </c>
      <c r="B3" s="119"/>
      <c r="C3" s="119"/>
      <c r="D3" s="119"/>
      <c r="E3" s="119"/>
      <c r="F3" s="119"/>
      <c r="G3" s="119"/>
      <c r="J3" s="119"/>
    </row>
    <row r="4" spans="1:13" ht="12.75" customHeight="1">
      <c r="A4" s="70"/>
      <c r="B4" s="119"/>
      <c r="C4" s="119"/>
      <c r="D4" s="119"/>
      <c r="E4" s="47"/>
      <c r="F4" s="47"/>
      <c r="G4" s="47"/>
      <c r="J4" s="119"/>
    </row>
    <row r="5" spans="1:13">
      <c r="E5" s="38" t="s">
        <v>1053</v>
      </c>
      <c r="G5" s="5" t="s">
        <v>21</v>
      </c>
      <c r="J5" s="75">
        <v>1</v>
      </c>
      <c r="K5" s="82" t="str">
        <f>References!$C$17</f>
        <v>Exhibit No. MCC-2 NEG</v>
      </c>
      <c r="L5" s="82" t="str">
        <f>References!$D$17</f>
        <v>Exhibit No. MCC-2 NEGD</v>
      </c>
      <c r="M5" s="75" t="str">
        <f>References!$E$17</f>
        <v>FINAL - BH January 15, 2021 Rev. Req. Model</v>
      </c>
    </row>
    <row r="6" spans="1:13" ht="24.75" customHeight="1">
      <c r="A6" s="389" t="s">
        <v>117</v>
      </c>
      <c r="B6" s="390" t="s">
        <v>517</v>
      </c>
      <c r="C6" s="391" t="s">
        <v>124</v>
      </c>
      <c r="D6" s="389"/>
      <c r="E6" s="125" t="s">
        <v>687</v>
      </c>
      <c r="F6" s="389"/>
      <c r="G6" s="392" t="s">
        <v>817</v>
      </c>
      <c r="H6" s="393"/>
      <c r="J6" s="75">
        <f>J5+1</f>
        <v>2</v>
      </c>
      <c r="K6" s="82" t="str">
        <f>References!$C$18</f>
        <v>NEG</v>
      </c>
      <c r="L6" s="82" t="str">
        <f>References!$D$18</f>
        <v>NEGD</v>
      </c>
      <c r="M6" s="75" t="str">
        <f>References!$E$18</f>
        <v>Tot Co</v>
      </c>
    </row>
    <row r="7" spans="1:13">
      <c r="J7" s="75">
        <f t="shared" ref="J7:J80" si="0">J6+1</f>
        <v>3</v>
      </c>
      <c r="K7" s="82"/>
      <c r="L7" s="82"/>
      <c r="M7" s="75"/>
    </row>
    <row r="8" spans="1:13">
      <c r="A8" s="797">
        <f t="shared" ref="A8:A29" si="1">A7+1</f>
        <v>1</v>
      </c>
      <c r="B8" s="799">
        <v>754</v>
      </c>
      <c r="C8" s="8" t="str">
        <f>VLOOKUP(B8,'Stmt H'!B:D,3,FALSE)</f>
        <v>Field Compressor Station Expense</v>
      </c>
      <c r="E8" s="346">
        <f t="shared" ref="E8:E39" si="2">HLOOKUP(Attach,$K$5:$M$125,$J8,FALSE)</f>
        <v>0</v>
      </c>
      <c r="G8" s="786">
        <f>ROUND(E8/$E$72*$G$72,2)</f>
        <v>0</v>
      </c>
      <c r="J8" s="75">
        <f t="shared" si="0"/>
        <v>4</v>
      </c>
      <c r="K8" s="1168">
        <v>0</v>
      </c>
      <c r="L8" s="1168">
        <v>0</v>
      </c>
      <c r="M8" s="937">
        <f>+K8+L8</f>
        <v>0</v>
      </c>
    </row>
    <row r="9" spans="1:13">
      <c r="A9" s="797">
        <f t="shared" si="1"/>
        <v>2</v>
      </c>
      <c r="B9" s="799">
        <v>756</v>
      </c>
      <c r="C9" s="8" t="str">
        <f>VLOOKUP(B9,'Stmt H'!B:D,3,FALSE)</f>
        <v>Field Measuring &amp; Regulating Station Expense</v>
      </c>
      <c r="E9" s="685">
        <f t="shared" si="2"/>
        <v>0</v>
      </c>
      <c r="G9" s="207">
        <f>ROUND(E9/$E$72*$G$72,2)</f>
        <v>0</v>
      </c>
      <c r="J9" s="75">
        <f t="shared" si="0"/>
        <v>5</v>
      </c>
      <c r="K9" s="1168">
        <v>0</v>
      </c>
      <c r="L9" s="1168">
        <v>0</v>
      </c>
      <c r="M9" s="937">
        <f t="shared" ref="M9:M72" si="3">+K9+L9</f>
        <v>0</v>
      </c>
    </row>
    <row r="10" spans="1:13">
      <c r="A10" s="800">
        <f t="shared" si="1"/>
        <v>3</v>
      </c>
      <c r="B10" s="799">
        <v>764</v>
      </c>
      <c r="C10" s="8" t="str">
        <f>VLOOKUP(B10,'Stmt H'!B:D,3,FALSE)</f>
        <v>Maintenance of Field Lines</v>
      </c>
      <c r="E10" s="685">
        <f t="shared" si="2"/>
        <v>0</v>
      </c>
      <c r="G10" s="207">
        <f t="shared" ref="G10:G12" si="4">ROUND(E10/$E$72*$G$72,2)</f>
        <v>0</v>
      </c>
      <c r="J10" s="75">
        <f t="shared" si="0"/>
        <v>6</v>
      </c>
      <c r="K10" s="1168">
        <v>0</v>
      </c>
      <c r="L10" s="1168">
        <v>0</v>
      </c>
      <c r="M10" s="937">
        <f t="shared" si="3"/>
        <v>0</v>
      </c>
    </row>
    <row r="11" spans="1:13">
      <c r="A11" s="800">
        <f t="shared" si="1"/>
        <v>4</v>
      </c>
      <c r="B11" s="799">
        <v>766</v>
      </c>
      <c r="C11" s="8" t="str">
        <f>VLOOKUP(B11,'Stmt H'!B:D,3,FALSE)</f>
        <v>Maintenance of Field Measuring &amp; Regulating Station Equipment</v>
      </c>
      <c r="E11" s="685">
        <f t="shared" si="2"/>
        <v>0</v>
      </c>
      <c r="G11" s="207">
        <f t="shared" si="4"/>
        <v>0</v>
      </c>
      <c r="J11" s="75">
        <f t="shared" si="0"/>
        <v>7</v>
      </c>
      <c r="K11" s="1168">
        <v>0</v>
      </c>
      <c r="L11" s="1168">
        <v>0</v>
      </c>
      <c r="M11" s="937">
        <f t="shared" si="3"/>
        <v>0</v>
      </c>
    </row>
    <row r="12" spans="1:13">
      <c r="A12" s="800">
        <f t="shared" si="1"/>
        <v>5</v>
      </c>
      <c r="B12" s="799">
        <v>767</v>
      </c>
      <c r="C12" s="8" t="str">
        <f>VLOOKUP(B12,'Stmt H'!B:D,3,FALSE)</f>
        <v>Maintenance of Purification Equipment</v>
      </c>
      <c r="E12" s="685">
        <f t="shared" si="2"/>
        <v>0</v>
      </c>
      <c r="G12" s="207">
        <f t="shared" si="4"/>
        <v>0</v>
      </c>
      <c r="J12" s="75">
        <f t="shared" si="0"/>
        <v>8</v>
      </c>
      <c r="K12" s="1168">
        <v>0</v>
      </c>
      <c r="L12" s="1168">
        <v>0</v>
      </c>
      <c r="M12" s="937">
        <f t="shared" si="3"/>
        <v>0</v>
      </c>
    </row>
    <row r="13" spans="1:13">
      <c r="A13" s="798">
        <f t="shared" si="1"/>
        <v>6</v>
      </c>
      <c r="B13" s="799">
        <v>814</v>
      </c>
      <c r="C13" s="8" t="str">
        <f>VLOOKUP(B13,'Stmt H'!B:D,3,FALSE)</f>
        <v>Operation Supervision &amp; Engineering</v>
      </c>
      <c r="E13" s="685">
        <f t="shared" si="2"/>
        <v>0</v>
      </c>
      <c r="G13" s="207">
        <f t="shared" ref="G13:G38" si="5">ROUND(E13/$E$72*$G$72,2)</f>
        <v>0</v>
      </c>
      <c r="J13" s="75">
        <f t="shared" si="0"/>
        <v>9</v>
      </c>
      <c r="K13" s="1168">
        <v>0</v>
      </c>
      <c r="L13" s="1168">
        <v>0</v>
      </c>
      <c r="M13" s="937">
        <f t="shared" si="3"/>
        <v>0</v>
      </c>
    </row>
    <row r="14" spans="1:13">
      <c r="A14" s="797">
        <f t="shared" si="1"/>
        <v>7</v>
      </c>
      <c r="B14" s="799">
        <v>816</v>
      </c>
      <c r="C14" s="8" t="str">
        <f>VLOOKUP(B14,'Stmt H'!B:D,3,FALSE)</f>
        <v>Wells Expense</v>
      </c>
      <c r="E14" s="685">
        <f t="shared" si="2"/>
        <v>0</v>
      </c>
      <c r="G14" s="207">
        <f t="shared" si="5"/>
        <v>0</v>
      </c>
      <c r="J14" s="75">
        <f t="shared" si="0"/>
        <v>10</v>
      </c>
      <c r="K14" s="1168">
        <v>0</v>
      </c>
      <c r="L14" s="1168">
        <v>0</v>
      </c>
      <c r="M14" s="937">
        <f t="shared" si="3"/>
        <v>0</v>
      </c>
    </row>
    <row r="15" spans="1:13">
      <c r="A15" s="797">
        <f t="shared" si="1"/>
        <v>8</v>
      </c>
      <c r="B15" s="799">
        <v>817</v>
      </c>
      <c r="C15" s="8" t="str">
        <f>VLOOKUP(B15,'Stmt H'!B:D,3,FALSE)</f>
        <v>Lines Expense</v>
      </c>
      <c r="E15" s="685">
        <f t="shared" si="2"/>
        <v>0</v>
      </c>
      <c r="G15" s="207">
        <f t="shared" si="5"/>
        <v>0</v>
      </c>
      <c r="J15" s="75">
        <f t="shared" si="0"/>
        <v>11</v>
      </c>
      <c r="K15" s="1168">
        <v>0</v>
      </c>
      <c r="L15" s="1168">
        <v>0</v>
      </c>
      <c r="M15" s="937">
        <f t="shared" si="3"/>
        <v>0</v>
      </c>
    </row>
    <row r="16" spans="1:13">
      <c r="A16" s="797">
        <f t="shared" si="1"/>
        <v>9</v>
      </c>
      <c r="B16" s="799">
        <v>818</v>
      </c>
      <c r="C16" s="8" t="str">
        <f>VLOOKUP(B16,'Stmt H'!B:D,3,FALSE)</f>
        <v>Compressor Station Expense</v>
      </c>
      <c r="E16" s="685">
        <f t="shared" si="2"/>
        <v>0</v>
      </c>
      <c r="G16" s="207">
        <f t="shared" si="5"/>
        <v>0</v>
      </c>
      <c r="J16" s="75">
        <f t="shared" si="0"/>
        <v>12</v>
      </c>
      <c r="K16" s="1168">
        <v>0</v>
      </c>
      <c r="L16" s="1168">
        <v>0</v>
      </c>
      <c r="M16" s="937">
        <f t="shared" si="3"/>
        <v>0</v>
      </c>
    </row>
    <row r="17" spans="1:14">
      <c r="A17" s="797">
        <f t="shared" si="1"/>
        <v>10</v>
      </c>
      <c r="B17" s="799">
        <v>820</v>
      </c>
      <c r="C17" s="8" t="str">
        <f>VLOOKUP(B17,'Stmt H'!B:D,3,FALSE)</f>
        <v xml:space="preserve">Storage - Measuring &amp; Regulating Station Expense </v>
      </c>
      <c r="E17" s="685">
        <f t="shared" si="2"/>
        <v>0</v>
      </c>
      <c r="G17" s="207">
        <f t="shared" si="5"/>
        <v>0</v>
      </c>
      <c r="J17" s="75">
        <f t="shared" si="0"/>
        <v>13</v>
      </c>
      <c r="K17" s="1168">
        <v>0</v>
      </c>
      <c r="L17" s="1168">
        <v>0</v>
      </c>
      <c r="M17" s="937">
        <f t="shared" si="3"/>
        <v>0</v>
      </c>
    </row>
    <row r="18" spans="1:14">
      <c r="A18" s="797">
        <f t="shared" si="1"/>
        <v>11</v>
      </c>
      <c r="B18" s="799">
        <v>821</v>
      </c>
      <c r="C18" s="8" t="str">
        <f>VLOOKUP(B18,'Stmt H'!B:D,3,FALSE)</f>
        <v>Purification Expense</v>
      </c>
      <c r="E18" s="685">
        <f t="shared" si="2"/>
        <v>0</v>
      </c>
      <c r="G18" s="207">
        <f t="shared" si="5"/>
        <v>0</v>
      </c>
      <c r="J18" s="75">
        <f t="shared" si="0"/>
        <v>14</v>
      </c>
      <c r="K18" s="1168">
        <v>0</v>
      </c>
      <c r="L18" s="1168">
        <v>0</v>
      </c>
      <c r="M18" s="937">
        <f t="shared" si="3"/>
        <v>0</v>
      </c>
    </row>
    <row r="19" spans="1:14">
      <c r="A19" s="797">
        <f t="shared" si="1"/>
        <v>12</v>
      </c>
      <c r="B19" s="799">
        <v>830</v>
      </c>
      <c r="C19" s="8" t="str">
        <f>VLOOKUP(B19,'Stmt H'!B:D,3,FALSE)</f>
        <v>Maintenance Supervision &amp; Engineering</v>
      </c>
      <c r="E19" s="685">
        <f t="shared" si="2"/>
        <v>0</v>
      </c>
      <c r="G19" s="207">
        <f t="shared" si="5"/>
        <v>0</v>
      </c>
      <c r="J19" s="75">
        <f t="shared" si="0"/>
        <v>15</v>
      </c>
      <c r="K19" s="1168">
        <v>0</v>
      </c>
      <c r="L19" s="1168">
        <v>0</v>
      </c>
      <c r="M19" s="937">
        <f t="shared" si="3"/>
        <v>0</v>
      </c>
    </row>
    <row r="20" spans="1:14">
      <c r="A20" s="797">
        <f t="shared" si="1"/>
        <v>13</v>
      </c>
      <c r="B20" s="799">
        <v>832</v>
      </c>
      <c r="C20" s="8" t="str">
        <f>VLOOKUP(B20,'Stmt H'!B:D,3,FALSE)</f>
        <v>Maintenance of Reservoirs &amp; Wells</v>
      </c>
      <c r="E20" s="685">
        <f t="shared" si="2"/>
        <v>0</v>
      </c>
      <c r="G20" s="207">
        <f t="shared" si="5"/>
        <v>0</v>
      </c>
      <c r="J20" s="75">
        <f t="shared" si="0"/>
        <v>16</v>
      </c>
      <c r="K20" s="1168">
        <v>0</v>
      </c>
      <c r="L20" s="1168">
        <v>0</v>
      </c>
      <c r="M20" s="937">
        <f t="shared" si="3"/>
        <v>0</v>
      </c>
    </row>
    <row r="21" spans="1:14">
      <c r="A21" s="797">
        <f t="shared" si="1"/>
        <v>14</v>
      </c>
      <c r="B21" s="799">
        <v>833</v>
      </c>
      <c r="C21" s="8" t="str">
        <f>VLOOKUP(B21,'Stmt H'!B:D,3,FALSE)</f>
        <v>Maintenance of Lines</v>
      </c>
      <c r="E21" s="685">
        <f t="shared" si="2"/>
        <v>0</v>
      </c>
      <c r="G21" s="207">
        <f t="shared" si="5"/>
        <v>0</v>
      </c>
      <c r="J21" s="75">
        <f t="shared" si="0"/>
        <v>17</v>
      </c>
      <c r="K21" s="1168">
        <v>0</v>
      </c>
      <c r="L21" s="1168">
        <v>0</v>
      </c>
      <c r="M21" s="937">
        <f t="shared" si="3"/>
        <v>0</v>
      </c>
    </row>
    <row r="22" spans="1:14">
      <c r="A22" s="797">
        <f t="shared" si="1"/>
        <v>15</v>
      </c>
      <c r="B22" s="799">
        <v>834</v>
      </c>
      <c r="C22" s="8" t="str">
        <f>VLOOKUP(B22,'Stmt H'!B:D,3,FALSE)</f>
        <v>Maintenance of Compressor Station Equipment</v>
      </c>
      <c r="E22" s="685">
        <f t="shared" si="2"/>
        <v>0</v>
      </c>
      <c r="G22" s="207">
        <f t="shared" si="5"/>
        <v>0</v>
      </c>
      <c r="J22" s="75">
        <f t="shared" si="0"/>
        <v>18</v>
      </c>
      <c r="K22" s="1168">
        <v>0</v>
      </c>
      <c r="L22" s="1168">
        <v>0</v>
      </c>
      <c r="M22" s="937">
        <f t="shared" si="3"/>
        <v>0</v>
      </c>
    </row>
    <row r="23" spans="1:14">
      <c r="A23" s="797">
        <f t="shared" si="1"/>
        <v>16</v>
      </c>
      <c r="B23" s="799">
        <v>835</v>
      </c>
      <c r="C23" s="8" t="str">
        <f>VLOOKUP(B23,'Stmt H'!B:D,3,FALSE)</f>
        <v>Maintenance of Measuring &amp; Regulating Station Equipment</v>
      </c>
      <c r="E23" s="685">
        <f t="shared" si="2"/>
        <v>0</v>
      </c>
      <c r="G23" s="207">
        <f t="shared" si="5"/>
        <v>0</v>
      </c>
      <c r="J23" s="75">
        <f t="shared" si="0"/>
        <v>19</v>
      </c>
      <c r="K23" s="1168">
        <v>0</v>
      </c>
      <c r="L23" s="1168">
        <v>0</v>
      </c>
      <c r="M23" s="937">
        <f t="shared" si="3"/>
        <v>0</v>
      </c>
    </row>
    <row r="24" spans="1:14">
      <c r="A24" s="797">
        <f t="shared" si="1"/>
        <v>17</v>
      </c>
      <c r="B24" s="799">
        <v>836</v>
      </c>
      <c r="C24" s="8" t="str">
        <f>VLOOKUP(B24,'Stmt H'!B:D,3,FALSE)</f>
        <v>Maintenance of Purification Equipment</v>
      </c>
      <c r="E24" s="685">
        <f t="shared" si="2"/>
        <v>0</v>
      </c>
      <c r="G24" s="207">
        <f t="shared" si="5"/>
        <v>0</v>
      </c>
      <c r="J24" s="75">
        <f t="shared" si="0"/>
        <v>20</v>
      </c>
      <c r="K24" s="1168">
        <v>0</v>
      </c>
      <c r="L24" s="1168">
        <v>0</v>
      </c>
      <c r="M24" s="937">
        <f t="shared" si="3"/>
        <v>0</v>
      </c>
    </row>
    <row r="25" spans="1:14">
      <c r="A25" s="797">
        <f t="shared" si="1"/>
        <v>18</v>
      </c>
      <c r="B25" s="799">
        <v>850</v>
      </c>
      <c r="C25" s="8" t="str">
        <f>VLOOKUP(B25,'Stmt H'!B:D,3,FALSE)</f>
        <v>Operation Supervision &amp; Engineering</v>
      </c>
      <c r="E25" s="685">
        <f t="shared" si="2"/>
        <v>974.7</v>
      </c>
      <c r="F25" s="22"/>
      <c r="G25" s="207">
        <f t="shared" si="5"/>
        <v>-63.37</v>
      </c>
      <c r="H25" s="329"/>
      <c r="I25" s="329"/>
      <c r="J25" s="75">
        <f t="shared" si="0"/>
        <v>21</v>
      </c>
      <c r="K25" s="1168">
        <v>974.7</v>
      </c>
      <c r="L25" s="1168">
        <v>0</v>
      </c>
      <c r="M25" s="937">
        <f t="shared" si="3"/>
        <v>974.7</v>
      </c>
      <c r="N25" s="75"/>
    </row>
    <row r="26" spans="1:14">
      <c r="A26" s="797">
        <f t="shared" si="1"/>
        <v>19</v>
      </c>
      <c r="B26" s="799">
        <v>851</v>
      </c>
      <c r="C26" s="8" t="str">
        <f>VLOOKUP(B26,'Stmt H'!B:D,3,FALSE)</f>
        <v>System Control &amp; Load Dispatching</v>
      </c>
      <c r="E26" s="685">
        <f t="shared" si="2"/>
        <v>112.07</v>
      </c>
      <c r="F26" s="157"/>
      <c r="G26" s="207">
        <f t="shared" si="5"/>
        <v>-7.29</v>
      </c>
      <c r="H26" s="329"/>
      <c r="I26" s="329"/>
      <c r="J26" s="75">
        <f t="shared" si="0"/>
        <v>22</v>
      </c>
      <c r="K26" s="1168">
        <f>91.94+20.13</f>
        <v>112.07</v>
      </c>
      <c r="L26" s="1168">
        <v>0</v>
      </c>
      <c r="M26" s="937">
        <f t="shared" si="3"/>
        <v>112.07</v>
      </c>
      <c r="N26" s="75"/>
    </row>
    <row r="27" spans="1:14">
      <c r="A27" s="798">
        <f t="shared" si="1"/>
        <v>20</v>
      </c>
      <c r="B27" s="799">
        <v>852</v>
      </c>
      <c r="C27" s="8" t="str">
        <f>VLOOKUP(B27,'Stmt H'!B:D,3,FALSE)</f>
        <v>Communication System Expenses</v>
      </c>
      <c r="E27" s="685">
        <f t="shared" si="2"/>
        <v>0</v>
      </c>
      <c r="F27" s="157"/>
      <c r="G27" s="207">
        <f t="shared" si="5"/>
        <v>0</v>
      </c>
      <c r="H27" s="329"/>
      <c r="I27" s="329"/>
      <c r="J27" s="75">
        <f t="shared" si="0"/>
        <v>23</v>
      </c>
      <c r="K27" s="1168">
        <f>20.13-20.13</f>
        <v>0</v>
      </c>
      <c r="L27" s="1168">
        <v>0</v>
      </c>
      <c r="M27" s="937">
        <f t="shared" si="3"/>
        <v>0</v>
      </c>
      <c r="N27" s="75"/>
    </row>
    <row r="28" spans="1:14">
      <c r="A28" s="798">
        <f t="shared" si="1"/>
        <v>21</v>
      </c>
      <c r="B28" s="7">
        <v>853</v>
      </c>
      <c r="C28" s="8" t="str">
        <f>VLOOKUP(B28,'Stmt H'!B:D,3,FALSE)</f>
        <v>Compressor Labor &amp; Expense</v>
      </c>
      <c r="E28" s="685">
        <f t="shared" si="2"/>
        <v>0</v>
      </c>
      <c r="F28" s="157"/>
      <c r="G28" s="207">
        <f t="shared" si="5"/>
        <v>0</v>
      </c>
      <c r="H28" s="329"/>
      <c r="I28" s="329"/>
      <c r="J28" s="75">
        <f t="shared" si="0"/>
        <v>24</v>
      </c>
      <c r="K28" s="1168">
        <v>0</v>
      </c>
      <c r="L28" s="1168">
        <v>0</v>
      </c>
      <c r="M28" s="937">
        <f t="shared" si="3"/>
        <v>0</v>
      </c>
      <c r="N28" s="62"/>
    </row>
    <row r="29" spans="1:14">
      <c r="A29" s="798">
        <f t="shared" si="1"/>
        <v>22</v>
      </c>
      <c r="B29" s="7">
        <v>856</v>
      </c>
      <c r="C29" s="8" t="str">
        <f>VLOOKUP(B29,'Stmt H'!B:D,3,FALSE)</f>
        <v>Mains Expense</v>
      </c>
      <c r="E29" s="685">
        <f t="shared" si="2"/>
        <v>46.92</v>
      </c>
      <c r="F29" s="157"/>
      <c r="G29" s="207">
        <f t="shared" si="5"/>
        <v>-3.05</v>
      </c>
      <c r="H29" s="329"/>
      <c r="I29" s="329"/>
      <c r="J29" s="75">
        <f t="shared" si="0"/>
        <v>25</v>
      </c>
      <c r="K29" s="1168">
        <v>46.92</v>
      </c>
      <c r="L29" s="1168">
        <v>0</v>
      </c>
      <c r="M29" s="937">
        <f t="shared" si="3"/>
        <v>46.92</v>
      </c>
    </row>
    <row r="30" spans="1:14">
      <c r="A30" s="509">
        <f t="shared" ref="A30:A81" si="6">A29+1</f>
        <v>23</v>
      </c>
      <c r="B30" s="7">
        <v>857</v>
      </c>
      <c r="C30" s="8" t="str">
        <f>VLOOKUP(B30,'Stmt H'!B:D,3,FALSE)</f>
        <v>Measuring &amp; Regulating Station Expense</v>
      </c>
      <c r="E30" s="685">
        <f t="shared" si="2"/>
        <v>17.32</v>
      </c>
      <c r="F30" s="157"/>
      <c r="G30" s="207">
        <f t="shared" si="5"/>
        <v>-1.1299999999999999</v>
      </c>
      <c r="H30" s="329"/>
      <c r="I30" s="329"/>
      <c r="J30" s="75">
        <f t="shared" si="0"/>
        <v>26</v>
      </c>
      <c r="K30" s="1168">
        <v>17.32</v>
      </c>
      <c r="L30" s="1168">
        <v>0</v>
      </c>
      <c r="M30" s="937">
        <f t="shared" si="3"/>
        <v>17.32</v>
      </c>
    </row>
    <row r="31" spans="1:14">
      <c r="A31" s="509">
        <f t="shared" si="6"/>
        <v>24</v>
      </c>
      <c r="B31" s="7">
        <v>859</v>
      </c>
      <c r="C31" s="8" t="str">
        <f>VLOOKUP(B31,'Stmt H'!B:D,3,FALSE)</f>
        <v>Other Expenses</v>
      </c>
      <c r="E31" s="685">
        <f t="shared" si="2"/>
        <v>1105.9300000000003</v>
      </c>
      <c r="F31" s="157"/>
      <c r="G31" s="207">
        <f t="shared" si="5"/>
        <v>-71.900000000000006</v>
      </c>
      <c r="H31" s="329"/>
      <c r="I31" s="329"/>
      <c r="J31" s="75">
        <f t="shared" si="0"/>
        <v>27</v>
      </c>
      <c r="K31" s="1168">
        <v>1105.9300000000003</v>
      </c>
      <c r="L31" s="1168">
        <v>0</v>
      </c>
      <c r="M31" s="937">
        <f t="shared" si="3"/>
        <v>1105.9300000000003</v>
      </c>
    </row>
    <row r="32" spans="1:14">
      <c r="A32" s="509">
        <f t="shared" si="6"/>
        <v>25</v>
      </c>
      <c r="B32" s="7">
        <v>860</v>
      </c>
      <c r="C32" s="8" t="str">
        <f>VLOOKUP(B32,'Stmt H'!B:D,3,FALSE)</f>
        <v>Rents</v>
      </c>
      <c r="E32" s="685">
        <f t="shared" si="2"/>
        <v>0</v>
      </c>
      <c r="F32" s="157"/>
      <c r="G32" s="207">
        <f t="shared" si="5"/>
        <v>0</v>
      </c>
      <c r="H32" s="329"/>
      <c r="I32" s="329"/>
      <c r="J32" s="75">
        <f t="shared" si="0"/>
        <v>28</v>
      </c>
      <c r="K32" s="1168">
        <v>0</v>
      </c>
      <c r="L32" s="1168">
        <v>0</v>
      </c>
      <c r="M32" s="937">
        <f t="shared" si="3"/>
        <v>0</v>
      </c>
    </row>
    <row r="33" spans="1:13">
      <c r="A33" s="509">
        <f t="shared" si="6"/>
        <v>26</v>
      </c>
      <c r="B33" s="7">
        <v>861</v>
      </c>
      <c r="C33" s="8" t="str">
        <f>VLOOKUP(B33,'Stmt H'!B:D,3,FALSE)</f>
        <v>Maintenance Supervision &amp; Engineering</v>
      </c>
      <c r="E33" s="685">
        <f t="shared" si="2"/>
        <v>1128.5</v>
      </c>
      <c r="F33" s="157"/>
      <c r="G33" s="207">
        <f t="shared" si="5"/>
        <v>-73.37</v>
      </c>
      <c r="H33" s="329"/>
      <c r="I33" s="329"/>
      <c r="J33" s="75">
        <f t="shared" si="0"/>
        <v>29</v>
      </c>
      <c r="K33" s="1168">
        <v>1128.5</v>
      </c>
      <c r="L33" s="1168">
        <v>0</v>
      </c>
      <c r="M33" s="937">
        <f t="shared" si="3"/>
        <v>1128.5</v>
      </c>
    </row>
    <row r="34" spans="1:13">
      <c r="A34" s="509">
        <f t="shared" si="6"/>
        <v>27</v>
      </c>
      <c r="B34" s="508">
        <v>862</v>
      </c>
      <c r="C34" s="8" t="str">
        <f>VLOOKUP(B34,'Stmt H'!B:D,3,FALSE)</f>
        <v>Maintenance of Structures &amp; Improvements</v>
      </c>
      <c r="E34" s="685">
        <f t="shared" si="2"/>
        <v>0</v>
      </c>
      <c r="F34" s="157"/>
      <c r="G34" s="207">
        <f t="shared" si="5"/>
        <v>0</v>
      </c>
      <c r="H34" s="329"/>
      <c r="I34" s="329"/>
      <c r="J34" s="75">
        <f t="shared" si="0"/>
        <v>30</v>
      </c>
      <c r="K34" s="1168">
        <v>0</v>
      </c>
      <c r="L34" s="1168">
        <v>0</v>
      </c>
      <c r="M34" s="937">
        <f t="shared" si="3"/>
        <v>0</v>
      </c>
    </row>
    <row r="35" spans="1:13">
      <c r="A35" s="509">
        <f t="shared" si="6"/>
        <v>28</v>
      </c>
      <c r="B35" s="7">
        <v>863</v>
      </c>
      <c r="C35" s="8" t="str">
        <f>VLOOKUP(B35,'Stmt H'!B:D,3,FALSE)</f>
        <v>Maintenance of Mains</v>
      </c>
      <c r="E35" s="685">
        <f t="shared" si="2"/>
        <v>412.29999999999995</v>
      </c>
      <c r="F35" s="157"/>
      <c r="G35" s="207">
        <f t="shared" si="5"/>
        <v>-26.8</v>
      </c>
      <c r="H35" s="329"/>
      <c r="I35" s="329"/>
      <c r="J35" s="75">
        <f t="shared" si="0"/>
        <v>31</v>
      </c>
      <c r="K35" s="1168">
        <f>165.94+141.23+105.13</f>
        <v>412.29999999999995</v>
      </c>
      <c r="L35" s="1168">
        <v>0</v>
      </c>
      <c r="M35" s="937">
        <f t="shared" si="3"/>
        <v>412.29999999999995</v>
      </c>
    </row>
    <row r="36" spans="1:13">
      <c r="A36" s="509">
        <f t="shared" si="6"/>
        <v>29</v>
      </c>
      <c r="B36" s="7">
        <v>864</v>
      </c>
      <c r="C36" s="8" t="str">
        <f>VLOOKUP(B36,'Stmt H'!B:D,3,FALSE)</f>
        <v>Maintenance of Compressor Station Equipment</v>
      </c>
      <c r="E36" s="685">
        <f t="shared" si="2"/>
        <v>0</v>
      </c>
      <c r="F36" s="157"/>
      <c r="G36" s="207">
        <f t="shared" si="5"/>
        <v>0</v>
      </c>
      <c r="H36" s="329"/>
      <c r="I36" s="329"/>
      <c r="J36" s="75">
        <f t="shared" si="0"/>
        <v>32</v>
      </c>
      <c r="K36" s="1168">
        <v>0</v>
      </c>
      <c r="L36" s="1168">
        <v>0</v>
      </c>
      <c r="M36" s="937">
        <f t="shared" si="3"/>
        <v>0</v>
      </c>
    </row>
    <row r="37" spans="1:13">
      <c r="A37" s="509">
        <f t="shared" si="6"/>
        <v>30</v>
      </c>
      <c r="B37" s="7">
        <v>865</v>
      </c>
      <c r="C37" s="8" t="str">
        <f>VLOOKUP(B37,'Stmt H'!B:D,3,FALSE)</f>
        <v>Maintenance of Measuring &amp; Regulating Station Equipment</v>
      </c>
      <c r="E37" s="685">
        <f t="shared" si="2"/>
        <v>0</v>
      </c>
      <c r="F37" s="157"/>
      <c r="G37" s="207">
        <f t="shared" si="5"/>
        <v>0</v>
      </c>
      <c r="H37" s="329"/>
      <c r="I37" s="329"/>
      <c r="J37" s="75">
        <f t="shared" si="0"/>
        <v>33</v>
      </c>
      <c r="K37" s="1168">
        <v>0</v>
      </c>
      <c r="L37" s="1168">
        <v>0</v>
      </c>
      <c r="M37" s="937">
        <f t="shared" si="3"/>
        <v>0</v>
      </c>
    </row>
    <row r="38" spans="1:13">
      <c r="A38" s="798">
        <f t="shared" si="6"/>
        <v>31</v>
      </c>
      <c r="B38" s="798">
        <v>866</v>
      </c>
      <c r="C38" s="8" t="str">
        <f>VLOOKUP(B38,'Stmt H'!B:D,3,FALSE)</f>
        <v>Maintenance of Communication Equipment</v>
      </c>
      <c r="E38" s="685">
        <f t="shared" si="2"/>
        <v>0</v>
      </c>
      <c r="F38" s="157"/>
      <c r="G38" s="207">
        <f t="shared" si="5"/>
        <v>0</v>
      </c>
      <c r="H38" s="329"/>
      <c r="I38" s="329"/>
      <c r="J38" s="75">
        <f t="shared" si="0"/>
        <v>34</v>
      </c>
      <c r="K38" s="1168">
        <v>0</v>
      </c>
      <c r="L38" s="1168">
        <v>0</v>
      </c>
      <c r="M38" s="937">
        <f t="shared" si="3"/>
        <v>0</v>
      </c>
    </row>
    <row r="39" spans="1:13">
      <c r="A39" s="798">
        <f t="shared" si="6"/>
        <v>32</v>
      </c>
      <c r="B39" s="7">
        <v>867</v>
      </c>
      <c r="C39" s="8" t="str">
        <f>VLOOKUP(B39,'Stmt H'!B:D,3,FALSE)</f>
        <v>Maintenance of Other Equipment</v>
      </c>
      <c r="E39" s="685">
        <f t="shared" si="2"/>
        <v>0</v>
      </c>
      <c r="F39" s="157"/>
      <c r="G39" s="207">
        <f t="shared" ref="G39:G70" si="7">ROUND(E39/$E$72*$G$72,2)</f>
        <v>0</v>
      </c>
      <c r="H39" s="329"/>
      <c r="I39" s="329"/>
      <c r="J39" s="75">
        <f t="shared" si="0"/>
        <v>35</v>
      </c>
      <c r="K39" s="1168">
        <v>0</v>
      </c>
      <c r="L39" s="1168">
        <v>0</v>
      </c>
      <c r="M39" s="937">
        <f t="shared" si="3"/>
        <v>0</v>
      </c>
    </row>
    <row r="40" spans="1:13">
      <c r="A40" s="798">
        <f t="shared" si="6"/>
        <v>33</v>
      </c>
      <c r="B40" s="508">
        <v>870</v>
      </c>
      <c r="C40" s="8" t="str">
        <f>VLOOKUP(B40,'Stmt H'!B:D,3,FALSE)</f>
        <v>Dist. Operating and Supervision Engineering</v>
      </c>
      <c r="E40" s="685">
        <f t="shared" ref="E40:E70" si="8">HLOOKUP(Attach,$K$5:$M$125,$J40,FALSE)</f>
        <v>425449.72000000015</v>
      </c>
      <c r="F40" s="157"/>
      <c r="G40" s="207">
        <f t="shared" si="7"/>
        <v>-27658.97</v>
      </c>
      <c r="H40" s="329"/>
      <c r="I40" s="329"/>
      <c r="J40" s="75">
        <f t="shared" si="0"/>
        <v>36</v>
      </c>
      <c r="K40" s="1168">
        <v>198574.35</v>
      </c>
      <c r="L40" s="1168">
        <v>226875.37000000014</v>
      </c>
      <c r="M40" s="937">
        <f t="shared" si="3"/>
        <v>425449.72000000015</v>
      </c>
    </row>
    <row r="41" spans="1:13">
      <c r="A41" s="798">
        <f t="shared" si="6"/>
        <v>34</v>
      </c>
      <c r="B41" s="508">
        <v>871</v>
      </c>
      <c r="C41" s="8" t="str">
        <f>VLOOKUP(B41,'Stmt H'!B:D,3,FALSE)</f>
        <v>Dist. Load Dispatching</v>
      </c>
      <c r="E41" s="685">
        <f t="shared" si="8"/>
        <v>28.080000000000002</v>
      </c>
      <c r="F41" s="157"/>
      <c r="G41" s="207">
        <f t="shared" si="7"/>
        <v>-1.83</v>
      </c>
      <c r="H41" s="329"/>
      <c r="I41" s="329"/>
      <c r="J41" s="75">
        <f t="shared" si="0"/>
        <v>37</v>
      </c>
      <c r="K41" s="1168">
        <v>0</v>
      </c>
      <c r="L41" s="1168">
        <v>28.080000000000002</v>
      </c>
      <c r="M41" s="937">
        <f t="shared" si="3"/>
        <v>28.080000000000002</v>
      </c>
    </row>
    <row r="42" spans="1:13">
      <c r="A42" s="509">
        <f t="shared" si="6"/>
        <v>35</v>
      </c>
      <c r="B42" s="508">
        <v>874</v>
      </c>
      <c r="C42" s="8" t="str">
        <f>VLOOKUP(B42,'Stmt H'!B:D,3,FALSE)</f>
        <v>Oper./Inspect Underground Dist. Mains - Gas</v>
      </c>
      <c r="E42" s="685">
        <f t="shared" si="8"/>
        <v>783159.79</v>
      </c>
      <c r="F42" s="157"/>
      <c r="G42" s="207">
        <f t="shared" si="7"/>
        <v>-50914.1</v>
      </c>
      <c r="H42" s="329"/>
      <c r="I42" s="329"/>
      <c r="J42" s="75">
        <f t="shared" si="0"/>
        <v>38</v>
      </c>
      <c r="K42" s="1168">
        <v>260865.01999999996</v>
      </c>
      <c r="L42" s="1168">
        <v>522294.77000000014</v>
      </c>
      <c r="M42" s="937">
        <f t="shared" si="3"/>
        <v>783159.79</v>
      </c>
    </row>
    <row r="43" spans="1:13">
      <c r="A43" s="509">
        <f t="shared" si="6"/>
        <v>36</v>
      </c>
      <c r="B43" s="508">
        <v>875</v>
      </c>
      <c r="C43" s="8" t="str">
        <f>VLOOKUP(B43,'Stmt H'!B:D,3,FALSE)</f>
        <v>Dist. Measuring &amp; Regulating Station Expense - General</v>
      </c>
      <c r="E43" s="685">
        <f t="shared" si="8"/>
        <v>112813.09999999995</v>
      </c>
      <c r="F43" s="157"/>
      <c r="G43" s="207">
        <f t="shared" si="7"/>
        <v>-7334.11</v>
      </c>
      <c r="H43" s="329"/>
      <c r="I43" s="329"/>
      <c r="J43" s="75">
        <f t="shared" si="0"/>
        <v>39</v>
      </c>
      <c r="K43" s="1168">
        <v>54346.129999999976</v>
      </c>
      <c r="L43" s="1168">
        <v>58466.969999999979</v>
      </c>
      <c r="M43" s="937">
        <f t="shared" si="3"/>
        <v>112813.09999999995</v>
      </c>
    </row>
    <row r="44" spans="1:13">
      <c r="A44" s="509">
        <f t="shared" si="6"/>
        <v>37</v>
      </c>
      <c r="B44" s="508">
        <v>876</v>
      </c>
      <c r="C44" s="8" t="str">
        <f>VLOOKUP(B44,'Stmt H'!B:D,3,FALSE)</f>
        <v>Dist. Measuring &amp; Regulating Station Expense - Industrial</v>
      </c>
      <c r="E44" s="685">
        <f t="shared" si="8"/>
        <v>3783.3</v>
      </c>
      <c r="F44" s="157"/>
      <c r="G44" s="207">
        <f t="shared" si="7"/>
        <v>-245.96</v>
      </c>
      <c r="H44" s="329"/>
      <c r="I44" s="329"/>
      <c r="J44" s="75">
        <f t="shared" si="0"/>
        <v>40</v>
      </c>
      <c r="K44" s="1168">
        <v>549.91</v>
      </c>
      <c r="L44" s="1168">
        <v>3233.3900000000003</v>
      </c>
      <c r="M44" s="937">
        <f t="shared" si="3"/>
        <v>3783.3</v>
      </c>
    </row>
    <row r="45" spans="1:13">
      <c r="A45" s="509">
        <f t="shared" si="6"/>
        <v>38</v>
      </c>
      <c r="B45" s="508">
        <v>877</v>
      </c>
      <c r="C45" s="8" t="str">
        <f>VLOOKUP(B45,'Stmt H'!B:D,3,FALSE)</f>
        <v>Measuring &amp; Regulating Station Expense - City Gate Check Station</v>
      </c>
      <c r="E45" s="685">
        <f t="shared" si="8"/>
        <v>26297.899999999994</v>
      </c>
      <c r="F45" s="157"/>
      <c r="G45" s="207">
        <f t="shared" si="7"/>
        <v>-1709.66</v>
      </c>
      <c r="H45" s="329"/>
      <c r="I45" s="329"/>
      <c r="J45" s="75">
        <f t="shared" si="0"/>
        <v>41</v>
      </c>
      <c r="K45" s="1168">
        <v>8803.19</v>
      </c>
      <c r="L45" s="1168">
        <v>17494.709999999992</v>
      </c>
      <c r="M45" s="937">
        <f t="shared" si="3"/>
        <v>26297.899999999994</v>
      </c>
    </row>
    <row r="46" spans="1:13">
      <c r="A46" s="509">
        <f t="shared" si="6"/>
        <v>39</v>
      </c>
      <c r="B46" s="508">
        <v>878</v>
      </c>
      <c r="C46" s="8" t="str">
        <f>VLOOKUP(B46,'Stmt H'!B:D,3,FALSE)</f>
        <v>Oper./Inspect Meters &amp; Collect Data - Gas</v>
      </c>
      <c r="E46" s="685">
        <f t="shared" si="8"/>
        <v>271037.13</v>
      </c>
      <c r="F46" s="157"/>
      <c r="G46" s="207">
        <f t="shared" si="7"/>
        <v>-17620.43</v>
      </c>
      <c r="H46" s="329"/>
      <c r="I46" s="329"/>
      <c r="J46" s="75">
        <f t="shared" si="0"/>
        <v>42</v>
      </c>
      <c r="K46" s="1168">
        <v>124321.66</v>
      </c>
      <c r="L46" s="1168">
        <v>146715.46999999997</v>
      </c>
      <c r="M46" s="937">
        <f t="shared" si="3"/>
        <v>271037.13</v>
      </c>
    </row>
    <row r="47" spans="1:13">
      <c r="A47" s="509">
        <f t="shared" si="6"/>
        <v>40</v>
      </c>
      <c r="B47" s="508">
        <v>879</v>
      </c>
      <c r="C47" s="8" t="str">
        <f>VLOOKUP(B47,'Stmt H'!B:D,3,FALSE)</f>
        <v>Dist. Customer Installation Expense</v>
      </c>
      <c r="E47" s="685">
        <f t="shared" si="8"/>
        <v>167121.84999999998</v>
      </c>
      <c r="F47" s="157"/>
      <c r="G47" s="207">
        <f t="shared" si="7"/>
        <v>-10864.78</v>
      </c>
      <c r="H47" s="329"/>
      <c r="I47" s="329"/>
      <c r="J47" s="75">
        <f t="shared" si="0"/>
        <v>43</v>
      </c>
      <c r="K47" s="1168">
        <v>84699.709999999992</v>
      </c>
      <c r="L47" s="1168">
        <v>82422.139999999985</v>
      </c>
      <c r="M47" s="937">
        <f t="shared" si="3"/>
        <v>167121.84999999998</v>
      </c>
    </row>
    <row r="48" spans="1:13">
      <c r="A48" s="509">
        <f t="shared" si="6"/>
        <v>41</v>
      </c>
      <c r="B48" s="508">
        <v>880</v>
      </c>
      <c r="C48" s="8" t="str">
        <f>VLOOKUP(B48,'Stmt H'!B:D,3,FALSE)</f>
        <v>Dist. Ops. Other Expenses</v>
      </c>
      <c r="E48" s="685">
        <f t="shared" si="8"/>
        <v>1319952.26</v>
      </c>
      <c r="F48" s="157"/>
      <c r="G48" s="207">
        <f t="shared" si="7"/>
        <v>-85811.59</v>
      </c>
      <c r="H48" s="329"/>
      <c r="I48" s="329"/>
      <c r="J48" s="75">
        <f t="shared" si="0"/>
        <v>44</v>
      </c>
      <c r="K48" s="1168">
        <v>472041.31999999977</v>
      </c>
      <c r="L48" s="1168">
        <v>847910.94000000029</v>
      </c>
      <c r="M48" s="937">
        <f t="shared" si="3"/>
        <v>1319952.26</v>
      </c>
    </row>
    <row r="49" spans="1:13">
      <c r="A49" s="509">
        <f t="shared" si="6"/>
        <v>42</v>
      </c>
      <c r="B49" s="508">
        <v>885</v>
      </c>
      <c r="C49" s="8" t="str">
        <f>VLOOKUP(B49,'Stmt H'!B:D,3,FALSE)</f>
        <v>Dist. Maint. Supervision &amp; Engineering</v>
      </c>
      <c r="E49" s="685">
        <f t="shared" si="8"/>
        <v>0</v>
      </c>
      <c r="F49" s="157"/>
      <c r="G49" s="207">
        <f t="shared" si="7"/>
        <v>0</v>
      </c>
      <c r="H49" s="329"/>
      <c r="I49" s="329"/>
      <c r="J49" s="75">
        <f t="shared" si="0"/>
        <v>45</v>
      </c>
      <c r="K49" s="1168">
        <v>0</v>
      </c>
      <c r="L49" s="1168">
        <v>0</v>
      </c>
      <c r="M49" s="937">
        <f t="shared" si="3"/>
        <v>0</v>
      </c>
    </row>
    <row r="50" spans="1:13">
      <c r="A50" s="509">
        <f t="shared" si="6"/>
        <v>43</v>
      </c>
      <c r="B50" s="508">
        <v>886</v>
      </c>
      <c r="C50" s="8" t="str">
        <f>VLOOKUP(B50,'Stmt H'!B:D,3,FALSE)</f>
        <v>Maintenance of Structures &amp; Improvements</v>
      </c>
      <c r="E50" s="685">
        <f t="shared" si="8"/>
        <v>0</v>
      </c>
      <c r="F50" s="157"/>
      <c r="G50" s="207">
        <f t="shared" si="7"/>
        <v>0</v>
      </c>
      <c r="H50" s="329"/>
      <c r="I50" s="329"/>
      <c r="J50" s="75">
        <f t="shared" si="0"/>
        <v>46</v>
      </c>
      <c r="K50" s="1168">
        <v>0</v>
      </c>
      <c r="L50" s="1168">
        <v>0</v>
      </c>
      <c r="M50" s="937">
        <f t="shared" si="3"/>
        <v>0</v>
      </c>
    </row>
    <row r="51" spans="1:13">
      <c r="A51" s="509">
        <f t="shared" si="6"/>
        <v>44</v>
      </c>
      <c r="B51" s="508">
        <v>887</v>
      </c>
      <c r="C51" s="8" t="str">
        <f>VLOOKUP(B51,'Stmt H'!B:D,3,FALSE)</f>
        <v>Perf. Underground Distribution Line Maintenance - Gas</v>
      </c>
      <c r="E51" s="685">
        <f t="shared" si="8"/>
        <v>77878.809999999983</v>
      </c>
      <c r="F51" s="157"/>
      <c r="G51" s="207">
        <f t="shared" si="7"/>
        <v>-5062.99</v>
      </c>
      <c r="H51" s="329"/>
      <c r="I51" s="329"/>
      <c r="J51" s="75">
        <f t="shared" si="0"/>
        <v>47</v>
      </c>
      <c r="K51" s="1168">
        <v>59330.039999999986</v>
      </c>
      <c r="L51" s="1168">
        <v>18548.769999999997</v>
      </c>
      <c r="M51" s="937">
        <f t="shared" si="3"/>
        <v>77878.809999999983</v>
      </c>
    </row>
    <row r="52" spans="1:13">
      <c r="A52" s="509">
        <f t="shared" si="6"/>
        <v>45</v>
      </c>
      <c r="B52" s="508">
        <v>888</v>
      </c>
      <c r="C52" s="8" t="str">
        <f>VLOOKUP(B52,'Stmt H'!B:D,3,FALSE)</f>
        <v>Dist. Maint. of Compressor Station Equipment</v>
      </c>
      <c r="E52" s="685">
        <f t="shared" si="8"/>
        <v>130.42000000000002</v>
      </c>
      <c r="F52" s="157"/>
      <c r="G52" s="207">
        <f t="shared" si="7"/>
        <v>-8.48</v>
      </c>
      <c r="H52" s="329"/>
      <c r="I52" s="329"/>
      <c r="J52" s="75">
        <f t="shared" si="0"/>
        <v>48</v>
      </c>
      <c r="K52" s="1168">
        <v>25.55</v>
      </c>
      <c r="L52" s="1168">
        <v>104.87000000000002</v>
      </c>
      <c r="M52" s="937">
        <f t="shared" si="3"/>
        <v>130.42000000000002</v>
      </c>
    </row>
    <row r="53" spans="1:13">
      <c r="A53" s="509">
        <f t="shared" si="6"/>
        <v>46</v>
      </c>
      <c r="B53" s="508">
        <v>889</v>
      </c>
      <c r="C53" s="8" t="str">
        <f>VLOOKUP(B53,'Stmt H'!B:D,3,FALSE)</f>
        <v>Maintenance of Measuring &amp; Regulating Station Expense -General</v>
      </c>
      <c r="E53" s="685">
        <f t="shared" si="8"/>
        <v>30576.560000000005</v>
      </c>
      <c r="F53" s="157"/>
      <c r="G53" s="207">
        <f t="shared" si="7"/>
        <v>-1987.82</v>
      </c>
      <c r="H53" s="329"/>
      <c r="I53" s="329"/>
      <c r="J53" s="75">
        <f t="shared" si="0"/>
        <v>49</v>
      </c>
      <c r="K53" s="1168">
        <v>19238.310000000001</v>
      </c>
      <c r="L53" s="1168">
        <v>11338.250000000002</v>
      </c>
      <c r="M53" s="937">
        <f t="shared" si="3"/>
        <v>30576.560000000005</v>
      </c>
    </row>
    <row r="54" spans="1:13">
      <c r="A54" s="509">
        <f t="shared" si="6"/>
        <v>47</v>
      </c>
      <c r="B54" s="508">
        <v>890</v>
      </c>
      <c r="C54" s="8" t="str">
        <f>VLOOKUP(B54,'Stmt H'!B:D,3,FALSE)</f>
        <v>Dist. Maint. of Measuring &amp; Regulating Station Equip - Industrial</v>
      </c>
      <c r="E54" s="685">
        <f t="shared" si="8"/>
        <v>9383.5400000000009</v>
      </c>
      <c r="F54" s="157"/>
      <c r="G54" s="207">
        <f t="shared" si="7"/>
        <v>-610.03</v>
      </c>
      <c r="H54" s="329"/>
      <c r="I54" s="329"/>
      <c r="J54" s="75">
        <f t="shared" si="0"/>
        <v>50</v>
      </c>
      <c r="K54" s="1168">
        <v>6238.79</v>
      </c>
      <c r="L54" s="1168">
        <v>3144.75</v>
      </c>
      <c r="M54" s="937">
        <f t="shared" si="3"/>
        <v>9383.5400000000009</v>
      </c>
    </row>
    <row r="55" spans="1:13">
      <c r="A55" s="509">
        <f t="shared" si="6"/>
        <v>48</v>
      </c>
      <c r="B55" s="508">
        <v>891</v>
      </c>
      <c r="C55" s="8" t="str">
        <f>VLOOKUP(B55,'Stmt H'!B:D,3,FALSE)</f>
        <v>Maintenance of Measuring &amp; Regulating Station - City Gate Check Stn.</v>
      </c>
      <c r="E55" s="685">
        <f t="shared" si="8"/>
        <v>46206.100000000013</v>
      </c>
      <c r="F55" s="157"/>
      <c r="G55" s="207">
        <f t="shared" si="7"/>
        <v>-3003.91</v>
      </c>
      <c r="H55" s="329"/>
      <c r="I55" s="329"/>
      <c r="J55" s="75">
        <f t="shared" si="0"/>
        <v>51</v>
      </c>
      <c r="K55" s="1168">
        <v>35083.880000000012</v>
      </c>
      <c r="L55" s="1168">
        <v>11122.22</v>
      </c>
      <c r="M55" s="937">
        <f t="shared" si="3"/>
        <v>46206.100000000013</v>
      </c>
    </row>
    <row r="56" spans="1:13">
      <c r="A56" s="509">
        <f t="shared" si="6"/>
        <v>49</v>
      </c>
      <c r="B56" s="508">
        <v>892</v>
      </c>
      <c r="C56" s="8" t="str">
        <f>VLOOKUP(B56,'Stmt H'!B:D,3,FALSE)</f>
        <v>Dist. Maint. of Services</v>
      </c>
      <c r="E56" s="685">
        <f t="shared" si="8"/>
        <v>72438.27</v>
      </c>
      <c r="F56" s="157"/>
      <c r="G56" s="207">
        <f t="shared" si="7"/>
        <v>-4709.29</v>
      </c>
      <c r="H56" s="329"/>
      <c r="I56" s="329"/>
      <c r="J56" s="75">
        <f t="shared" si="0"/>
        <v>52</v>
      </c>
      <c r="K56" s="1168">
        <v>34018.48000000001</v>
      </c>
      <c r="L56" s="1168">
        <v>38419.789999999994</v>
      </c>
      <c r="M56" s="937">
        <f t="shared" si="3"/>
        <v>72438.27</v>
      </c>
    </row>
    <row r="57" spans="1:13">
      <c r="A57" s="509">
        <f t="shared" si="6"/>
        <v>50</v>
      </c>
      <c r="B57" s="508">
        <v>893</v>
      </c>
      <c r="C57" s="8" t="str">
        <f>VLOOKUP(B57,'Stmt H'!B:D,3,FALSE)</f>
        <v>Dist. Maint. of Meters &amp; House Regulators</v>
      </c>
      <c r="E57" s="685">
        <f t="shared" si="8"/>
        <v>173493.88</v>
      </c>
      <c r="F57" s="157"/>
      <c r="G57" s="207">
        <f t="shared" si="7"/>
        <v>-11279.03</v>
      </c>
      <c r="H57" s="329"/>
      <c r="I57" s="329"/>
      <c r="J57" s="75">
        <f t="shared" si="0"/>
        <v>53</v>
      </c>
      <c r="K57" s="1168">
        <v>95557.400000000009</v>
      </c>
      <c r="L57" s="1168">
        <v>77936.479999999981</v>
      </c>
      <c r="M57" s="937">
        <f t="shared" si="3"/>
        <v>173493.88</v>
      </c>
    </row>
    <row r="58" spans="1:13">
      <c r="A58" s="509">
        <f t="shared" si="6"/>
        <v>51</v>
      </c>
      <c r="B58" s="508">
        <v>894</v>
      </c>
      <c r="C58" s="8" t="str">
        <f>VLOOKUP(B58,'Stmt H'!B:D,3,FALSE)</f>
        <v>Dist. Maint. of Other Equipment</v>
      </c>
      <c r="E58" s="685">
        <f t="shared" si="8"/>
        <v>25533.430000000004</v>
      </c>
      <c r="F58" s="157"/>
      <c r="G58" s="207">
        <f t="shared" si="7"/>
        <v>-1659.96</v>
      </c>
      <c r="H58" s="329"/>
      <c r="I58" s="329"/>
      <c r="J58" s="75">
        <f t="shared" si="0"/>
        <v>54</v>
      </c>
      <c r="K58" s="1168">
        <v>5852.0100000000011</v>
      </c>
      <c r="L58" s="1168">
        <v>19681.420000000002</v>
      </c>
      <c r="M58" s="937">
        <f t="shared" si="3"/>
        <v>25533.430000000004</v>
      </c>
    </row>
    <row r="59" spans="1:13">
      <c r="A59" s="509">
        <f t="shared" si="6"/>
        <v>52</v>
      </c>
      <c r="B59" s="508">
        <v>901</v>
      </c>
      <c r="C59" s="8" t="str">
        <f>VLOOKUP(B59,'Stmt H'!B:D,3,FALSE)</f>
        <v>Customer Accounts Supervision</v>
      </c>
      <c r="E59" s="685">
        <f t="shared" si="8"/>
        <v>7659.6100000000006</v>
      </c>
      <c r="F59" s="157"/>
      <c r="G59" s="207">
        <f t="shared" si="7"/>
        <v>-497.96</v>
      </c>
      <c r="H59" s="329"/>
      <c r="I59" s="329"/>
      <c r="J59" s="75">
        <f t="shared" si="0"/>
        <v>55</v>
      </c>
      <c r="K59" s="1168">
        <v>8298.35</v>
      </c>
      <c r="L59" s="1168">
        <v>-638.74</v>
      </c>
      <c r="M59" s="937">
        <f t="shared" si="3"/>
        <v>7659.6100000000006</v>
      </c>
    </row>
    <row r="60" spans="1:13">
      <c r="A60" s="509">
        <f t="shared" si="6"/>
        <v>53</v>
      </c>
      <c r="B60" s="508">
        <v>902</v>
      </c>
      <c r="C60" s="8" t="str">
        <f>VLOOKUP(B60,'Stmt H'!B:D,3,FALSE)</f>
        <v>Meter Reading Expense</v>
      </c>
      <c r="E60" s="685">
        <f t="shared" si="8"/>
        <v>128570.7</v>
      </c>
      <c r="F60" s="157"/>
      <c r="G60" s="207">
        <f t="shared" si="7"/>
        <v>-8358.5300000000007</v>
      </c>
      <c r="H60" s="329"/>
      <c r="I60" s="329"/>
      <c r="J60" s="75">
        <f t="shared" si="0"/>
        <v>56</v>
      </c>
      <c r="K60" s="1168">
        <v>57182.479999999996</v>
      </c>
      <c r="L60" s="1168">
        <v>71388.22</v>
      </c>
      <c r="M60" s="937">
        <f t="shared" si="3"/>
        <v>128570.7</v>
      </c>
    </row>
    <row r="61" spans="1:13">
      <c r="A61" s="509">
        <f t="shared" si="6"/>
        <v>54</v>
      </c>
      <c r="B61" s="508">
        <v>903</v>
      </c>
      <c r="C61" s="8" t="str">
        <f>VLOOKUP(B61,'Stmt H'!B:D,3,FALSE)</f>
        <v>Customer Record &amp; Collection Expense</v>
      </c>
      <c r="E61" s="685">
        <f t="shared" si="8"/>
        <v>95308.25</v>
      </c>
      <c r="F61" s="157"/>
      <c r="G61" s="207">
        <f t="shared" si="7"/>
        <v>-6196.1</v>
      </c>
      <c r="H61" s="329"/>
      <c r="I61" s="329"/>
      <c r="J61" s="75">
        <f t="shared" si="0"/>
        <v>57</v>
      </c>
      <c r="K61" s="1168">
        <v>63768.570000000014</v>
      </c>
      <c r="L61" s="1168">
        <v>31539.679999999986</v>
      </c>
      <c r="M61" s="937">
        <f t="shared" si="3"/>
        <v>95308.25</v>
      </c>
    </row>
    <row r="62" spans="1:13">
      <c r="A62" s="509">
        <f t="shared" si="6"/>
        <v>55</v>
      </c>
      <c r="B62" s="508">
        <v>905</v>
      </c>
      <c r="C62" s="8" t="str">
        <f>VLOOKUP(B62,'Stmt H'!B:D,3,FALSE)</f>
        <v>Miscellaneous Customer Accounts Expense</v>
      </c>
      <c r="E62" s="685">
        <f t="shared" si="8"/>
        <v>5441.6899999999969</v>
      </c>
      <c r="F62" s="157"/>
      <c r="G62" s="207">
        <f t="shared" si="7"/>
        <v>-353.77</v>
      </c>
      <c r="H62" s="329"/>
      <c r="I62" s="329"/>
      <c r="J62" s="75">
        <f t="shared" si="0"/>
        <v>58</v>
      </c>
      <c r="K62" s="1168">
        <v>5311.7699999999968</v>
      </c>
      <c r="L62" s="1168">
        <v>129.92000000000002</v>
      </c>
      <c r="M62" s="937">
        <f t="shared" si="3"/>
        <v>5441.6899999999969</v>
      </c>
    </row>
    <row r="63" spans="1:13">
      <c r="A63" s="509">
        <f t="shared" si="6"/>
        <v>56</v>
      </c>
      <c r="B63" s="508">
        <v>907</v>
      </c>
      <c r="C63" s="8" t="str">
        <f>VLOOKUP(B63,'Stmt H'!B:D,3,FALSE)</f>
        <v>Supervision</v>
      </c>
      <c r="E63" s="685">
        <f t="shared" si="8"/>
        <v>81.650000000000006</v>
      </c>
      <c r="F63" s="157"/>
      <c r="G63" s="207">
        <f t="shared" si="7"/>
        <v>-5.31</v>
      </c>
      <c r="H63" s="329"/>
      <c r="I63" s="329"/>
      <c r="J63" s="75">
        <f t="shared" si="0"/>
        <v>59</v>
      </c>
      <c r="K63" s="1168">
        <v>0</v>
      </c>
      <c r="L63" s="1168">
        <v>81.650000000000006</v>
      </c>
      <c r="M63" s="937">
        <f t="shared" si="3"/>
        <v>81.650000000000006</v>
      </c>
    </row>
    <row r="64" spans="1:13">
      <c r="A64" s="509">
        <f t="shared" si="6"/>
        <v>57</v>
      </c>
      <c r="B64" s="508">
        <v>908</v>
      </c>
      <c r="C64" s="8" t="str">
        <f>VLOOKUP(B64,'Stmt H'!B:D,3,FALSE)</f>
        <v>Customer Assistance Expense</v>
      </c>
      <c r="E64" s="685">
        <f t="shared" si="8"/>
        <v>709.28</v>
      </c>
      <c r="F64" s="157"/>
      <c r="G64" s="207">
        <f t="shared" si="7"/>
        <v>-46.11</v>
      </c>
      <c r="H64" s="329"/>
      <c r="I64" s="329"/>
      <c r="J64" s="75">
        <f t="shared" si="0"/>
        <v>60</v>
      </c>
      <c r="K64" s="1168">
        <v>402.63</v>
      </c>
      <c r="L64" s="1168">
        <v>306.64999999999998</v>
      </c>
      <c r="M64" s="937">
        <f t="shared" si="3"/>
        <v>709.28</v>
      </c>
    </row>
    <row r="65" spans="1:14">
      <c r="A65" s="509">
        <f t="shared" si="6"/>
        <v>58</v>
      </c>
      <c r="B65" s="508">
        <v>910</v>
      </c>
      <c r="C65" s="8" t="str">
        <f>VLOOKUP(B65,'Stmt H'!B:D,3,FALSE)</f>
        <v>Miscellaneous Cust Serv &amp; Inform Expense</v>
      </c>
      <c r="E65" s="685">
        <f t="shared" si="8"/>
        <v>2.2300000000000284</v>
      </c>
      <c r="F65" s="157"/>
      <c r="G65" s="207">
        <f t="shared" si="7"/>
        <v>-0.14000000000000001</v>
      </c>
      <c r="H65" s="329"/>
      <c r="I65" s="329"/>
      <c r="J65" s="75">
        <f t="shared" si="0"/>
        <v>61</v>
      </c>
      <c r="K65" s="1168">
        <v>1.2500000000000284</v>
      </c>
      <c r="L65" s="1168">
        <v>0.98</v>
      </c>
      <c r="M65" s="937">
        <f t="shared" si="3"/>
        <v>2.2300000000000284</v>
      </c>
    </row>
    <row r="66" spans="1:14">
      <c r="A66" s="509">
        <f t="shared" si="6"/>
        <v>59</v>
      </c>
      <c r="B66" s="508">
        <v>911</v>
      </c>
      <c r="C66" s="8" t="str">
        <f>VLOOKUP(B66,'Stmt H'!B:D,3,FALSE)</f>
        <v>Supervision</v>
      </c>
      <c r="E66" s="685">
        <f t="shared" si="8"/>
        <v>0</v>
      </c>
      <c r="F66" s="157"/>
      <c r="G66" s="207">
        <f t="shared" si="7"/>
        <v>0</v>
      </c>
      <c r="H66" s="329"/>
      <c r="I66" s="329"/>
      <c r="J66" s="75">
        <f t="shared" si="0"/>
        <v>62</v>
      </c>
      <c r="K66" s="1168">
        <v>0</v>
      </c>
      <c r="L66" s="1168">
        <v>0</v>
      </c>
      <c r="M66" s="937">
        <f t="shared" si="3"/>
        <v>0</v>
      </c>
    </row>
    <row r="67" spans="1:14">
      <c r="A67" s="509">
        <f t="shared" si="6"/>
        <v>60</v>
      </c>
      <c r="B67" s="508">
        <v>912</v>
      </c>
      <c r="C67" s="8" t="str">
        <f>VLOOKUP(B67,'Stmt H'!B:D,3,FALSE)</f>
        <v>Demonstrating and Selling  Expense</v>
      </c>
      <c r="E67" s="685">
        <f t="shared" si="8"/>
        <v>5388.27</v>
      </c>
      <c r="F67" s="157"/>
      <c r="G67" s="207">
        <f>ROUND(E67/$E$72*$G$72,2)</f>
        <v>-350.3</v>
      </c>
      <c r="H67" s="329"/>
      <c r="I67" s="329"/>
      <c r="J67" s="75">
        <f t="shared" si="0"/>
        <v>63</v>
      </c>
      <c r="K67" s="1168">
        <v>2487.4900000000007</v>
      </c>
      <c r="L67" s="1168">
        <v>2900.7799999999997</v>
      </c>
      <c r="M67" s="937">
        <f t="shared" si="3"/>
        <v>5388.27</v>
      </c>
    </row>
    <row r="68" spans="1:14">
      <c r="A68" s="509">
        <f t="shared" si="6"/>
        <v>61</v>
      </c>
      <c r="B68" s="508">
        <v>921</v>
      </c>
      <c r="C68" s="8" t="str">
        <f>VLOOKUP(B68,'Stmt H'!B:D,3,FALSE)</f>
        <v>Office Supplies &amp; Expense</v>
      </c>
      <c r="E68" s="685">
        <f t="shared" si="8"/>
        <v>0</v>
      </c>
      <c r="F68" s="157"/>
      <c r="G68" s="207">
        <f t="shared" si="7"/>
        <v>0</v>
      </c>
      <c r="H68" s="329"/>
      <c r="I68" s="329"/>
      <c r="J68" s="75">
        <f t="shared" si="0"/>
        <v>64</v>
      </c>
      <c r="K68" s="1168">
        <v>0</v>
      </c>
      <c r="L68" s="1168">
        <v>0</v>
      </c>
      <c r="M68" s="937">
        <f t="shared" si="3"/>
        <v>0</v>
      </c>
    </row>
    <row r="69" spans="1:14">
      <c r="A69" s="509">
        <f t="shared" si="6"/>
        <v>62</v>
      </c>
      <c r="B69" s="508">
        <v>930.2</v>
      </c>
      <c r="C69" s="8" t="str">
        <f>VLOOKUP(B69,'Stmt H'!B:D,3,FALSE)</f>
        <v>Miscellaneous General Expense</v>
      </c>
      <c r="E69" s="685">
        <f t="shared" si="8"/>
        <v>1348.4499999999998</v>
      </c>
      <c r="F69" s="157"/>
      <c r="G69" s="207">
        <f t="shared" si="7"/>
        <v>-87.66</v>
      </c>
      <c r="H69" s="329"/>
      <c r="I69" s="329"/>
      <c r="J69" s="75">
        <f t="shared" si="0"/>
        <v>65</v>
      </c>
      <c r="K69" s="1168">
        <v>922.92</v>
      </c>
      <c r="L69" s="1168">
        <v>425.52999999999992</v>
      </c>
      <c r="M69" s="937">
        <f t="shared" si="3"/>
        <v>1348.4499999999998</v>
      </c>
    </row>
    <row r="70" spans="1:14">
      <c r="A70" s="509">
        <f t="shared" si="6"/>
        <v>63</v>
      </c>
      <c r="B70" s="508">
        <v>932</v>
      </c>
      <c r="C70" s="8" t="str">
        <f>VLOOKUP(B70,'Stmt H'!B:D,3,FALSE)</f>
        <v>Maintenance of General Plant</v>
      </c>
      <c r="E70" s="686">
        <f t="shared" si="8"/>
        <v>117.57</v>
      </c>
      <c r="F70" s="157"/>
      <c r="G70" s="787">
        <f t="shared" si="7"/>
        <v>-7.64</v>
      </c>
      <c r="H70" s="329"/>
      <c r="I70" s="329"/>
      <c r="J70" s="75">
        <f t="shared" si="0"/>
        <v>66</v>
      </c>
      <c r="K70" s="1168">
        <v>115.21</v>
      </c>
      <c r="L70" s="1168">
        <v>2.36</v>
      </c>
      <c r="M70" s="937">
        <f t="shared" si="3"/>
        <v>117.57</v>
      </c>
    </row>
    <row r="71" spans="1:14">
      <c r="A71" s="509">
        <f t="shared" si="6"/>
        <v>64</v>
      </c>
      <c r="B71" s="7"/>
      <c r="E71" s="548"/>
      <c r="F71" s="22"/>
      <c r="G71" s="548"/>
      <c r="H71" s="329"/>
      <c r="I71" s="329"/>
      <c r="J71" s="75">
        <f t="shared" si="0"/>
        <v>67</v>
      </c>
      <c r="K71" s="14"/>
      <c r="L71" s="14"/>
      <c r="M71" s="937"/>
    </row>
    <row r="72" spans="1:14" ht="13.5" thickBot="1">
      <c r="A72" s="509">
        <f t="shared" si="6"/>
        <v>65</v>
      </c>
      <c r="B72" s="7"/>
      <c r="C72" s="8" t="s">
        <v>403</v>
      </c>
      <c r="E72" s="358">
        <f>SUM(E8:E70)</f>
        <v>3793709.58</v>
      </c>
      <c r="F72" s="22"/>
      <c r="G72" s="358">
        <f>G78</f>
        <v>-246633.34031789051</v>
      </c>
      <c r="H72" s="329"/>
      <c r="I72" s="329"/>
      <c r="J72" s="75">
        <f t="shared" si="0"/>
        <v>68</v>
      </c>
      <c r="K72" s="937">
        <f>SUM(K8:K70)</f>
        <v>1601834.16</v>
      </c>
      <c r="L72" s="937">
        <f>SUM(L8:L70)</f>
        <v>2191875.42</v>
      </c>
      <c r="M72" s="937">
        <f t="shared" si="3"/>
        <v>3793709.58</v>
      </c>
    </row>
    <row r="73" spans="1:14" ht="13.5" thickTop="1">
      <c r="A73" s="509">
        <f t="shared" si="6"/>
        <v>66</v>
      </c>
      <c r="B73" s="508"/>
      <c r="E73" s="361"/>
      <c r="F73" s="157"/>
      <c r="G73" s="361"/>
      <c r="H73" s="329"/>
      <c r="I73" s="329"/>
      <c r="J73" s="75">
        <f t="shared" si="0"/>
        <v>69</v>
      </c>
      <c r="K73" s="14"/>
      <c r="L73" s="14"/>
    </row>
    <row r="74" spans="1:14">
      <c r="A74" s="509">
        <f t="shared" si="6"/>
        <v>67</v>
      </c>
      <c r="B74" s="509"/>
      <c r="E74" s="361"/>
      <c r="F74" s="157"/>
      <c r="G74" s="361"/>
      <c r="H74" s="329"/>
      <c r="I74" s="329"/>
      <c r="J74" s="75">
        <f t="shared" si="0"/>
        <v>70</v>
      </c>
      <c r="K74" s="1220">
        <f>K72-1601834.16</f>
        <v>0</v>
      </c>
      <c r="L74" s="1220">
        <f>L72-2191875.42</f>
        <v>0</v>
      </c>
      <c r="M74" s="1220">
        <f>M72-(1601834.16+2191875.42)</f>
        <v>0</v>
      </c>
      <c r="N74" s="162" t="s">
        <v>1140</v>
      </c>
    </row>
    <row r="75" spans="1:14">
      <c r="A75" s="509">
        <f t="shared" si="6"/>
        <v>68</v>
      </c>
      <c r="B75" s="509"/>
      <c r="C75" s="8" t="s">
        <v>1284</v>
      </c>
      <c r="E75" s="361"/>
      <c r="F75" s="157"/>
      <c r="G75" s="361">
        <f>'Stmt J'!M32+'Stmt J'!M33</f>
        <v>-408732.31959895731</v>
      </c>
      <c r="H75" s="329"/>
      <c r="I75" s="329"/>
      <c r="J75" s="75">
        <f t="shared" si="0"/>
        <v>71</v>
      </c>
      <c r="K75" s="14"/>
      <c r="L75" s="14"/>
    </row>
    <row r="76" spans="1:14">
      <c r="A76" s="509">
        <f t="shared" si="6"/>
        <v>69</v>
      </c>
      <c r="B76" s="509"/>
      <c r="C76" s="8" t="s">
        <v>1078</v>
      </c>
      <c r="E76" s="361"/>
      <c r="F76" s="157"/>
      <c r="G76" s="211">
        <v>0.39658958078019413</v>
      </c>
      <c r="H76" s="329"/>
      <c r="I76" s="329"/>
      <c r="J76" s="75">
        <f t="shared" si="0"/>
        <v>72</v>
      </c>
      <c r="K76" s="14"/>
      <c r="L76" s="14"/>
    </row>
    <row r="77" spans="1:14">
      <c r="A77" s="509">
        <f t="shared" si="6"/>
        <v>70</v>
      </c>
      <c r="B77" s="509"/>
      <c r="C77" s="8" t="s">
        <v>846</v>
      </c>
      <c r="E77" s="361"/>
      <c r="F77" s="157"/>
      <c r="G77" s="361">
        <f>G75*G76</f>
        <v>-162098.9792810668</v>
      </c>
      <c r="H77" s="329"/>
      <c r="I77" s="329"/>
      <c r="J77" s="75">
        <f t="shared" si="0"/>
        <v>73</v>
      </c>
      <c r="K77" s="649"/>
      <c r="L77" s="14"/>
    </row>
    <row r="78" spans="1:14">
      <c r="A78" s="509">
        <f t="shared" si="6"/>
        <v>71</v>
      </c>
      <c r="B78" s="509"/>
      <c r="C78" s="8" t="s">
        <v>1141</v>
      </c>
      <c r="E78" s="361"/>
      <c r="F78" s="157"/>
      <c r="G78" s="361">
        <f>G75-G77</f>
        <v>-246633.34031789051</v>
      </c>
      <c r="H78" s="329"/>
      <c r="I78" s="329"/>
      <c r="J78" s="75">
        <f t="shared" si="0"/>
        <v>74</v>
      </c>
      <c r="K78" s="14"/>
      <c r="L78" s="14"/>
    </row>
    <row r="79" spans="1:14">
      <c r="A79" s="509">
        <f t="shared" si="6"/>
        <v>72</v>
      </c>
      <c r="B79" s="509"/>
      <c r="E79" s="361"/>
      <c r="F79" s="157"/>
      <c r="G79" s="361"/>
      <c r="H79" s="329"/>
      <c r="I79" s="329"/>
      <c r="J79" s="75">
        <f t="shared" si="0"/>
        <v>75</v>
      </c>
      <c r="K79" s="14"/>
      <c r="L79" s="14"/>
    </row>
    <row r="80" spans="1:14">
      <c r="A80" s="509">
        <f t="shared" si="6"/>
        <v>73</v>
      </c>
      <c r="B80" s="40"/>
      <c r="C80" s="41"/>
      <c r="D80" s="41"/>
      <c r="E80" s="330"/>
      <c r="F80" s="330"/>
      <c r="G80" s="330"/>
      <c r="H80" s="329"/>
      <c r="I80" s="329"/>
      <c r="J80" s="75">
        <f t="shared" si="0"/>
        <v>76</v>
      </c>
      <c r="K80" s="14"/>
      <c r="L80" s="14"/>
    </row>
    <row r="81" spans="1:12">
      <c r="A81" s="509">
        <f t="shared" si="6"/>
        <v>74</v>
      </c>
      <c r="B81" s="41" t="s">
        <v>798</v>
      </c>
      <c r="C81" s="12"/>
      <c r="D81" s="12"/>
      <c r="E81" s="331"/>
      <c r="F81" s="331"/>
      <c r="G81" s="331"/>
      <c r="H81" s="329"/>
      <c r="I81" s="329"/>
      <c r="J81" s="199"/>
      <c r="K81" s="14"/>
      <c r="L81" s="14"/>
    </row>
    <row r="82" spans="1:12">
      <c r="A82" s="40"/>
      <c r="B82" s="40"/>
      <c r="C82" s="12"/>
      <c r="D82" s="12"/>
      <c r="E82" s="331"/>
      <c r="F82" s="331"/>
      <c r="G82" s="332"/>
      <c r="H82" s="329"/>
      <c r="I82" s="329"/>
      <c r="J82" s="199"/>
      <c r="K82" s="14"/>
      <c r="L82" s="14"/>
    </row>
    <row r="83" spans="1:12">
      <c r="A83" s="40"/>
      <c r="B83" s="40"/>
      <c r="C83" s="12"/>
      <c r="D83" s="12"/>
      <c r="E83" s="331"/>
      <c r="F83" s="331"/>
      <c r="G83" s="331"/>
      <c r="H83" s="329"/>
      <c r="I83" s="329"/>
      <c r="J83" s="199"/>
      <c r="K83" s="14"/>
      <c r="L83" s="14"/>
    </row>
    <row r="84" spans="1:12">
      <c r="A84" s="40"/>
      <c r="B84" s="40"/>
      <c r="C84" s="12"/>
      <c r="D84" s="12"/>
      <c r="E84" s="331"/>
      <c r="F84" s="331"/>
      <c r="G84" s="331"/>
      <c r="H84" s="329"/>
      <c r="I84" s="329"/>
      <c r="J84" s="199"/>
      <c r="K84" s="14"/>
      <c r="L84" s="14"/>
    </row>
    <row r="85" spans="1:12">
      <c r="B85" s="7"/>
      <c r="E85" s="157"/>
      <c r="F85" s="157"/>
      <c r="G85" s="157"/>
      <c r="H85" s="329"/>
      <c r="I85" s="329"/>
      <c r="J85" s="199"/>
      <c r="K85" s="14"/>
      <c r="L85" s="14"/>
    </row>
    <row r="86" spans="1:12">
      <c r="B86" s="7"/>
      <c r="E86" s="157"/>
      <c r="F86" s="157"/>
      <c r="G86" s="157"/>
      <c r="H86" s="329"/>
      <c r="I86" s="329"/>
      <c r="J86" s="199"/>
      <c r="K86" s="14"/>
      <c r="L86" s="14"/>
    </row>
    <row r="87" spans="1:12">
      <c r="B87" s="7"/>
      <c r="E87" s="157"/>
      <c r="F87" s="157"/>
      <c r="G87" s="157"/>
      <c r="H87" s="329"/>
      <c r="I87" s="329"/>
      <c r="J87" s="199"/>
      <c r="K87" s="14"/>
      <c r="L87" s="14"/>
    </row>
    <row r="88" spans="1:12">
      <c r="B88" s="7"/>
      <c r="E88" s="157"/>
      <c r="F88" s="157"/>
      <c r="G88" s="157"/>
      <c r="H88" s="329"/>
      <c r="I88" s="329"/>
      <c r="J88" s="199"/>
      <c r="K88" s="14"/>
      <c r="L88" s="14"/>
    </row>
    <row r="89" spans="1:12">
      <c r="B89" s="7"/>
      <c r="E89" s="157"/>
      <c r="F89" s="157"/>
      <c r="G89" s="157"/>
      <c r="H89" s="329"/>
      <c r="I89" s="329"/>
      <c r="J89" s="199"/>
      <c r="K89" s="14"/>
      <c r="L89" s="14"/>
    </row>
    <row r="90" spans="1:12">
      <c r="B90" s="7"/>
      <c r="E90" s="157"/>
      <c r="F90" s="157"/>
      <c r="G90" s="157"/>
      <c r="H90" s="329"/>
      <c r="I90" s="329"/>
      <c r="J90" s="199"/>
      <c r="K90" s="14"/>
      <c r="L90" s="14"/>
    </row>
    <row r="91" spans="1:12">
      <c r="B91" s="7"/>
      <c r="E91" s="157"/>
      <c r="F91" s="157"/>
      <c r="G91" s="157"/>
      <c r="H91" s="329"/>
      <c r="I91" s="329"/>
      <c r="J91" s="199"/>
      <c r="K91" s="14"/>
      <c r="L91" s="14"/>
    </row>
    <row r="92" spans="1:12">
      <c r="B92" s="7"/>
      <c r="E92" s="157"/>
      <c r="F92" s="157"/>
      <c r="G92" s="157"/>
      <c r="H92" s="329"/>
      <c r="I92" s="329"/>
      <c r="J92" s="199"/>
      <c r="K92" s="14"/>
      <c r="L92" s="14"/>
    </row>
    <row r="93" spans="1:12">
      <c r="B93" s="7"/>
      <c r="E93" s="157"/>
      <c r="F93" s="157"/>
      <c r="G93" s="157"/>
      <c r="H93" s="329"/>
      <c r="I93" s="329"/>
      <c r="J93" s="199"/>
      <c r="K93" s="14"/>
      <c r="L93" s="14"/>
    </row>
    <row r="94" spans="1:12">
      <c r="B94" s="7"/>
      <c r="E94" s="157"/>
      <c r="F94" s="157"/>
      <c r="G94" s="157"/>
      <c r="H94" s="329"/>
      <c r="I94" s="329"/>
      <c r="J94" s="199"/>
      <c r="K94" s="14"/>
      <c r="L94" s="14"/>
    </row>
    <row r="95" spans="1:12">
      <c r="B95" s="7"/>
      <c r="E95" s="157"/>
      <c r="F95" s="157"/>
      <c r="G95" s="157"/>
      <c r="H95" s="329"/>
      <c r="I95" s="329"/>
      <c r="J95" s="41"/>
      <c r="K95" s="14"/>
      <c r="L95" s="14"/>
    </row>
    <row r="96" spans="1:12">
      <c r="B96" s="7"/>
      <c r="E96" s="157"/>
      <c r="F96" s="157"/>
      <c r="G96" s="157"/>
      <c r="H96" s="329"/>
      <c r="I96" s="329"/>
      <c r="J96" s="156"/>
      <c r="K96" s="14"/>
      <c r="L96" s="14"/>
    </row>
    <row r="97" spans="2:12">
      <c r="B97" s="7"/>
      <c r="J97" s="199"/>
      <c r="K97" s="14"/>
      <c r="L97" s="14"/>
    </row>
    <row r="98" spans="2:12">
      <c r="B98" s="7"/>
      <c r="J98" s="161"/>
      <c r="K98" s="14"/>
      <c r="L98" s="14"/>
    </row>
    <row r="99" spans="2:12">
      <c r="B99" s="7"/>
      <c r="J99" s="156"/>
      <c r="K99" s="14"/>
      <c r="L99" s="14"/>
    </row>
    <row r="100" spans="2:12">
      <c r="B100" s="7"/>
      <c r="K100" s="14"/>
      <c r="L100" s="14"/>
    </row>
    <row r="101" spans="2:12">
      <c r="K101" s="14"/>
      <c r="L101" s="14"/>
    </row>
    <row r="102" spans="2:12">
      <c r="K102" s="14"/>
      <c r="L102" s="14"/>
    </row>
    <row r="103" spans="2:12">
      <c r="K103" s="14"/>
      <c r="L103" s="14"/>
    </row>
    <row r="104" spans="2:12">
      <c r="K104" s="14"/>
      <c r="L104" s="14"/>
    </row>
    <row r="105" spans="2:12">
      <c r="K105" s="14"/>
      <c r="L105" s="14"/>
    </row>
    <row r="106" spans="2:12">
      <c r="K106" s="14"/>
      <c r="L106" s="14"/>
    </row>
    <row r="107" spans="2:12">
      <c r="K107" s="14"/>
      <c r="L107" s="14"/>
    </row>
    <row r="108" spans="2:12">
      <c r="K108" s="14"/>
      <c r="L108" s="14"/>
    </row>
    <row r="109" spans="2:12">
      <c r="K109" s="14"/>
      <c r="L109" s="14"/>
    </row>
    <row r="110" spans="2:12">
      <c r="K110" s="14"/>
      <c r="L110" s="14"/>
    </row>
    <row r="111" spans="2:12">
      <c r="K111" s="14"/>
      <c r="L111" s="14"/>
    </row>
    <row r="112" spans="2:12">
      <c r="K112" s="14"/>
      <c r="L112" s="14"/>
    </row>
    <row r="113" spans="11:12">
      <c r="K113" s="14"/>
      <c r="L113" s="14"/>
    </row>
    <row r="114" spans="11:12">
      <c r="K114" s="14"/>
      <c r="L114" s="14"/>
    </row>
  </sheetData>
  <printOptions horizontalCentered="1"/>
  <pageMargins left="0.5" right="0.5" top="0.5" bottom="0.2" header="0.3" footer="0.3"/>
  <pageSetup scale="71" orientation="portrait" verticalDpi="300" r:id="rId1"/>
  <rowBreaks count="1" manualBreakCount="1">
    <brk id="81" max="7"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4">
    <pageSetUpPr fitToPage="1"/>
  </sheetPr>
  <dimension ref="A1:AC49"/>
  <sheetViews>
    <sheetView workbookViewId="0"/>
  </sheetViews>
  <sheetFormatPr defaultColWidth="9.33203125" defaultRowHeight="12.75"/>
  <cols>
    <col min="1" max="1" width="4.83203125" style="8" customWidth="1"/>
    <col min="2" max="2" width="3.33203125" style="8" customWidth="1"/>
    <col min="3" max="3" width="12.83203125" style="8" customWidth="1"/>
    <col min="4" max="4" width="35.33203125" style="8" customWidth="1"/>
    <col min="5" max="5" width="16.33203125" style="8" customWidth="1"/>
    <col min="6" max="6" width="15" style="8" customWidth="1"/>
    <col min="7" max="7" width="14.83203125" style="8" customWidth="1"/>
    <col min="8" max="8" width="21.1640625" style="23" customWidth="1"/>
    <col min="9" max="10" width="16.83203125" style="23" customWidth="1"/>
    <col min="11" max="11" width="13.6640625" style="8" customWidth="1"/>
    <col min="12" max="12" width="17.6640625" style="8" customWidth="1"/>
    <col min="13" max="13" width="17.33203125" style="23" customWidth="1"/>
    <col min="14" max="14" width="17.6640625" style="8" customWidth="1"/>
    <col min="15" max="15" width="15.33203125" style="8" customWidth="1"/>
    <col min="16" max="16" width="15.83203125" style="8" customWidth="1"/>
    <col min="17" max="17" width="15.1640625" style="8" customWidth="1"/>
    <col min="18" max="19" width="15.33203125" style="8" customWidth="1"/>
    <col min="20" max="20" width="17.33203125" style="8" customWidth="1"/>
    <col min="21" max="21" width="4.83203125" style="8" customWidth="1"/>
    <col min="22" max="22" width="4.1640625" style="66" customWidth="1"/>
    <col min="23" max="23" width="21.33203125" style="66" bestFit="1" customWidth="1"/>
    <col min="24" max="25" width="21.83203125" style="66" bestFit="1" customWidth="1"/>
    <col min="26" max="28" width="9.33203125" style="66"/>
    <col min="29" max="29" width="13.33203125" style="66" bestFit="1" customWidth="1"/>
    <col min="30" max="16384" width="9.33203125" style="66"/>
  </cols>
  <sheetData>
    <row r="1" spans="1:29">
      <c r="A1" s="25" t="str">
        <f>Company</f>
        <v>BLACK HILLS NEBRASKA GAS, LLC</v>
      </c>
      <c r="B1" s="85"/>
      <c r="C1" s="85"/>
      <c r="D1" s="85"/>
      <c r="E1" s="1032"/>
      <c r="F1" s="1032"/>
      <c r="G1" s="85"/>
      <c r="H1" s="929"/>
      <c r="I1" s="929"/>
      <c r="J1" s="929"/>
      <c r="K1" s="1363"/>
      <c r="L1" s="85"/>
      <c r="M1" s="85"/>
      <c r="N1" s="85"/>
      <c r="O1" s="85"/>
      <c r="P1" s="85"/>
      <c r="Q1" s="85"/>
      <c r="R1" s="85"/>
      <c r="S1" s="85"/>
      <c r="T1" s="615" t="str">
        <f>Attach</f>
        <v>FINAL - BH January 15, 2021 Rev. Req. Model</v>
      </c>
      <c r="U1" s="123"/>
      <c r="V1" s="123"/>
    </row>
    <row r="2" spans="1:29" ht="12.75" customHeight="1">
      <c r="A2" s="30" t="s">
        <v>301</v>
      </c>
      <c r="B2" s="85"/>
      <c r="C2" s="85"/>
      <c r="D2" s="85"/>
      <c r="E2" s="85"/>
      <c r="F2" s="85"/>
      <c r="G2" s="85"/>
      <c r="H2" s="85"/>
      <c r="I2" s="85"/>
      <c r="J2" s="85"/>
      <c r="K2" s="137"/>
      <c r="L2" s="1361"/>
      <c r="M2" s="1361"/>
      <c r="N2" s="1361"/>
      <c r="O2" s="1361"/>
      <c r="P2" s="1361"/>
      <c r="Q2" s="1361"/>
      <c r="R2" s="85"/>
      <c r="S2" s="85"/>
      <c r="T2" s="343" t="s">
        <v>401</v>
      </c>
      <c r="U2" s="85"/>
      <c r="V2" s="123"/>
    </row>
    <row r="3" spans="1:29" ht="12.75" customHeight="1">
      <c r="A3" s="70" t="str">
        <f>TYEnded</f>
        <v>FOR THE TEST YEAR ENDING DECEMBER 31, 2020</v>
      </c>
      <c r="B3" s="85"/>
      <c r="C3" s="85"/>
      <c r="D3" s="85"/>
      <c r="E3" s="85"/>
      <c r="F3" s="85"/>
      <c r="G3" s="85"/>
      <c r="H3" s="85"/>
      <c r="I3" s="85"/>
      <c r="J3" s="85"/>
      <c r="K3" s="137"/>
      <c r="L3" s="1361"/>
      <c r="M3" s="1361"/>
      <c r="N3" s="1361"/>
      <c r="O3" s="1361"/>
      <c r="P3" s="1361"/>
      <c r="Q3" s="1361"/>
      <c r="R3" s="85"/>
      <c r="S3" s="85"/>
      <c r="U3" s="85"/>
      <c r="V3" s="123"/>
    </row>
    <row r="4" spans="1:29">
      <c r="A4" s="1376"/>
      <c r="B4" s="23"/>
      <c r="C4" s="23"/>
      <c r="D4" s="23"/>
      <c r="E4" s="85"/>
      <c r="F4" s="85"/>
      <c r="G4" s="23"/>
      <c r="H4" s="977"/>
      <c r="I4" s="977"/>
      <c r="J4" s="977"/>
      <c r="K4" s="977"/>
      <c r="L4" s="977"/>
      <c r="M4" s="977"/>
      <c r="N4" s="977"/>
      <c r="O4" s="977"/>
      <c r="P4" s="977"/>
      <c r="Q4" s="977"/>
      <c r="R4" s="977"/>
      <c r="S4" s="977"/>
      <c r="T4" s="23"/>
      <c r="U4" s="23"/>
      <c r="V4" s="123"/>
    </row>
    <row r="5" spans="1:29">
      <c r="A5" s="20"/>
      <c r="B5" s="1378"/>
      <c r="C5" s="20"/>
      <c r="D5" s="20"/>
      <c r="E5" s="15" t="s">
        <v>295</v>
      </c>
      <c r="F5" s="15" t="s">
        <v>296</v>
      </c>
      <c r="G5" s="15" t="s">
        <v>297</v>
      </c>
      <c r="H5" s="15" t="s">
        <v>629</v>
      </c>
      <c r="I5" s="1391" t="s">
        <v>203</v>
      </c>
      <c r="J5" s="1391" t="s">
        <v>204</v>
      </c>
      <c r="K5" s="1391" t="s">
        <v>205</v>
      </c>
      <c r="L5" s="1391" t="s">
        <v>763</v>
      </c>
      <c r="M5" s="1391" t="s">
        <v>766</v>
      </c>
      <c r="N5" s="1391" t="s">
        <v>208</v>
      </c>
      <c r="O5" s="1408" t="s">
        <v>209</v>
      </c>
      <c r="P5" s="1454" t="s">
        <v>1</v>
      </c>
      <c r="Q5" s="1454" t="s">
        <v>2</v>
      </c>
      <c r="R5" s="1454" t="s">
        <v>497</v>
      </c>
      <c r="S5" s="1613" t="s">
        <v>973</v>
      </c>
      <c r="T5" s="1454" t="s">
        <v>1550</v>
      </c>
      <c r="U5" s="23"/>
      <c r="V5" s="123"/>
    </row>
    <row r="6" spans="1:29">
      <c r="A6" s="20"/>
      <c r="B6" s="1378"/>
      <c r="C6" s="20"/>
      <c r="D6" s="20"/>
      <c r="E6" s="15"/>
      <c r="F6" s="15"/>
      <c r="G6" s="15"/>
      <c r="H6" s="15"/>
      <c r="I6" s="1391"/>
      <c r="J6" s="1391"/>
      <c r="K6" s="15"/>
      <c r="L6" s="15"/>
      <c r="M6" s="15"/>
      <c r="N6" s="15"/>
      <c r="O6" s="1408"/>
      <c r="P6" s="1454"/>
      <c r="Q6" s="1454"/>
      <c r="R6" s="15"/>
      <c r="S6" s="1613"/>
      <c r="T6" s="15"/>
      <c r="U6" s="23"/>
      <c r="V6" s="123"/>
    </row>
    <row r="7" spans="1:29">
      <c r="A7" s="20"/>
      <c r="B7" s="20"/>
      <c r="C7" s="20"/>
      <c r="D7" s="20"/>
      <c r="E7" s="1418" t="s">
        <v>1333</v>
      </c>
      <c r="F7" s="1418" t="s">
        <v>765</v>
      </c>
      <c r="G7" s="1418" t="s">
        <v>765</v>
      </c>
      <c r="H7" s="15" t="s">
        <v>686</v>
      </c>
      <c r="I7" s="1391" t="s">
        <v>1262</v>
      </c>
      <c r="J7" s="1393" t="s">
        <v>1262</v>
      </c>
      <c r="K7" s="15" t="s">
        <v>334</v>
      </c>
      <c r="L7" s="15" t="s">
        <v>628</v>
      </c>
      <c r="M7" s="15" t="s">
        <v>495</v>
      </c>
      <c r="N7" s="15" t="s">
        <v>1247</v>
      </c>
      <c r="O7" s="1454" t="s">
        <v>1384</v>
      </c>
      <c r="P7" s="1454" t="s">
        <v>1522</v>
      </c>
      <c r="Q7" s="1454" t="s">
        <v>1387</v>
      </c>
      <c r="R7" s="15" t="s">
        <v>753</v>
      </c>
      <c r="S7" s="1613" t="s">
        <v>1538</v>
      </c>
      <c r="T7" s="15" t="s">
        <v>1551</v>
      </c>
      <c r="U7" s="23"/>
      <c r="V7" s="123"/>
    </row>
    <row r="8" spans="1:29">
      <c r="A8" s="1418" t="s">
        <v>59</v>
      </c>
      <c r="B8" s="616"/>
      <c r="C8" s="616"/>
      <c r="D8" s="616"/>
      <c r="E8" s="364" t="s">
        <v>498</v>
      </c>
      <c r="F8" s="1418" t="s">
        <v>635</v>
      </c>
      <c r="G8" s="1418" t="s">
        <v>1136</v>
      </c>
      <c r="H8" s="15" t="s">
        <v>685</v>
      </c>
      <c r="I8" s="1391" t="s">
        <v>232</v>
      </c>
      <c r="J8" s="1391" t="s">
        <v>1299</v>
      </c>
      <c r="K8" s="15" t="s">
        <v>461</v>
      </c>
      <c r="L8" s="364" t="s">
        <v>689</v>
      </c>
      <c r="M8" s="15" t="s">
        <v>627</v>
      </c>
      <c r="N8" s="15" t="s">
        <v>232</v>
      </c>
      <c r="O8" s="1454" t="s">
        <v>1385</v>
      </c>
      <c r="P8" s="1454" t="s">
        <v>1386</v>
      </c>
      <c r="Q8" s="1454" t="s">
        <v>1385</v>
      </c>
      <c r="R8" s="15" t="s">
        <v>232</v>
      </c>
      <c r="S8" s="1613" t="s">
        <v>14</v>
      </c>
      <c r="T8" s="364" t="s">
        <v>816</v>
      </c>
      <c r="U8" s="33"/>
      <c r="V8" s="82">
        <v>1</v>
      </c>
      <c r="W8" s="75" t="str">
        <f>References!$C$17</f>
        <v>Exhibit No. MCC-2 NEG</v>
      </c>
      <c r="X8" s="75" t="str">
        <f>References!$D$17</f>
        <v>Exhibit No. MCC-2 NEGD</v>
      </c>
      <c r="Y8" s="75" t="str">
        <f>References!$E$17</f>
        <v>FINAL - BH January 15, 2021 Rev. Req. Model</v>
      </c>
    </row>
    <row r="9" spans="1:29">
      <c r="A9" s="362" t="s">
        <v>195</v>
      </c>
      <c r="B9" s="617" t="s">
        <v>315</v>
      </c>
      <c r="C9" s="617"/>
      <c r="D9" s="617"/>
      <c r="E9" s="125" t="s">
        <v>812</v>
      </c>
      <c r="F9" s="362" t="s">
        <v>812</v>
      </c>
      <c r="G9" s="362" t="s">
        <v>812</v>
      </c>
      <c r="H9" s="362" t="s">
        <v>1521</v>
      </c>
      <c r="I9" s="362" t="s">
        <v>1392</v>
      </c>
      <c r="J9" s="362" t="s">
        <v>1391</v>
      </c>
      <c r="K9" s="362" t="s">
        <v>12</v>
      </c>
      <c r="L9" s="362" t="s">
        <v>1390</v>
      </c>
      <c r="M9" s="362" t="s">
        <v>1389</v>
      </c>
      <c r="N9" s="362" t="s">
        <v>1388</v>
      </c>
      <c r="O9" s="362" t="s">
        <v>1393</v>
      </c>
      <c r="P9" s="362" t="s">
        <v>1394</v>
      </c>
      <c r="Q9" s="362" t="s">
        <v>1395</v>
      </c>
      <c r="R9" s="362" t="s">
        <v>1396</v>
      </c>
      <c r="S9" s="362" t="s">
        <v>1539</v>
      </c>
      <c r="T9" s="362" t="s">
        <v>563</v>
      </c>
      <c r="U9" s="33"/>
      <c r="V9" s="82">
        <f>V8+1</f>
        <v>2</v>
      </c>
      <c r="W9" s="75" t="str">
        <f>References!$C$18</f>
        <v>NEG</v>
      </c>
      <c r="X9" s="75" t="str">
        <f>References!$D$18</f>
        <v>NEGD</v>
      </c>
      <c r="Y9" s="75" t="str">
        <f>References!$E$18</f>
        <v>Tot Co</v>
      </c>
    </row>
    <row r="10" spans="1:29">
      <c r="A10" s="23"/>
      <c r="B10" s="23"/>
      <c r="C10" s="23"/>
      <c r="D10" s="23"/>
      <c r="E10" s="496"/>
      <c r="F10" s="496"/>
      <c r="G10" s="496"/>
      <c r="H10" s="496"/>
      <c r="I10" s="496"/>
      <c r="J10" s="496"/>
      <c r="K10" s="496"/>
      <c r="L10" s="496"/>
      <c r="N10" s="23"/>
      <c r="O10" s="23"/>
      <c r="P10" s="23"/>
      <c r="Q10" s="23"/>
      <c r="R10" s="23"/>
      <c r="S10" s="23"/>
      <c r="T10" s="23"/>
      <c r="U10" s="23"/>
      <c r="V10" s="82">
        <f t="shared" ref="V10:V35" si="0">V9+1</f>
        <v>3</v>
      </c>
      <c r="W10" s="75"/>
      <c r="X10" s="75"/>
      <c r="Y10" s="75"/>
    </row>
    <row r="11" spans="1:29">
      <c r="A11" s="103">
        <v>1</v>
      </c>
      <c r="B11" s="23" t="s">
        <v>1068</v>
      </c>
      <c r="C11" s="23"/>
      <c r="D11" s="23"/>
      <c r="E11" s="496"/>
      <c r="F11" s="496"/>
      <c r="G11" s="496"/>
      <c r="H11" s="496"/>
      <c r="I11" s="496"/>
      <c r="J11" s="496"/>
      <c r="K11" s="496"/>
      <c r="L11" s="496"/>
      <c r="N11" s="23"/>
      <c r="O11" s="23"/>
      <c r="P11" s="23"/>
      <c r="Q11" s="23"/>
      <c r="R11" s="23"/>
      <c r="S11" s="23"/>
      <c r="T11" s="23"/>
      <c r="U11" s="23"/>
      <c r="V11" s="82">
        <f t="shared" si="0"/>
        <v>4</v>
      </c>
      <c r="W11" s="75"/>
      <c r="X11" s="75"/>
      <c r="Y11" s="75"/>
    </row>
    <row r="12" spans="1:29">
      <c r="A12" s="103">
        <f>A11+1</f>
        <v>2</v>
      </c>
      <c r="B12" s="23"/>
      <c r="C12" s="103" t="s">
        <v>1297</v>
      </c>
      <c r="D12" s="23" t="s">
        <v>1066</v>
      </c>
      <c r="E12" s="613">
        <f>HLOOKUP(Attach,$W$8:$Y$38,V12,FALSE)</f>
        <v>118394409.33</v>
      </c>
      <c r="F12" s="613">
        <v>0</v>
      </c>
      <c r="G12" s="361">
        <v>0</v>
      </c>
      <c r="H12" s="683">
        <f>'Sched I-1'!U12-E12</f>
        <v>64983.650000020862</v>
      </c>
      <c r="I12" s="683">
        <f>'Sched I-1'!U14</f>
        <v>671223.48000000068</v>
      </c>
      <c r="J12" s="683">
        <f>'Sched I-1'!U16</f>
        <v>-207141.99000000002</v>
      </c>
      <c r="K12" s="683">
        <v>0</v>
      </c>
      <c r="L12" s="683">
        <f>'Sched I-1'!U20</f>
        <v>-4118020</v>
      </c>
      <c r="M12" s="683">
        <f>'Sched I-1'!U22</f>
        <v>898797</v>
      </c>
      <c r="N12" s="683">
        <v>0</v>
      </c>
      <c r="O12" s="683">
        <f>'Sched I-1'!U24</f>
        <v>393733.12755877903</v>
      </c>
      <c r="P12" s="683">
        <f>+'Sched I-1'!U26</f>
        <v>-692725.98000000021</v>
      </c>
      <c r="Q12" s="683">
        <f>+'Sched I-1'!U28</f>
        <v>-105688.01564468576</v>
      </c>
      <c r="R12" s="361">
        <v>0</v>
      </c>
      <c r="S12" s="361">
        <f>IF($S$37="Y",'Sched I-3'!E11,0)</f>
        <v>64547</v>
      </c>
      <c r="T12" s="361">
        <f>SUM(E12:S12)</f>
        <v>115364117.60191412</v>
      </c>
      <c r="V12" s="82">
        <f t="shared" si="0"/>
        <v>5</v>
      </c>
      <c r="W12" s="1031">
        <f>69837002.77+7731377.75</f>
        <v>77568380.519999996</v>
      </c>
      <c r="X12" s="1031">
        <f>-1.36424205265939E-11+40826028.81</f>
        <v>40826028.810000002</v>
      </c>
      <c r="Y12" s="937">
        <f>+W12+X12</f>
        <v>118394409.33</v>
      </c>
      <c r="AC12" s="890"/>
    </row>
    <row r="13" spans="1:29">
      <c r="A13" s="103">
        <f t="shared" ref="A13:A15" si="1">A12+1</f>
        <v>3</v>
      </c>
      <c r="B13" s="23"/>
      <c r="C13" s="103" t="s">
        <v>1297</v>
      </c>
      <c r="D13" s="23" t="s">
        <v>1080</v>
      </c>
      <c r="E13" s="768">
        <f>HLOOKUP(Attach,$W$8:$Y$38,V13,FALSE)</f>
        <v>-2221035.6</v>
      </c>
      <c r="F13" s="768">
        <f>-E13</f>
        <v>2221035.6</v>
      </c>
      <c r="G13" s="209">
        <v>0</v>
      </c>
      <c r="H13" s="805">
        <v>0</v>
      </c>
      <c r="I13" s="805">
        <v>0</v>
      </c>
      <c r="J13" s="805">
        <v>0</v>
      </c>
      <c r="K13" s="805">
        <v>0</v>
      </c>
      <c r="L13" s="805">
        <v>0</v>
      </c>
      <c r="M13" s="805">
        <v>0</v>
      </c>
      <c r="N13" s="805">
        <v>0</v>
      </c>
      <c r="O13" s="805">
        <v>0</v>
      </c>
      <c r="P13" s="805">
        <v>0</v>
      </c>
      <c r="Q13" s="805">
        <v>0</v>
      </c>
      <c r="R13" s="805">
        <v>0</v>
      </c>
      <c r="S13" s="805">
        <v>0</v>
      </c>
      <c r="T13" s="805">
        <f>SUM(E13:S13)</f>
        <v>0</v>
      </c>
      <c r="U13" s="23"/>
      <c r="V13" s="82">
        <f t="shared" si="0"/>
        <v>6</v>
      </c>
      <c r="W13" s="1031">
        <f>-2177995.78+6460.34</f>
        <v>-2171535.44</v>
      </c>
      <c r="X13" s="1031">
        <f>0+-49500.16</f>
        <v>-49500.160000000003</v>
      </c>
      <c r="Y13" s="937">
        <f t="shared" ref="Y13:Y16" si="2">+W13+X13</f>
        <v>-2221035.6</v>
      </c>
      <c r="AC13" s="890"/>
    </row>
    <row r="14" spans="1:29">
      <c r="A14" s="103">
        <f t="shared" si="1"/>
        <v>4</v>
      </c>
      <c r="B14" s="23"/>
      <c r="C14" s="103" t="s">
        <v>579</v>
      </c>
      <c r="D14" s="23" t="s">
        <v>1100</v>
      </c>
      <c r="E14" s="768">
        <f>HLOOKUP(Attach,$W$8:$Y$38,V14,FALSE)</f>
        <v>77344023.480000004</v>
      </c>
      <c r="F14" s="768">
        <v>0</v>
      </c>
      <c r="G14" s="209">
        <v>0</v>
      </c>
      <c r="H14" s="805">
        <v>0</v>
      </c>
      <c r="I14" s="805">
        <v>0</v>
      </c>
      <c r="J14" s="805">
        <v>0</v>
      </c>
      <c r="K14" s="805">
        <f>-E14</f>
        <v>-77344023.480000004</v>
      </c>
      <c r="L14" s="805">
        <v>0</v>
      </c>
      <c r="M14" s="805">
        <v>0</v>
      </c>
      <c r="N14" s="805">
        <v>0</v>
      </c>
      <c r="O14" s="805">
        <v>0</v>
      </c>
      <c r="P14" s="805">
        <v>0</v>
      </c>
      <c r="Q14" s="805">
        <v>0</v>
      </c>
      <c r="R14" s="805">
        <v>0</v>
      </c>
      <c r="S14" s="805">
        <v>0</v>
      </c>
      <c r="T14" s="209">
        <f>SUM(E14:S14)</f>
        <v>0</v>
      </c>
      <c r="U14" s="23"/>
      <c r="V14" s="82">
        <f t="shared" si="0"/>
        <v>7</v>
      </c>
      <c r="W14" s="1031">
        <v>77344023.480000004</v>
      </c>
      <c r="X14" s="1031">
        <v>0</v>
      </c>
      <c r="Y14" s="937">
        <f t="shared" si="2"/>
        <v>77344023.480000004</v>
      </c>
      <c r="AC14" s="890"/>
    </row>
    <row r="15" spans="1:29">
      <c r="A15" s="103">
        <f t="shared" si="1"/>
        <v>5</v>
      </c>
      <c r="B15" s="123"/>
      <c r="C15" s="103">
        <v>496</v>
      </c>
      <c r="D15" s="23" t="s">
        <v>1067</v>
      </c>
      <c r="E15" s="771">
        <f>HLOOKUP(Attach,$W$8:$Y$38,V15,FALSE)</f>
        <v>-3156985.0900000003</v>
      </c>
      <c r="F15" s="771">
        <f>-E15</f>
        <v>3156985.0900000003</v>
      </c>
      <c r="G15" s="787">
        <v>0</v>
      </c>
      <c r="H15" s="791">
        <v>0</v>
      </c>
      <c r="I15" s="791">
        <v>0</v>
      </c>
      <c r="J15" s="791">
        <v>0</v>
      </c>
      <c r="K15" s="791">
        <v>0</v>
      </c>
      <c r="L15" s="791">
        <v>0</v>
      </c>
      <c r="M15" s="791">
        <v>0</v>
      </c>
      <c r="N15" s="791">
        <v>0</v>
      </c>
      <c r="O15" s="791">
        <v>0</v>
      </c>
      <c r="P15" s="791">
        <v>0</v>
      </c>
      <c r="Q15" s="791">
        <v>0</v>
      </c>
      <c r="R15" s="787">
        <v>0</v>
      </c>
      <c r="S15" s="787">
        <v>0</v>
      </c>
      <c r="T15" s="787">
        <f>SUM(E15:S15)</f>
        <v>0</v>
      </c>
      <c r="U15" s="23"/>
      <c r="V15" s="82">
        <f t="shared" si="0"/>
        <v>8</v>
      </c>
      <c r="W15" s="1031">
        <v>-2269076.5300000003</v>
      </c>
      <c r="X15" s="1031">
        <v>-887908.56</v>
      </c>
      <c r="Y15" s="937">
        <f t="shared" si="2"/>
        <v>-3156985.0900000003</v>
      </c>
      <c r="AC15" s="890"/>
    </row>
    <row r="16" spans="1:29">
      <c r="A16" s="103">
        <f t="shared" ref="A16:A35" si="3">A15+1</f>
        <v>6</v>
      </c>
      <c r="B16" s="33" t="s">
        <v>1069</v>
      </c>
      <c r="C16" s="123"/>
      <c r="D16" s="23"/>
      <c r="E16" s="550">
        <f t="shared" ref="E16:T16" si="4">SUM(E12:E15)</f>
        <v>190360412.12</v>
      </c>
      <c r="F16" s="550">
        <f t="shared" si="4"/>
        <v>5378020.6900000004</v>
      </c>
      <c r="G16" s="550">
        <f t="shared" si="4"/>
        <v>0</v>
      </c>
      <c r="H16" s="1428">
        <f t="shared" si="4"/>
        <v>64983.650000020862</v>
      </c>
      <c r="I16" s="1428">
        <f t="shared" si="4"/>
        <v>671223.48000000068</v>
      </c>
      <c r="J16" s="1428">
        <f t="shared" si="4"/>
        <v>-207141.99000000002</v>
      </c>
      <c r="K16" s="1428">
        <f t="shared" si="4"/>
        <v>-77344023.480000004</v>
      </c>
      <c r="L16" s="1428">
        <f t="shared" si="4"/>
        <v>-4118020</v>
      </c>
      <c r="M16" s="1428">
        <f t="shared" si="4"/>
        <v>898797</v>
      </c>
      <c r="N16" s="1428">
        <f t="shared" si="4"/>
        <v>0</v>
      </c>
      <c r="O16" s="1428">
        <f t="shared" si="4"/>
        <v>393733.12755877903</v>
      </c>
      <c r="P16" s="1428">
        <f t="shared" si="4"/>
        <v>-692725.98000000021</v>
      </c>
      <c r="Q16" s="1428">
        <f t="shared" si="4"/>
        <v>-105688.01564468576</v>
      </c>
      <c r="R16" s="550">
        <f t="shared" si="4"/>
        <v>0</v>
      </c>
      <c r="S16" s="550">
        <f t="shared" ref="S16" si="5">SUM(S12:S15)</f>
        <v>64547</v>
      </c>
      <c r="T16" s="550">
        <f t="shared" si="4"/>
        <v>115364117.60191412</v>
      </c>
      <c r="U16" s="23"/>
      <c r="V16" s="82">
        <f t="shared" si="0"/>
        <v>9</v>
      </c>
      <c r="W16" s="937">
        <f>SUM(W12:W15)</f>
        <v>150471792.03</v>
      </c>
      <c r="X16" s="937">
        <f>SUM(X12:X15)</f>
        <v>39888620.090000004</v>
      </c>
      <c r="Y16" s="937">
        <f t="shared" si="2"/>
        <v>190360412.12</v>
      </c>
      <c r="AC16" s="890"/>
    </row>
    <row r="17" spans="1:29">
      <c r="A17" s="103">
        <f t="shared" si="3"/>
        <v>7</v>
      </c>
      <c r="B17" s="33"/>
      <c r="C17" s="123"/>
      <c r="D17" s="23"/>
      <c r="E17" s="550"/>
      <c r="F17" s="550"/>
      <c r="G17" s="550"/>
      <c r="H17" s="1428"/>
      <c r="I17" s="1428"/>
      <c r="J17" s="1428"/>
      <c r="K17" s="1428"/>
      <c r="L17" s="1428"/>
      <c r="M17" s="1428"/>
      <c r="N17" s="1428"/>
      <c r="O17" s="1428"/>
      <c r="P17" s="1428"/>
      <c r="Q17" s="1428"/>
      <c r="R17" s="550"/>
      <c r="S17" s="550"/>
      <c r="T17" s="550"/>
      <c r="U17" s="23"/>
      <c r="V17" s="82">
        <f t="shared" si="0"/>
        <v>10</v>
      </c>
      <c r="W17" s="497"/>
      <c r="X17" s="497"/>
      <c r="Y17" s="506"/>
      <c r="AC17" s="890"/>
    </row>
    <row r="18" spans="1:29">
      <c r="A18" s="103">
        <f t="shared" si="3"/>
        <v>8</v>
      </c>
      <c r="B18" s="33" t="s">
        <v>1070</v>
      </c>
      <c r="C18" s="123"/>
      <c r="D18" s="23"/>
      <c r="E18" s="550"/>
      <c r="F18" s="550"/>
      <c r="G18" s="550"/>
      <c r="H18" s="1428"/>
      <c r="I18" s="1428"/>
      <c r="J18" s="1428"/>
      <c r="K18" s="1428"/>
      <c r="L18" s="1428"/>
      <c r="M18" s="1428"/>
      <c r="N18" s="1428"/>
      <c r="O18" s="1428"/>
      <c r="P18" s="1428"/>
      <c r="Q18" s="1428"/>
      <c r="R18" s="550"/>
      <c r="S18" s="550"/>
      <c r="T18" s="550"/>
      <c r="U18" s="23"/>
      <c r="V18" s="82">
        <f t="shared" si="0"/>
        <v>11</v>
      </c>
      <c r="AC18" s="890"/>
    </row>
    <row r="19" spans="1:29">
      <c r="A19" s="103">
        <f t="shared" si="3"/>
        <v>9</v>
      </c>
      <c r="B19" s="33"/>
      <c r="C19" s="103" t="s">
        <v>1297</v>
      </c>
      <c r="D19" s="23" t="s">
        <v>1071</v>
      </c>
      <c r="E19" s="613">
        <f>HLOOKUP(Attach,$W$8:$Y$38,V19,FALSE)</f>
        <v>23448673.650000002</v>
      </c>
      <c r="F19" s="613">
        <v>0</v>
      </c>
      <c r="G19" s="613">
        <v>0</v>
      </c>
      <c r="H19" s="1018">
        <f>'Sched I-1'!V12-'Stmt I '!E19</f>
        <v>-140.0299999974668</v>
      </c>
      <c r="I19" s="683">
        <f>'Sched I-1'!V14</f>
        <v>191442.16999999748</v>
      </c>
      <c r="J19" s="1018">
        <f>'Sched I-1'!V16</f>
        <v>207141.99000000002</v>
      </c>
      <c r="K19" s="1018">
        <v>0</v>
      </c>
      <c r="L19" s="1018">
        <v>0</v>
      </c>
      <c r="M19" s="1018">
        <v>0</v>
      </c>
      <c r="N19" s="1018">
        <f>'Sched I-1'!V30</f>
        <v>2164749.1269999999</v>
      </c>
      <c r="O19" s="1018">
        <v>0</v>
      </c>
      <c r="P19" s="1018">
        <v>0</v>
      </c>
      <c r="Q19" s="1018">
        <v>0</v>
      </c>
      <c r="R19" s="613">
        <v>0</v>
      </c>
      <c r="S19" s="613">
        <v>0</v>
      </c>
      <c r="T19" s="361">
        <f>SUM(E19:S19)</f>
        <v>26011866.907000002</v>
      </c>
      <c r="U19" s="23"/>
      <c r="V19" s="82">
        <f t="shared" si="0"/>
        <v>12</v>
      </c>
      <c r="W19" s="1031">
        <f>416484.25+8768320.48</f>
        <v>9184804.7300000004</v>
      </c>
      <c r="X19" s="1031">
        <f>195.46+14263673.46</f>
        <v>14263868.920000002</v>
      </c>
      <c r="Y19" s="937">
        <f t="shared" ref="Y19:Y25" si="6">+W19+X19</f>
        <v>23448673.650000002</v>
      </c>
      <c r="AC19" s="890"/>
    </row>
    <row r="20" spans="1:29">
      <c r="A20" s="103">
        <f t="shared" si="3"/>
        <v>10</v>
      </c>
      <c r="B20" s="33"/>
      <c r="C20" s="103" t="s">
        <v>579</v>
      </c>
      <c r="D20" s="23" t="s">
        <v>1100</v>
      </c>
      <c r="E20" s="768">
        <f>HLOOKUP(Attach,$W$8:$Y$38,V20,FALSE)</f>
        <v>560397.48</v>
      </c>
      <c r="F20" s="768">
        <v>0</v>
      </c>
      <c r="G20" s="768">
        <v>0</v>
      </c>
      <c r="H20" s="1019">
        <v>0</v>
      </c>
      <c r="I20" s="1019">
        <v>0</v>
      </c>
      <c r="J20" s="1019">
        <v>0</v>
      </c>
      <c r="K20" s="1019">
        <f>-E20</f>
        <v>-560397.48</v>
      </c>
      <c r="L20" s="1019">
        <v>0</v>
      </c>
      <c r="M20" s="1019">
        <v>0</v>
      </c>
      <c r="N20" s="1019">
        <v>0</v>
      </c>
      <c r="O20" s="1019">
        <v>0</v>
      </c>
      <c r="P20" s="1019">
        <v>0</v>
      </c>
      <c r="Q20" s="1019">
        <v>0</v>
      </c>
      <c r="R20" s="768">
        <v>0</v>
      </c>
      <c r="S20" s="768">
        <v>0</v>
      </c>
      <c r="T20" s="209">
        <f>SUM(E20:S20)</f>
        <v>0</v>
      </c>
      <c r="U20" s="23"/>
      <c r="V20" s="82">
        <f t="shared" si="0"/>
        <v>13</v>
      </c>
      <c r="W20" s="1031">
        <v>560397.48</v>
      </c>
      <c r="X20" s="1031">
        <v>0</v>
      </c>
      <c r="Y20" s="937">
        <f t="shared" si="6"/>
        <v>560397.48</v>
      </c>
      <c r="AC20" s="890"/>
    </row>
    <row r="21" spans="1:29">
      <c r="A21" s="103">
        <f t="shared" si="3"/>
        <v>11</v>
      </c>
      <c r="B21" s="33"/>
      <c r="C21" s="103">
        <v>489</v>
      </c>
      <c r="D21" s="23" t="s">
        <v>1081</v>
      </c>
      <c r="E21" s="768">
        <f>HLOOKUP(Attach,$W$8:$Y$38,V21,FALSE)</f>
        <v>254002.8299999999</v>
      </c>
      <c r="F21" s="768">
        <f>-E21</f>
        <v>-254002.8299999999</v>
      </c>
      <c r="G21" s="768">
        <v>0</v>
      </c>
      <c r="H21" s="768">
        <v>0</v>
      </c>
      <c r="I21" s="768">
        <v>0</v>
      </c>
      <c r="J21" s="768">
        <v>0</v>
      </c>
      <c r="K21" s="768">
        <v>0</v>
      </c>
      <c r="L21" s="768">
        <v>0</v>
      </c>
      <c r="M21" s="768">
        <v>0</v>
      </c>
      <c r="N21" s="768">
        <v>0</v>
      </c>
      <c r="O21" s="768">
        <v>0</v>
      </c>
      <c r="P21" s="768">
        <v>0</v>
      </c>
      <c r="Q21" s="768">
        <v>0</v>
      </c>
      <c r="R21" s="768">
        <v>0</v>
      </c>
      <c r="S21" s="768">
        <v>0</v>
      </c>
      <c r="T21" s="209">
        <f>SUM(E21:S21)</f>
        <v>0</v>
      </c>
      <c r="U21" s="23"/>
      <c r="V21" s="82">
        <f t="shared" si="0"/>
        <v>14</v>
      </c>
      <c r="W21" s="1031">
        <v>74512.309999999983</v>
      </c>
      <c r="X21" s="1031">
        <v>179490.5199999999</v>
      </c>
      <c r="Y21" s="937">
        <f t="shared" si="6"/>
        <v>254002.8299999999</v>
      </c>
      <c r="AC21" s="890"/>
    </row>
    <row r="22" spans="1:29">
      <c r="A22" s="103">
        <f t="shared" si="3"/>
        <v>12</v>
      </c>
      <c r="B22" s="33"/>
      <c r="C22" s="103">
        <v>496</v>
      </c>
      <c r="D22" s="23" t="s">
        <v>1072</v>
      </c>
      <c r="E22" s="771">
        <f>HLOOKUP(Attach,$W$8:$Y$38,V22,FALSE)</f>
        <v>0</v>
      </c>
      <c r="F22" s="771">
        <v>0</v>
      </c>
      <c r="G22" s="771">
        <v>0</v>
      </c>
      <c r="H22" s="771">
        <v>0</v>
      </c>
      <c r="I22" s="771">
        <v>0</v>
      </c>
      <c r="J22" s="771">
        <v>0</v>
      </c>
      <c r="K22" s="771">
        <v>0</v>
      </c>
      <c r="L22" s="771">
        <v>0</v>
      </c>
      <c r="M22" s="771">
        <v>0</v>
      </c>
      <c r="N22" s="771">
        <v>0</v>
      </c>
      <c r="O22" s="771">
        <v>0</v>
      </c>
      <c r="P22" s="771">
        <v>0</v>
      </c>
      <c r="Q22" s="771">
        <v>0</v>
      </c>
      <c r="R22" s="771">
        <v>0</v>
      </c>
      <c r="S22" s="771">
        <v>0</v>
      </c>
      <c r="T22" s="787">
        <f>SUM(E22:S22)</f>
        <v>0</v>
      </c>
      <c r="U22" s="23"/>
      <c r="V22" s="82">
        <f t="shared" si="0"/>
        <v>15</v>
      </c>
      <c r="W22" s="1031">
        <v>0</v>
      </c>
      <c r="X22" s="1031">
        <v>0</v>
      </c>
      <c r="Y22" s="937">
        <f t="shared" si="6"/>
        <v>0</v>
      </c>
      <c r="AC22" s="890"/>
    </row>
    <row r="23" spans="1:29">
      <c r="A23" s="103">
        <f t="shared" si="3"/>
        <v>13</v>
      </c>
      <c r="B23" s="33" t="s">
        <v>1120</v>
      </c>
      <c r="C23" s="103"/>
      <c r="D23" s="23"/>
      <c r="E23" s="550">
        <f t="shared" ref="E23:T23" si="7">SUM(E19:E22)</f>
        <v>24263073.960000001</v>
      </c>
      <c r="F23" s="550">
        <f t="shared" si="7"/>
        <v>-254002.8299999999</v>
      </c>
      <c r="G23" s="550">
        <f t="shared" si="7"/>
        <v>0</v>
      </c>
      <c r="H23" s="550">
        <f t="shared" si="7"/>
        <v>-140.0299999974668</v>
      </c>
      <c r="I23" s="550">
        <f t="shared" si="7"/>
        <v>191442.16999999748</v>
      </c>
      <c r="J23" s="550">
        <f t="shared" si="7"/>
        <v>207141.99000000002</v>
      </c>
      <c r="K23" s="550">
        <f t="shared" si="7"/>
        <v>-560397.48</v>
      </c>
      <c r="L23" s="550">
        <f t="shared" si="7"/>
        <v>0</v>
      </c>
      <c r="M23" s="550">
        <f t="shared" si="7"/>
        <v>0</v>
      </c>
      <c r="N23" s="550">
        <f t="shared" si="7"/>
        <v>2164749.1269999999</v>
      </c>
      <c r="O23" s="550">
        <f t="shared" si="7"/>
        <v>0</v>
      </c>
      <c r="P23" s="550">
        <f t="shared" si="7"/>
        <v>0</v>
      </c>
      <c r="Q23" s="550">
        <f t="shared" si="7"/>
        <v>0</v>
      </c>
      <c r="R23" s="550">
        <f t="shared" si="7"/>
        <v>0</v>
      </c>
      <c r="S23" s="550">
        <f t="shared" ref="S23" si="8">SUM(S19:S22)</f>
        <v>0</v>
      </c>
      <c r="T23" s="550">
        <f t="shared" si="7"/>
        <v>26011866.907000002</v>
      </c>
      <c r="U23" s="23"/>
      <c r="V23" s="82">
        <f t="shared" si="0"/>
        <v>16</v>
      </c>
      <c r="W23" s="937">
        <f>SUM(W19:W22)</f>
        <v>9819714.5200000014</v>
      </c>
      <c r="X23" s="937">
        <f>SUM(X19:X22)</f>
        <v>14443359.440000001</v>
      </c>
      <c r="Y23" s="937">
        <f t="shared" si="6"/>
        <v>24263073.960000001</v>
      </c>
      <c r="AC23" s="890"/>
    </row>
    <row r="24" spans="1:29">
      <c r="A24" s="103">
        <f t="shared" si="3"/>
        <v>14</v>
      </c>
      <c r="B24" s="33"/>
      <c r="C24" s="103"/>
      <c r="D24" s="23"/>
      <c r="E24" s="550"/>
      <c r="F24" s="550"/>
      <c r="G24" s="550"/>
      <c r="H24" s="550"/>
      <c r="I24" s="550"/>
      <c r="J24" s="550"/>
      <c r="K24" s="550"/>
      <c r="L24" s="550"/>
      <c r="M24" s="550"/>
      <c r="N24" s="550"/>
      <c r="O24" s="550"/>
      <c r="P24" s="550"/>
      <c r="Q24" s="550"/>
      <c r="R24" s="550"/>
      <c r="S24" s="550"/>
      <c r="T24" s="550"/>
      <c r="U24" s="23"/>
      <c r="V24" s="82">
        <f t="shared" si="0"/>
        <v>17</v>
      </c>
      <c r="W24" s="506"/>
      <c r="X24" s="506"/>
      <c r="Y24" s="506"/>
      <c r="AC24" s="890"/>
    </row>
    <row r="25" spans="1:29">
      <c r="A25" s="103">
        <f t="shared" si="3"/>
        <v>15</v>
      </c>
      <c r="B25" s="1058" t="s">
        <v>1134</v>
      </c>
      <c r="C25" s="103"/>
      <c r="D25" s="23"/>
      <c r="E25" s="550">
        <f t="shared" ref="E25:T25" si="9">E16+E23</f>
        <v>214623486.08000001</v>
      </c>
      <c r="F25" s="550">
        <f t="shared" si="9"/>
        <v>5124017.8600000003</v>
      </c>
      <c r="G25" s="550">
        <f t="shared" si="9"/>
        <v>0</v>
      </c>
      <c r="H25" s="550">
        <f t="shared" si="9"/>
        <v>64843.620000023395</v>
      </c>
      <c r="I25" s="550">
        <f t="shared" si="9"/>
        <v>862665.64999999816</v>
      </c>
      <c r="J25" s="550">
        <f t="shared" si="9"/>
        <v>0</v>
      </c>
      <c r="K25" s="550">
        <f t="shared" si="9"/>
        <v>-77904420.960000008</v>
      </c>
      <c r="L25" s="550">
        <f t="shared" si="9"/>
        <v>-4118020</v>
      </c>
      <c r="M25" s="550">
        <f t="shared" si="9"/>
        <v>898797</v>
      </c>
      <c r="N25" s="550">
        <f t="shared" si="9"/>
        <v>2164749.1269999999</v>
      </c>
      <c r="O25" s="550">
        <f t="shared" si="9"/>
        <v>393733.12755877903</v>
      </c>
      <c r="P25" s="550">
        <f t="shared" si="9"/>
        <v>-692725.98000000021</v>
      </c>
      <c r="Q25" s="550">
        <f t="shared" si="9"/>
        <v>-105688.01564468576</v>
      </c>
      <c r="R25" s="550">
        <f t="shared" si="9"/>
        <v>0</v>
      </c>
      <c r="S25" s="550">
        <f t="shared" si="9"/>
        <v>64547</v>
      </c>
      <c r="T25" s="550">
        <f t="shared" si="9"/>
        <v>141375984.50891411</v>
      </c>
      <c r="U25" s="23"/>
      <c r="V25" s="82">
        <f t="shared" si="0"/>
        <v>18</v>
      </c>
      <c r="W25" s="937">
        <f>W16+W23</f>
        <v>160291506.55000001</v>
      </c>
      <c r="X25" s="937">
        <f>X16+X23</f>
        <v>54331979.530000001</v>
      </c>
      <c r="Y25" s="937">
        <f t="shared" si="6"/>
        <v>214623486.08000001</v>
      </c>
      <c r="AC25" s="890"/>
    </row>
    <row r="26" spans="1:29" s="123" customFormat="1">
      <c r="A26" s="103">
        <f t="shared" si="3"/>
        <v>16</v>
      </c>
      <c r="B26" s="1058"/>
      <c r="C26" s="103"/>
      <c r="D26" s="23"/>
      <c r="E26" s="550"/>
      <c r="F26" s="550"/>
      <c r="G26" s="550"/>
      <c r="H26" s="550"/>
      <c r="I26" s="550"/>
      <c r="J26" s="550"/>
      <c r="K26" s="550"/>
      <c r="L26" s="550"/>
      <c r="M26" s="550"/>
      <c r="N26" s="550"/>
      <c r="O26" s="550"/>
      <c r="P26" s="550"/>
      <c r="Q26" s="550"/>
      <c r="R26" s="550"/>
      <c r="S26" s="550"/>
      <c r="T26" s="550"/>
      <c r="U26" s="23"/>
      <c r="V26" s="82">
        <f t="shared" si="0"/>
        <v>19</v>
      </c>
      <c r="W26" s="506"/>
      <c r="X26" s="506"/>
      <c r="Y26" s="506"/>
      <c r="AC26" s="890"/>
    </row>
    <row r="27" spans="1:29">
      <c r="A27" s="103">
        <f>A26+1</f>
        <v>17</v>
      </c>
      <c r="B27" s="23" t="s">
        <v>644</v>
      </c>
      <c r="C27" s="23"/>
      <c r="D27" s="23"/>
      <c r="E27" s="550"/>
      <c r="F27" s="550"/>
      <c r="G27" s="49"/>
      <c r="H27" s="49"/>
      <c r="I27" s="49"/>
      <c r="J27" s="49"/>
      <c r="K27" s="49"/>
      <c r="L27" s="644"/>
      <c r="M27" s="49"/>
      <c r="N27" s="644"/>
      <c r="O27" s="49"/>
      <c r="P27" s="49"/>
      <c r="Q27" s="49"/>
      <c r="R27" s="49"/>
      <c r="S27" s="49"/>
      <c r="T27" s="49"/>
      <c r="U27" s="23"/>
      <c r="V27" s="82">
        <f t="shared" si="0"/>
        <v>20</v>
      </c>
      <c r="W27" s="497"/>
      <c r="X27" s="497"/>
      <c r="Y27" s="506"/>
      <c r="AC27" s="890"/>
    </row>
    <row r="28" spans="1:29">
      <c r="A28" s="103">
        <f t="shared" si="3"/>
        <v>18</v>
      </c>
      <c r="B28" s="23"/>
      <c r="C28" s="103">
        <v>483</v>
      </c>
      <c r="D28" s="23" t="s">
        <v>834</v>
      </c>
      <c r="E28" s="613">
        <f>HLOOKUP(Attach,$W$8:$Y$38,V28,FALSE)</f>
        <v>0</v>
      </c>
      <c r="F28" s="550">
        <v>0</v>
      </c>
      <c r="G28" s="49">
        <v>0</v>
      </c>
      <c r="H28" s="49">
        <v>0</v>
      </c>
      <c r="I28" s="49">
        <v>0</v>
      </c>
      <c r="J28" s="49">
        <v>0</v>
      </c>
      <c r="K28" s="49">
        <v>0</v>
      </c>
      <c r="L28" s="644">
        <v>0</v>
      </c>
      <c r="M28" s="49">
        <v>0</v>
      </c>
      <c r="N28" s="644">
        <v>0</v>
      </c>
      <c r="O28" s="49">
        <v>0</v>
      </c>
      <c r="P28" s="49">
        <v>0</v>
      </c>
      <c r="Q28" s="49">
        <v>0</v>
      </c>
      <c r="R28" s="49">
        <v>0</v>
      </c>
      <c r="S28" s="49">
        <v>0</v>
      </c>
      <c r="T28" s="361">
        <f>SUM(E28:S28)</f>
        <v>0</v>
      </c>
      <c r="U28" s="23"/>
      <c r="V28" s="82">
        <f t="shared" si="0"/>
        <v>21</v>
      </c>
      <c r="W28" s="1031">
        <v>0</v>
      </c>
      <c r="X28" s="1031">
        <v>0</v>
      </c>
      <c r="Y28" s="937">
        <f t="shared" ref="Y28:Y35" si="10">+W28+X28</f>
        <v>0</v>
      </c>
      <c r="AC28" s="890"/>
    </row>
    <row r="29" spans="1:29">
      <c r="A29" s="103">
        <f t="shared" si="3"/>
        <v>19</v>
      </c>
      <c r="B29" s="23"/>
      <c r="C29" s="103">
        <v>487</v>
      </c>
      <c r="D29" s="23" t="s">
        <v>819</v>
      </c>
      <c r="E29" s="768">
        <f>HLOOKUP(Attach,$W$8:$Y$38,V29,FALSE)</f>
        <v>715622.31999999972</v>
      </c>
      <c r="F29" s="768">
        <v>0</v>
      </c>
      <c r="G29" s="209">
        <v>0</v>
      </c>
      <c r="H29" s="209">
        <v>0</v>
      </c>
      <c r="I29" s="209">
        <v>0</v>
      </c>
      <c r="J29" s="209">
        <v>0</v>
      </c>
      <c r="K29" s="209">
        <v>0</v>
      </c>
      <c r="L29" s="209">
        <v>0</v>
      </c>
      <c r="M29" s="209">
        <v>0</v>
      </c>
      <c r="N29" s="209">
        <v>0</v>
      </c>
      <c r="O29" s="209">
        <v>0</v>
      </c>
      <c r="P29" s="209">
        <v>0</v>
      </c>
      <c r="Q29" s="209">
        <v>0</v>
      </c>
      <c r="R29" s="209">
        <v>0</v>
      </c>
      <c r="S29" s="209">
        <f>IF($S$37="Y",'Sched I-3'!E13,0)</f>
        <v>-207515</v>
      </c>
      <c r="T29" s="209">
        <f>SUM(E29:S29)</f>
        <v>508107.31999999972</v>
      </c>
      <c r="U29" s="23"/>
      <c r="V29" s="82">
        <f t="shared" si="0"/>
        <v>22</v>
      </c>
      <c r="W29" s="1031">
        <v>358796.04999999987</v>
      </c>
      <c r="X29" s="1031">
        <v>356826.26999999984</v>
      </c>
      <c r="Y29" s="937">
        <f t="shared" si="10"/>
        <v>715622.31999999972</v>
      </c>
      <c r="AC29" s="890"/>
    </row>
    <row r="30" spans="1:29">
      <c r="A30" s="103">
        <f t="shared" si="3"/>
        <v>20</v>
      </c>
      <c r="B30" s="23"/>
      <c r="C30" s="103">
        <v>488</v>
      </c>
      <c r="D30" s="23" t="s">
        <v>842</v>
      </c>
      <c r="E30" s="768">
        <f>HLOOKUP(Attach,$W$8:$Y$38,V30,FALSE)</f>
        <v>2910285.26</v>
      </c>
      <c r="F30" s="768">
        <v>0</v>
      </c>
      <c r="G30" s="209">
        <v>0</v>
      </c>
      <c r="H30" s="209">
        <v>0</v>
      </c>
      <c r="I30" s="209">
        <v>0</v>
      </c>
      <c r="J30" s="209">
        <v>0</v>
      </c>
      <c r="K30" s="209">
        <v>0</v>
      </c>
      <c r="L30" s="209">
        <v>0</v>
      </c>
      <c r="M30" s="209">
        <v>0</v>
      </c>
      <c r="N30" s="209">
        <v>0</v>
      </c>
      <c r="O30" s="209">
        <v>0</v>
      </c>
      <c r="P30" s="209">
        <v>0</v>
      </c>
      <c r="Q30" s="209">
        <v>0</v>
      </c>
      <c r="R30" s="209">
        <v>0</v>
      </c>
      <c r="S30" s="209">
        <f>IF($S$37="Y",'Sched I-3'!E12,0)</f>
        <v>596941</v>
      </c>
      <c r="T30" s="209">
        <f>SUM(E30:S30)</f>
        <v>3507226.26</v>
      </c>
      <c r="U30" s="23"/>
      <c r="V30" s="82">
        <f t="shared" si="0"/>
        <v>23</v>
      </c>
      <c r="W30" s="1031">
        <v>1056288.23</v>
      </c>
      <c r="X30" s="1031">
        <f>512183.06+1341813.97</f>
        <v>1853997.03</v>
      </c>
      <c r="Y30" s="937">
        <f t="shared" si="10"/>
        <v>2910285.26</v>
      </c>
      <c r="AC30" s="890"/>
    </row>
    <row r="31" spans="1:29">
      <c r="A31" s="103">
        <f t="shared" si="3"/>
        <v>21</v>
      </c>
      <c r="B31" s="23"/>
      <c r="C31" s="103">
        <v>493</v>
      </c>
      <c r="D31" s="23" t="s">
        <v>820</v>
      </c>
      <c r="E31" s="768">
        <f>HLOOKUP(Attach,$W$8:$Y$38,V31,FALSE)</f>
        <v>1000</v>
      </c>
      <c r="F31" s="768">
        <v>0</v>
      </c>
      <c r="G31" s="209">
        <f>-E31</f>
        <v>-1000</v>
      </c>
      <c r="H31" s="209">
        <v>0</v>
      </c>
      <c r="I31" s="209">
        <v>0</v>
      </c>
      <c r="J31" s="209">
        <v>0</v>
      </c>
      <c r="K31" s="209">
        <v>0</v>
      </c>
      <c r="L31" s="209">
        <v>0</v>
      </c>
      <c r="M31" s="209">
        <v>0</v>
      </c>
      <c r="N31" s="209">
        <v>0</v>
      </c>
      <c r="O31" s="209">
        <v>0</v>
      </c>
      <c r="P31" s="209">
        <v>0</v>
      </c>
      <c r="Q31" s="209">
        <v>0</v>
      </c>
      <c r="R31" s="209">
        <f>'Sched I-2'!F28</f>
        <v>998809.62342833867</v>
      </c>
      <c r="S31" s="209">
        <v>0</v>
      </c>
      <c r="T31" s="209">
        <f>SUM(E31:S31)</f>
        <v>998809.62342833867</v>
      </c>
      <c r="U31" s="23"/>
      <c r="V31" s="82">
        <f t="shared" si="0"/>
        <v>24</v>
      </c>
      <c r="W31" s="1031">
        <v>1000</v>
      </c>
      <c r="X31" s="1031">
        <v>0</v>
      </c>
      <c r="Y31" s="937">
        <f t="shared" si="10"/>
        <v>1000</v>
      </c>
      <c r="AC31" s="890"/>
    </row>
    <row r="32" spans="1:29">
      <c r="A32" s="103">
        <f t="shared" si="3"/>
        <v>22</v>
      </c>
      <c r="B32" s="23"/>
      <c r="C32" s="103">
        <v>495</v>
      </c>
      <c r="D32" s="23" t="s">
        <v>821</v>
      </c>
      <c r="E32" s="771">
        <f>HLOOKUP(Attach,$W$8:$Y$38,V32,FALSE)</f>
        <v>653819.56999999995</v>
      </c>
      <c r="F32" s="771">
        <v>0</v>
      </c>
      <c r="G32" s="787">
        <v>0</v>
      </c>
      <c r="H32" s="787">
        <v>0</v>
      </c>
      <c r="I32" s="787">
        <v>0</v>
      </c>
      <c r="J32" s="787">
        <v>0</v>
      </c>
      <c r="K32" s="787">
        <v>0</v>
      </c>
      <c r="L32" s="787">
        <v>0</v>
      </c>
      <c r="M32" s="787">
        <v>0</v>
      </c>
      <c r="N32" s="787">
        <v>0</v>
      </c>
      <c r="O32" s="787">
        <v>0</v>
      </c>
      <c r="P32" s="787">
        <v>0</v>
      </c>
      <c r="Q32" s="787">
        <v>0</v>
      </c>
      <c r="R32" s="787">
        <v>0</v>
      </c>
      <c r="S32" s="787">
        <v>0</v>
      </c>
      <c r="T32" s="787">
        <f>SUM(E32:S32)</f>
        <v>653819.56999999995</v>
      </c>
      <c r="U32" s="23"/>
      <c r="V32" s="82">
        <f t="shared" si="0"/>
        <v>25</v>
      </c>
      <c r="W32" s="1031">
        <v>643699.56999999995</v>
      </c>
      <c r="X32" s="1031">
        <v>10120</v>
      </c>
      <c r="Y32" s="937">
        <f t="shared" si="10"/>
        <v>653819.56999999995</v>
      </c>
      <c r="AC32" s="890"/>
    </row>
    <row r="33" spans="1:29">
      <c r="A33" s="103">
        <f t="shared" si="3"/>
        <v>23</v>
      </c>
      <c r="B33" s="23" t="s">
        <v>481</v>
      </c>
      <c r="C33" s="103"/>
      <c r="D33" s="66"/>
      <c r="E33" s="613">
        <f t="shared" ref="E33:T33" si="11">SUM(E28:E32)</f>
        <v>4280727.1499999994</v>
      </c>
      <c r="F33" s="613">
        <f t="shared" si="11"/>
        <v>0</v>
      </c>
      <c r="G33" s="613">
        <f t="shared" si="11"/>
        <v>-1000</v>
      </c>
      <c r="H33" s="613">
        <f t="shared" si="11"/>
        <v>0</v>
      </c>
      <c r="I33" s="613">
        <f t="shared" si="11"/>
        <v>0</v>
      </c>
      <c r="J33" s="613">
        <f t="shared" si="11"/>
        <v>0</v>
      </c>
      <c r="K33" s="613">
        <f t="shared" si="11"/>
        <v>0</v>
      </c>
      <c r="L33" s="613">
        <f t="shared" si="11"/>
        <v>0</v>
      </c>
      <c r="M33" s="613">
        <f t="shared" si="11"/>
        <v>0</v>
      </c>
      <c r="N33" s="613">
        <f t="shared" si="11"/>
        <v>0</v>
      </c>
      <c r="O33" s="613">
        <f t="shared" si="11"/>
        <v>0</v>
      </c>
      <c r="P33" s="613">
        <f t="shared" si="11"/>
        <v>0</v>
      </c>
      <c r="Q33" s="613">
        <f t="shared" si="11"/>
        <v>0</v>
      </c>
      <c r="R33" s="613">
        <f t="shared" si="11"/>
        <v>998809.62342833867</v>
      </c>
      <c r="S33" s="613">
        <f t="shared" si="11"/>
        <v>389426</v>
      </c>
      <c r="T33" s="613">
        <f t="shared" si="11"/>
        <v>5667962.7734283386</v>
      </c>
      <c r="U33" s="23"/>
      <c r="V33" s="82">
        <f t="shared" si="0"/>
        <v>26</v>
      </c>
      <c r="W33" s="937">
        <f>SUM(W28:W32)</f>
        <v>2059783.8499999996</v>
      </c>
      <c r="X33" s="937">
        <f>SUM(X28:X32)</f>
        <v>2220943.2999999998</v>
      </c>
      <c r="Y33" s="937">
        <f t="shared" si="10"/>
        <v>4280727.1499999994</v>
      </c>
      <c r="AC33" s="890"/>
    </row>
    <row r="34" spans="1:29">
      <c r="A34" s="103">
        <f t="shared" si="3"/>
        <v>24</v>
      </c>
      <c r="B34" s="23"/>
      <c r="C34" s="103"/>
      <c r="D34" s="23"/>
      <c r="E34" s="613"/>
      <c r="F34" s="613"/>
      <c r="G34" s="361"/>
      <c r="H34" s="361"/>
      <c r="I34" s="361"/>
      <c r="J34" s="361"/>
      <c r="K34" s="361"/>
      <c r="L34" s="361"/>
      <c r="M34" s="361"/>
      <c r="N34" s="361"/>
      <c r="O34" s="361"/>
      <c r="P34" s="361"/>
      <c r="Q34" s="361"/>
      <c r="R34" s="361"/>
      <c r="S34" s="361"/>
      <c r="T34" s="361"/>
      <c r="U34" s="23"/>
      <c r="V34" s="82">
        <f t="shared" si="0"/>
        <v>27</v>
      </c>
      <c r="W34" s="497"/>
      <c r="X34" s="497"/>
      <c r="Y34" s="506"/>
      <c r="AC34" s="890"/>
    </row>
    <row r="35" spans="1:29" ht="13.5" thickBot="1">
      <c r="A35" s="103">
        <f t="shared" si="3"/>
        <v>25</v>
      </c>
      <c r="B35" s="23" t="s">
        <v>0</v>
      </c>
      <c r="C35" s="23"/>
      <c r="D35" s="23"/>
      <c r="E35" s="134">
        <f t="shared" ref="E35:T35" si="12">E16+E23+E33</f>
        <v>218904213.23000002</v>
      </c>
      <c r="F35" s="134">
        <f t="shared" si="12"/>
        <v>5124017.8600000003</v>
      </c>
      <c r="G35" s="134">
        <f t="shared" si="12"/>
        <v>-1000</v>
      </c>
      <c r="H35" s="1392">
        <f t="shared" si="12"/>
        <v>64843.620000023395</v>
      </c>
      <c r="I35" s="1392">
        <f t="shared" si="12"/>
        <v>862665.64999999816</v>
      </c>
      <c r="J35" s="1392">
        <f t="shared" si="12"/>
        <v>0</v>
      </c>
      <c r="K35" s="1392">
        <f t="shared" si="12"/>
        <v>-77904420.960000008</v>
      </c>
      <c r="L35" s="1392">
        <f t="shared" si="12"/>
        <v>-4118020</v>
      </c>
      <c r="M35" s="1392">
        <f t="shared" si="12"/>
        <v>898797</v>
      </c>
      <c r="N35" s="1392">
        <f t="shared" si="12"/>
        <v>2164749.1269999999</v>
      </c>
      <c r="O35" s="1392">
        <f t="shared" si="12"/>
        <v>393733.12755877903</v>
      </c>
      <c r="P35" s="1392">
        <f t="shared" si="12"/>
        <v>-692725.98000000021</v>
      </c>
      <c r="Q35" s="1392">
        <f t="shared" si="12"/>
        <v>-105688.01564468576</v>
      </c>
      <c r="R35" s="1392">
        <f t="shared" si="12"/>
        <v>998809.62342833867</v>
      </c>
      <c r="S35" s="1392">
        <f t="shared" si="12"/>
        <v>453973</v>
      </c>
      <c r="T35" s="1392">
        <f t="shared" si="12"/>
        <v>147043947.28234246</v>
      </c>
      <c r="U35" s="23"/>
      <c r="V35" s="82">
        <f t="shared" si="0"/>
        <v>28</v>
      </c>
      <c r="W35" s="937">
        <f>W16+W23+W33</f>
        <v>162351290.40000001</v>
      </c>
      <c r="X35" s="937">
        <f>X16+X23+X33</f>
        <v>56552922.829999998</v>
      </c>
      <c r="Y35" s="937">
        <f t="shared" si="10"/>
        <v>218904213.23000002</v>
      </c>
      <c r="AC35" s="890"/>
    </row>
    <row r="36" spans="1:29" ht="13.5" thickTop="1">
      <c r="A36" s="103"/>
      <c r="B36" s="23"/>
      <c r="C36" s="23"/>
      <c r="D36" s="23"/>
      <c r="E36" s="54"/>
      <c r="F36" s="54"/>
      <c r="G36" s="54"/>
      <c r="H36" s="54"/>
      <c r="I36" s="54"/>
      <c r="J36" s="54"/>
      <c r="K36" s="54"/>
      <c r="L36" s="54"/>
      <c r="M36" s="54"/>
      <c r="N36" s="54"/>
      <c r="O36" s="54"/>
      <c r="P36" s="54"/>
      <c r="Q36" s="54"/>
      <c r="R36" s="54"/>
      <c r="S36" s="54"/>
      <c r="T36" s="54"/>
      <c r="U36" s="23"/>
      <c r="V36" s="123"/>
    </row>
    <row r="37" spans="1:29">
      <c r="A37" s="103"/>
      <c r="B37" s="23"/>
      <c r="C37" s="23"/>
      <c r="D37" s="23"/>
      <c r="E37" s="160"/>
      <c r="F37" s="160"/>
      <c r="G37" s="160"/>
      <c r="H37" s="160"/>
      <c r="I37" s="160"/>
      <c r="J37" s="160"/>
      <c r="K37" s="160"/>
      <c r="L37" s="160"/>
      <c r="M37" s="160"/>
      <c r="N37" s="160"/>
      <c r="O37" s="160"/>
      <c r="P37" s="160"/>
      <c r="Q37" s="160" t="s">
        <v>1537</v>
      </c>
      <c r="R37" s="160"/>
      <c r="S37" s="160" t="str">
        <f>'Stmt N'!S1</f>
        <v>Y</v>
      </c>
      <c r="T37" s="160"/>
      <c r="U37" s="23"/>
      <c r="V37" s="123"/>
    </row>
    <row r="38" spans="1:29">
      <c r="A38" s="103"/>
      <c r="B38" s="23"/>
      <c r="C38" s="23"/>
      <c r="D38" s="23"/>
      <c r="E38" s="160"/>
      <c r="F38" s="23"/>
      <c r="G38" s="23"/>
      <c r="K38" s="23"/>
      <c r="L38" s="23"/>
      <c r="N38" s="23"/>
      <c r="O38" s="23"/>
      <c r="P38" s="23"/>
      <c r="Q38" s="23"/>
      <c r="R38" s="23"/>
      <c r="S38" s="23"/>
      <c r="T38" s="23"/>
      <c r="U38" s="23"/>
      <c r="V38" s="123"/>
    </row>
    <row r="39" spans="1:29">
      <c r="A39" s="23"/>
      <c r="B39" s="23"/>
      <c r="C39" s="23"/>
      <c r="D39" s="164" t="s">
        <v>966</v>
      </c>
      <c r="E39" s="164" t="s">
        <v>714</v>
      </c>
      <c r="F39" s="98" t="s">
        <v>713</v>
      </c>
      <c r="G39" s="23"/>
      <c r="K39" s="23"/>
      <c r="L39" s="23"/>
      <c r="N39" s="23"/>
      <c r="O39" s="23"/>
      <c r="P39" s="23"/>
      <c r="Q39" s="23"/>
      <c r="R39" s="23"/>
      <c r="S39" s="23"/>
      <c r="T39" s="23"/>
      <c r="U39" s="23"/>
      <c r="V39" s="123"/>
    </row>
    <row r="40" spans="1:29">
      <c r="A40" s="23"/>
      <c r="B40" s="23"/>
      <c r="C40" s="23"/>
      <c r="D40" s="474">
        <f>SUM('Stmt B'!I8:I9)</f>
        <v>162351290.39999998</v>
      </c>
      <c r="E40" s="757">
        <f>E35</f>
        <v>218904213.23000002</v>
      </c>
      <c r="F40" s="758">
        <f>E40-D40</f>
        <v>56552922.830000043</v>
      </c>
      <c r="G40" s="23"/>
      <c r="K40" s="23"/>
      <c r="L40" s="23"/>
      <c r="N40" s="23"/>
      <c r="O40" s="23"/>
      <c r="P40" s="23"/>
      <c r="Q40" s="23"/>
      <c r="R40" s="23"/>
      <c r="S40" s="23"/>
      <c r="T40" s="23"/>
      <c r="U40" s="23"/>
      <c r="V40" s="123"/>
    </row>
    <row r="41" spans="1:29">
      <c r="A41" s="23"/>
      <c r="B41" s="23"/>
      <c r="C41" s="23"/>
      <c r="D41" s="98"/>
      <c r="E41" s="164"/>
      <c r="F41" s="127"/>
      <c r="G41" s="23"/>
      <c r="K41" s="23"/>
      <c r="L41" s="23"/>
      <c r="N41" s="23"/>
      <c r="O41" s="23"/>
      <c r="P41" s="23"/>
      <c r="Q41" s="23"/>
      <c r="R41" s="23"/>
      <c r="S41" s="23"/>
      <c r="T41" s="23"/>
      <c r="U41" s="23"/>
      <c r="V41" s="123"/>
    </row>
    <row r="42" spans="1:29" ht="15" customHeight="1">
      <c r="A42" s="23"/>
      <c r="B42" s="23"/>
      <c r="C42" s="23"/>
      <c r="D42" s="98" t="s">
        <v>967</v>
      </c>
      <c r="E42" s="164" t="s">
        <v>1407</v>
      </c>
      <c r="F42" s="127"/>
      <c r="G42" s="23"/>
      <c r="K42" s="23"/>
      <c r="L42" s="23"/>
      <c r="N42" s="23"/>
      <c r="O42" s="23"/>
      <c r="P42" s="23"/>
      <c r="Q42" s="23"/>
      <c r="R42" s="23"/>
      <c r="S42" s="23"/>
      <c r="T42" s="23"/>
      <c r="U42" s="23"/>
      <c r="V42" s="23"/>
    </row>
    <row r="43" spans="1:29">
      <c r="A43" s="23"/>
      <c r="B43" s="23"/>
      <c r="C43" s="23"/>
      <c r="D43" s="474">
        <f>SUM('Stmt B'!J8:J9)</f>
        <v>56552922.830000006</v>
      </c>
      <c r="E43" s="757">
        <f>E35</f>
        <v>218904213.23000002</v>
      </c>
      <c r="F43" s="758">
        <f>E43-D43</f>
        <v>162351290.40000001</v>
      </c>
      <c r="G43" s="585"/>
      <c r="H43" s="585"/>
      <c r="I43" s="585"/>
      <c r="J43" s="585"/>
      <c r="K43" s="160"/>
      <c r="L43" s="160"/>
      <c r="M43" s="585"/>
      <c r="N43" s="160"/>
      <c r="O43" s="160"/>
      <c r="P43" s="160"/>
      <c r="Q43" s="160"/>
      <c r="R43" s="23"/>
      <c r="S43" s="23"/>
      <c r="T43" s="160"/>
      <c r="U43" s="23"/>
      <c r="V43" s="23"/>
    </row>
    <row r="44" spans="1:29">
      <c r="A44" s="23"/>
      <c r="B44" s="23"/>
      <c r="C44" s="23"/>
      <c r="D44" s="23"/>
      <c r="E44" s="585"/>
      <c r="F44" s="585"/>
      <c r="G44" s="585"/>
      <c r="H44" s="585"/>
      <c r="I44" s="585"/>
      <c r="J44" s="585"/>
      <c r="K44" s="160"/>
      <c r="L44" s="23"/>
      <c r="M44" s="585"/>
      <c r="N44" s="23"/>
      <c r="O44" s="23"/>
      <c r="P44" s="23"/>
      <c r="Q44" s="23"/>
      <c r="R44" s="23"/>
      <c r="S44" s="23"/>
      <c r="T44" s="23"/>
      <c r="U44" s="23"/>
      <c r="V44" s="23"/>
    </row>
    <row r="45" spans="1:29">
      <c r="A45" s="23"/>
      <c r="B45" s="23"/>
      <c r="C45" s="23"/>
      <c r="D45" s="23" t="s">
        <v>965</v>
      </c>
      <c r="E45" s="23" t="s">
        <v>739</v>
      </c>
      <c r="F45" s="23"/>
      <c r="G45" s="23"/>
      <c r="K45" s="23"/>
      <c r="L45" s="23"/>
      <c r="N45" s="23"/>
      <c r="O45" s="23"/>
      <c r="P45" s="23"/>
      <c r="Q45" s="23"/>
      <c r="R45" s="23"/>
      <c r="S45" s="23"/>
      <c r="T45" s="23"/>
      <c r="U45" s="23"/>
      <c r="V45" s="23"/>
    </row>
    <row r="46" spans="1:29">
      <c r="A46" s="23"/>
      <c r="B46" s="23"/>
      <c r="C46" s="23"/>
      <c r="D46" s="502">
        <f>+D43+D40</f>
        <v>218904213.22999999</v>
      </c>
      <c r="E46" s="160">
        <f>E35</f>
        <v>218904213.23000002</v>
      </c>
      <c r="F46" s="160">
        <f>E46-E35</f>
        <v>0</v>
      </c>
      <c r="G46" s="23"/>
      <c r="K46" s="23"/>
      <c r="L46" s="23"/>
      <c r="N46" s="23"/>
      <c r="O46" s="23"/>
      <c r="P46" s="23"/>
      <c r="Q46" s="23"/>
      <c r="R46" s="23"/>
      <c r="S46" s="23"/>
      <c r="T46" s="618"/>
      <c r="U46" s="23"/>
      <c r="V46" s="23"/>
    </row>
    <row r="47" spans="1:29">
      <c r="A47" s="23"/>
      <c r="B47" s="23"/>
      <c r="C47" s="23"/>
      <c r="D47" s="23"/>
      <c r="E47" s="23"/>
      <c r="F47" s="23"/>
      <c r="G47" s="23"/>
      <c r="K47" s="23"/>
      <c r="L47" s="23"/>
      <c r="N47" s="23"/>
      <c r="O47" s="23"/>
      <c r="P47" s="23"/>
      <c r="Q47" s="23"/>
      <c r="R47" s="23"/>
      <c r="S47" s="23"/>
      <c r="T47" s="23"/>
      <c r="U47" s="23"/>
      <c r="V47" s="123"/>
    </row>
    <row r="48" spans="1:29">
      <c r="A48" s="23"/>
      <c r="B48" s="23"/>
      <c r="C48" s="23"/>
      <c r="D48" s="23"/>
      <c r="E48" s="23"/>
      <c r="F48" s="23"/>
      <c r="G48" s="23"/>
      <c r="K48" s="23"/>
      <c r="L48" s="23"/>
      <c r="N48" s="23"/>
      <c r="O48" s="23"/>
      <c r="P48" s="23"/>
      <c r="Q48" s="23"/>
      <c r="R48" s="23"/>
      <c r="S48" s="23"/>
      <c r="T48" s="23"/>
      <c r="U48" s="23"/>
      <c r="V48" s="123"/>
    </row>
    <row r="49" spans="1:22">
      <c r="A49" s="23"/>
      <c r="B49" s="23"/>
      <c r="C49" s="23"/>
      <c r="D49" s="23"/>
      <c r="E49" s="23"/>
      <c r="F49" s="23"/>
      <c r="G49" s="23"/>
      <c r="K49" s="23"/>
      <c r="L49" s="23"/>
      <c r="N49" s="23"/>
      <c r="O49" s="23"/>
      <c r="P49" s="23"/>
      <c r="Q49" s="23"/>
      <c r="R49" s="23"/>
      <c r="S49" s="23"/>
      <c r="T49" s="23"/>
      <c r="U49" s="23"/>
      <c r="V49" s="123"/>
    </row>
  </sheetData>
  <phoneticPr fontId="12" type="noConversion"/>
  <printOptions horizontalCentered="1"/>
  <pageMargins left="0.1" right="0.1" top="1" bottom="1" header="1" footer="0.5"/>
  <pageSetup scale="47"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BAC6B-3602-42BA-9E0D-E51221682170}">
  <sheetPr>
    <pageSetUpPr fitToPage="1"/>
  </sheetPr>
  <dimension ref="A1:V37"/>
  <sheetViews>
    <sheetView workbookViewId="0"/>
  </sheetViews>
  <sheetFormatPr defaultColWidth="9.1640625" defaultRowHeight="12.75"/>
  <cols>
    <col min="1" max="1" width="5.33203125" style="1420" customWidth="1"/>
    <col min="2" max="2" width="43.33203125" style="1420" customWidth="1"/>
    <col min="3" max="9" width="14.33203125" style="1420" customWidth="1"/>
    <col min="10" max="10" width="12.83203125" style="1420" customWidth="1"/>
    <col min="11" max="11" width="3.33203125" style="1478" customWidth="1"/>
    <col min="12" max="14" width="13.33203125" style="1478" customWidth="1"/>
    <col min="15" max="15" width="2" style="1478" customWidth="1"/>
    <col min="16" max="16" width="4.33203125" style="1478" customWidth="1"/>
    <col min="17" max="19" width="13.33203125" style="1478" customWidth="1"/>
    <col min="20" max="20" width="2.6640625" style="1478" customWidth="1"/>
    <col min="21" max="22" width="13.33203125" style="1478" customWidth="1"/>
    <col min="23" max="16384" width="9.1640625" style="1420"/>
  </cols>
  <sheetData>
    <row r="1" spans="1:22">
      <c r="A1" s="1477" t="str">
        <f>Company</f>
        <v>BLACK HILLS NEBRASKA GAS, LLC</v>
      </c>
      <c r="B1" s="1478"/>
      <c r="C1" s="1478"/>
      <c r="D1" s="1478"/>
      <c r="E1" s="1478"/>
      <c r="F1" s="1478"/>
      <c r="G1" s="1478"/>
      <c r="H1" s="1478"/>
      <c r="I1" s="1478"/>
      <c r="J1" s="615" t="str">
        <f>Attach</f>
        <v>FINAL - BH January 15, 2021 Rev. Req. Model</v>
      </c>
    </row>
    <row r="2" spans="1:22">
      <c r="A2" s="1477" t="s">
        <v>1437</v>
      </c>
      <c r="B2" s="1478"/>
      <c r="C2" s="1478"/>
      <c r="D2" s="1478"/>
      <c r="E2" s="1478"/>
      <c r="F2" s="1478"/>
      <c r="G2" s="1478"/>
      <c r="H2" s="1478"/>
      <c r="I2" s="1478"/>
      <c r="J2" s="343" t="s">
        <v>827</v>
      </c>
    </row>
    <row r="3" spans="1:22">
      <c r="A3" s="1477" t="str">
        <f>TYEnded</f>
        <v>FOR THE TEST YEAR ENDING DECEMBER 31, 2020</v>
      </c>
      <c r="B3" s="1478"/>
      <c r="C3" s="1478"/>
      <c r="D3" s="1644"/>
      <c r="E3" s="1478"/>
      <c r="F3" s="1478"/>
      <c r="G3" s="1478"/>
      <c r="H3" s="1478"/>
      <c r="I3" s="1482"/>
      <c r="J3" s="1508" t="s">
        <v>1429</v>
      </c>
      <c r="K3" s="1456"/>
      <c r="L3" s="1456"/>
    </row>
    <row r="4" spans="1:22">
      <c r="A4" s="1477"/>
      <c r="B4" s="1478"/>
      <c r="C4" s="1478"/>
      <c r="D4" s="1478"/>
      <c r="E4" s="1478"/>
      <c r="F4" s="1478"/>
      <c r="G4" s="1478"/>
      <c r="H4" s="1478"/>
      <c r="I4" s="1478"/>
      <c r="J4" s="1479" t="s">
        <v>1336</v>
      </c>
      <c r="K4" s="1456"/>
      <c r="L4" s="1456"/>
    </row>
    <row r="5" spans="1:22">
      <c r="A5" s="1478"/>
      <c r="B5" s="1478"/>
      <c r="C5" s="1478"/>
      <c r="D5" s="1478"/>
      <c r="E5" s="1478"/>
      <c r="F5" s="1478"/>
      <c r="G5" s="1478"/>
      <c r="H5" s="1478"/>
      <c r="I5" s="1478"/>
      <c r="J5" s="1478"/>
      <c r="K5" s="1456"/>
      <c r="L5" s="1456"/>
    </row>
    <row r="6" spans="1:22">
      <c r="A6" s="1478"/>
      <c r="B6" s="1480" t="s">
        <v>1337</v>
      </c>
      <c r="C6" s="1480" t="s">
        <v>536</v>
      </c>
      <c r="D6" s="1480" t="s">
        <v>537</v>
      </c>
      <c r="E6" s="1480" t="s">
        <v>1338</v>
      </c>
      <c r="F6" s="1480" t="s">
        <v>1339</v>
      </c>
      <c r="G6" s="1480" t="s">
        <v>1340</v>
      </c>
      <c r="H6" s="1480" t="s">
        <v>1341</v>
      </c>
      <c r="I6" s="1480" t="s">
        <v>1342</v>
      </c>
      <c r="J6" s="1480" t="s">
        <v>1406</v>
      </c>
      <c r="K6" s="1482"/>
      <c r="L6" s="1482"/>
      <c r="M6" s="1482"/>
    </row>
    <row r="7" spans="1:22">
      <c r="A7" s="1481"/>
      <c r="B7" s="1481"/>
      <c r="C7" s="1481"/>
      <c r="D7" s="1481"/>
      <c r="E7" s="1481"/>
      <c r="F7" s="1481"/>
      <c r="G7" s="1481"/>
      <c r="H7" s="1481"/>
      <c r="I7" s="1481"/>
      <c r="J7" s="1482"/>
      <c r="K7" s="1482"/>
      <c r="L7" s="1482"/>
      <c r="M7" s="1482"/>
    </row>
    <row r="8" spans="1:22" ht="29.25" customHeight="1">
      <c r="A8" s="1483" t="s">
        <v>513</v>
      </c>
      <c r="B8" s="1484" t="s">
        <v>196</v>
      </c>
      <c r="C8" s="1483" t="s">
        <v>1343</v>
      </c>
      <c r="D8" s="1483" t="s">
        <v>1062</v>
      </c>
      <c r="E8" s="1483" t="s">
        <v>1369</v>
      </c>
      <c r="F8" s="1483" t="s">
        <v>1370</v>
      </c>
      <c r="G8" s="1483" t="s">
        <v>1344</v>
      </c>
      <c r="H8" s="1483" t="s">
        <v>1369</v>
      </c>
      <c r="I8" s="1483" t="s">
        <v>1370</v>
      </c>
      <c r="J8" s="1483" t="s">
        <v>285</v>
      </c>
      <c r="L8" s="1478" t="s">
        <v>1430</v>
      </c>
      <c r="Q8" s="1478" t="s">
        <v>1431</v>
      </c>
      <c r="U8" s="1478" t="s">
        <v>1359</v>
      </c>
    </row>
    <row r="9" spans="1:22">
      <c r="A9" s="1485"/>
      <c r="B9" s="1485"/>
      <c r="C9" s="1485"/>
      <c r="D9" s="1485"/>
      <c r="E9" s="1485"/>
      <c r="F9" s="1485"/>
      <c r="G9" s="1485"/>
      <c r="H9" s="1485"/>
      <c r="I9" s="1485"/>
      <c r="J9" s="1482"/>
      <c r="K9" s="75">
        <v>1</v>
      </c>
      <c r="L9" s="75" t="str">
        <f>References!$C$17</f>
        <v>Exhibit No. MCC-2 NEG</v>
      </c>
      <c r="M9" s="75" t="str">
        <f>References!$D$17</f>
        <v>Exhibit No. MCC-2 NEGD</v>
      </c>
      <c r="N9" s="75" t="str">
        <f>References!$E$17</f>
        <v>FINAL - BH January 15, 2021 Rev. Req. Model</v>
      </c>
      <c r="P9" s="75">
        <v>1</v>
      </c>
      <c r="Q9" s="75" t="str">
        <f>References!$C$17</f>
        <v>Exhibit No. MCC-2 NEG</v>
      </c>
      <c r="R9" s="75" t="str">
        <f>References!$D$17</f>
        <v>Exhibit No. MCC-2 NEGD</v>
      </c>
      <c r="S9" s="75" t="str">
        <f>References!$E$17</f>
        <v>FINAL - BH January 15, 2021 Rev. Req. Model</v>
      </c>
      <c r="U9" s="1478" t="s">
        <v>1345</v>
      </c>
      <c r="V9" s="1478" t="s">
        <v>1346</v>
      </c>
    </row>
    <row r="10" spans="1:22">
      <c r="A10" s="1485"/>
      <c r="B10" s="1486" t="s">
        <v>1347</v>
      </c>
      <c r="C10" s="1485"/>
      <c r="D10" s="1485"/>
      <c r="E10" s="1485"/>
      <c r="F10" s="1485"/>
      <c r="G10" s="1485"/>
      <c r="H10" s="1485"/>
      <c r="I10" s="1485"/>
      <c r="J10" s="1478"/>
      <c r="K10" s="75">
        <f>K9+1</f>
        <v>2</v>
      </c>
      <c r="L10" s="75" t="str">
        <f>References!$C$18</f>
        <v>NEG</v>
      </c>
      <c r="M10" s="75" t="str">
        <f>References!$D$18</f>
        <v>NEGD</v>
      </c>
      <c r="N10" s="75" t="str">
        <f>References!$E$18</f>
        <v>Tot Co</v>
      </c>
      <c r="P10" s="75">
        <f>P9+1</f>
        <v>2</v>
      </c>
      <c r="Q10" s="75" t="str">
        <f>References!$C$18</f>
        <v>NEG</v>
      </c>
      <c r="R10" s="75" t="str">
        <f>References!$D$18</f>
        <v>NEGD</v>
      </c>
      <c r="S10" s="75" t="str">
        <f>References!$E$18</f>
        <v>Tot Co</v>
      </c>
    </row>
    <row r="11" spans="1:22">
      <c r="A11" s="1485"/>
      <c r="B11" s="1485"/>
      <c r="C11" s="1485"/>
      <c r="D11" s="1485"/>
      <c r="E11" s="1485"/>
      <c r="F11" s="1485"/>
      <c r="G11" s="1485"/>
      <c r="H11" s="1485"/>
      <c r="I11" s="1485"/>
      <c r="J11" s="1478"/>
      <c r="K11" s="75">
        <f t="shared" ref="K11:K32" si="0">K10+1</f>
        <v>3</v>
      </c>
      <c r="L11" s="75"/>
      <c r="M11" s="75"/>
      <c r="N11" s="75"/>
      <c r="P11" s="75">
        <f t="shared" ref="P11:P32" si="1">P10+1</f>
        <v>3</v>
      </c>
      <c r="Q11" s="75"/>
      <c r="R11" s="75"/>
      <c r="S11" s="75"/>
    </row>
    <row r="12" spans="1:22">
      <c r="A12" s="1487">
        <v>1</v>
      </c>
      <c r="B12" s="1488" t="s">
        <v>1348</v>
      </c>
      <c r="C12" s="1495">
        <f>D12+G12</f>
        <v>141907926.60000002</v>
      </c>
      <c r="D12" s="1514">
        <f>SUM(E12:F12)</f>
        <v>118459392.98000002</v>
      </c>
      <c r="E12" s="1515">
        <v>77584533.970000088</v>
      </c>
      <c r="F12" s="1516">
        <v>40874859.009999938</v>
      </c>
      <c r="G12" s="1497">
        <f>SUM(H12:I12)</f>
        <v>23448533.620000005</v>
      </c>
      <c r="H12" s="1529">
        <v>9184806.7499999963</v>
      </c>
      <c r="I12" s="1530">
        <v>14263726.870000008</v>
      </c>
      <c r="J12" s="1489" t="s">
        <v>1397</v>
      </c>
      <c r="K12" s="75">
        <f t="shared" si="0"/>
        <v>4</v>
      </c>
      <c r="L12" s="1505">
        <f>E12</f>
        <v>77584533.970000088</v>
      </c>
      <c r="M12" s="1505">
        <f>F12</f>
        <v>40874859.009999938</v>
      </c>
      <c r="N12" s="1506">
        <f>+L12+M12</f>
        <v>118459392.98000002</v>
      </c>
      <c r="P12" s="75">
        <f t="shared" si="1"/>
        <v>4</v>
      </c>
      <c r="Q12" s="1505">
        <f>H12</f>
        <v>9184806.7499999963</v>
      </c>
      <c r="R12" s="1505">
        <f>I12</f>
        <v>14263726.870000008</v>
      </c>
      <c r="S12" s="1506">
        <f>+Q12+R12</f>
        <v>23448533.620000005</v>
      </c>
      <c r="U12" s="1506">
        <f>HLOOKUP(Attach, $L$9:$N$47,K12,FALSE)</f>
        <v>118459392.98000002</v>
      </c>
      <c r="V12" s="1506">
        <f>HLOOKUP(Attach, $Q$9:$S$47,P12,FALSE)</f>
        <v>23448533.620000005</v>
      </c>
    </row>
    <row r="13" spans="1:22">
      <c r="A13" s="1478"/>
      <c r="B13" s="1488"/>
      <c r="C13" s="1495"/>
      <c r="D13" s="1514"/>
      <c r="E13" s="1515"/>
      <c r="F13" s="1516"/>
      <c r="G13" s="1497"/>
      <c r="H13" s="1529"/>
      <c r="I13" s="1530"/>
      <c r="J13" s="1478"/>
      <c r="K13" s="75">
        <f t="shared" si="0"/>
        <v>5</v>
      </c>
      <c r="P13" s="75">
        <f t="shared" si="1"/>
        <v>5</v>
      </c>
    </row>
    <row r="14" spans="1:22">
      <c r="A14" s="1487">
        <f>A12+1</f>
        <v>2</v>
      </c>
      <c r="B14" s="1490" t="s">
        <v>1349</v>
      </c>
      <c r="C14" s="1495">
        <f>D14+G14</f>
        <v>862665.64999999816</v>
      </c>
      <c r="D14" s="1514">
        <f>SUM(E14:F14)</f>
        <v>671223.48000000068</v>
      </c>
      <c r="E14" s="1515">
        <v>649512.56999994034</v>
      </c>
      <c r="F14" s="1516">
        <v>21710.910000060285</v>
      </c>
      <c r="G14" s="1496">
        <f>SUM(H14:I14)</f>
        <v>191442.16999999748</v>
      </c>
      <c r="H14" s="1529">
        <v>232888.47000000117</v>
      </c>
      <c r="I14" s="1530">
        <v>-41446.30000000367</v>
      </c>
      <c r="J14" s="1489" t="s">
        <v>1398</v>
      </c>
      <c r="K14" s="75">
        <f t="shared" si="0"/>
        <v>6</v>
      </c>
      <c r="L14" s="1505">
        <f>E14</f>
        <v>649512.56999994034</v>
      </c>
      <c r="M14" s="1505">
        <f>F14</f>
        <v>21710.910000060285</v>
      </c>
      <c r="N14" s="1506">
        <f>+L14+M14</f>
        <v>671223.48000000068</v>
      </c>
      <c r="P14" s="75">
        <f t="shared" si="1"/>
        <v>6</v>
      </c>
      <c r="Q14" s="1505">
        <f>H14</f>
        <v>232888.47000000117</v>
      </c>
      <c r="R14" s="1505">
        <f>I14</f>
        <v>-41446.30000000367</v>
      </c>
      <c r="S14" s="1506">
        <f>+Q14+R14</f>
        <v>191442.16999999748</v>
      </c>
      <c r="U14" s="1506">
        <f>HLOOKUP(Attach, $L$9:$N$47,K14,FALSE)</f>
        <v>671223.48000000068</v>
      </c>
      <c r="V14" s="1506">
        <f>HLOOKUP(Attach, $Q$9:$S$47,P14,FALSE)</f>
        <v>191442.16999999748</v>
      </c>
    </row>
    <row r="15" spans="1:22">
      <c r="A15" s="1487"/>
      <c r="B15" s="1488"/>
      <c r="C15" s="1495"/>
      <c r="D15" s="1514"/>
      <c r="E15" s="1515"/>
      <c r="F15" s="1516"/>
      <c r="G15" s="1497"/>
      <c r="H15" s="1529"/>
      <c r="I15" s="1530"/>
      <c r="J15" s="1478"/>
      <c r="K15" s="75">
        <f t="shared" si="0"/>
        <v>7</v>
      </c>
      <c r="P15" s="75">
        <f t="shared" si="1"/>
        <v>7</v>
      </c>
    </row>
    <row r="16" spans="1:22">
      <c r="A16" s="1487">
        <f>A14+1</f>
        <v>3</v>
      </c>
      <c r="B16" s="1488" t="s">
        <v>1350</v>
      </c>
      <c r="C16" s="1495">
        <f>D16+G16</f>
        <v>0</v>
      </c>
      <c r="D16" s="1514">
        <f>SUM(E16:F16)</f>
        <v>-207141.99000000002</v>
      </c>
      <c r="E16" s="1515">
        <v>0</v>
      </c>
      <c r="F16" s="1516">
        <v>-207141.99000000002</v>
      </c>
      <c r="G16" s="1496">
        <f>SUM(H16:I16)</f>
        <v>207141.99000000002</v>
      </c>
      <c r="H16" s="1529">
        <v>0</v>
      </c>
      <c r="I16" s="1530">
        <v>207141.99000000002</v>
      </c>
      <c r="J16" s="1489" t="s">
        <v>1399</v>
      </c>
      <c r="K16" s="75">
        <f t="shared" si="0"/>
        <v>8</v>
      </c>
      <c r="L16" s="1505">
        <f>E16</f>
        <v>0</v>
      </c>
      <c r="M16" s="1505">
        <f>F16</f>
        <v>-207141.99000000002</v>
      </c>
      <c r="N16" s="1506">
        <f>+L16+M16</f>
        <v>-207141.99000000002</v>
      </c>
      <c r="P16" s="75">
        <f t="shared" si="1"/>
        <v>8</v>
      </c>
      <c r="Q16" s="1505">
        <f>H16</f>
        <v>0</v>
      </c>
      <c r="R16" s="1505">
        <f>I16</f>
        <v>207141.99000000002</v>
      </c>
      <c r="S16" s="1506">
        <f>+Q16+R16</f>
        <v>207141.99000000002</v>
      </c>
      <c r="U16" s="1506">
        <f>HLOOKUP(Attach, $L$9:$N$47,K16,FALSE)</f>
        <v>-207141.99000000002</v>
      </c>
      <c r="V16" s="1506">
        <f>HLOOKUP(Attach, $Q$9:$S$47,P16,FALSE)</f>
        <v>207141.99000000002</v>
      </c>
    </row>
    <row r="17" spans="1:22">
      <c r="A17" s="1487"/>
      <c r="B17" s="1488"/>
      <c r="C17" s="1498"/>
      <c r="D17" s="1517"/>
      <c r="E17" s="1518"/>
      <c r="F17" s="1519"/>
      <c r="G17" s="1499"/>
      <c r="H17" s="1531"/>
      <c r="I17" s="1532"/>
      <c r="J17" s="1478"/>
      <c r="K17" s="75">
        <f t="shared" si="0"/>
        <v>9</v>
      </c>
      <c r="P17" s="75">
        <f t="shared" si="1"/>
        <v>9</v>
      </c>
    </row>
    <row r="18" spans="1:22">
      <c r="A18" s="1487">
        <f>A16+1</f>
        <v>4</v>
      </c>
      <c r="B18" s="1488" t="s">
        <v>1351</v>
      </c>
      <c r="C18" s="1500">
        <f>C12+C14+C16</f>
        <v>142770592.25000003</v>
      </c>
      <c r="D18" s="1520">
        <f t="shared" ref="D18:I18" si="2">D12+D14+D16</f>
        <v>118923474.47000003</v>
      </c>
      <c r="E18" s="1521">
        <f t="shared" si="2"/>
        <v>78234046.540000021</v>
      </c>
      <c r="F18" s="1522">
        <f t="shared" si="2"/>
        <v>40689427.93</v>
      </c>
      <c r="G18" s="1501">
        <f t="shared" si="2"/>
        <v>23847117.780000001</v>
      </c>
      <c r="H18" s="1527">
        <f t="shared" si="2"/>
        <v>9417695.2199999969</v>
      </c>
      <c r="I18" s="1533">
        <f t="shared" si="2"/>
        <v>14429422.560000004</v>
      </c>
      <c r="J18" s="1491"/>
      <c r="K18" s="75">
        <f t="shared" si="0"/>
        <v>10</v>
      </c>
      <c r="P18" s="75">
        <f t="shared" si="1"/>
        <v>10</v>
      </c>
    </row>
    <row r="19" spans="1:22">
      <c r="A19" s="1478"/>
      <c r="B19" s="1490"/>
      <c r="C19" s="1495"/>
      <c r="D19" s="1514"/>
      <c r="E19" s="1515"/>
      <c r="F19" s="1516"/>
      <c r="G19" s="1497"/>
      <c r="H19" s="1529"/>
      <c r="I19" s="1530"/>
      <c r="J19" s="1478"/>
      <c r="K19" s="75">
        <f t="shared" si="0"/>
        <v>11</v>
      </c>
      <c r="P19" s="75">
        <f t="shared" si="1"/>
        <v>11</v>
      </c>
    </row>
    <row r="20" spans="1:22">
      <c r="A20" s="1487">
        <f>A18+1</f>
        <v>5</v>
      </c>
      <c r="B20" s="1488" t="s">
        <v>1352</v>
      </c>
      <c r="C20" s="1495">
        <f>D20+G20</f>
        <v>-4118020</v>
      </c>
      <c r="D20" s="1514">
        <f>SUM(E20:F20)</f>
        <v>-4118020</v>
      </c>
      <c r="E20" s="1515">
        <v>-2903341</v>
      </c>
      <c r="F20" s="1516">
        <v>-1214679</v>
      </c>
      <c r="G20" s="1497">
        <f>SUM(H20:I20)</f>
        <v>0</v>
      </c>
      <c r="H20" s="1529">
        <v>0</v>
      </c>
      <c r="I20" s="1530">
        <v>0</v>
      </c>
      <c r="J20" s="1489" t="s">
        <v>1400</v>
      </c>
      <c r="K20" s="75">
        <f t="shared" si="0"/>
        <v>12</v>
      </c>
      <c r="L20" s="1505">
        <f>E20</f>
        <v>-2903341</v>
      </c>
      <c r="M20" s="1505">
        <f>F20</f>
        <v>-1214679</v>
      </c>
      <c r="N20" s="1506">
        <f>+L20+M20</f>
        <v>-4118020</v>
      </c>
      <c r="P20" s="75">
        <f t="shared" si="1"/>
        <v>12</v>
      </c>
      <c r="Q20" s="1505">
        <f>H20</f>
        <v>0</v>
      </c>
      <c r="R20" s="1505">
        <f>I20</f>
        <v>0</v>
      </c>
      <c r="S20" s="1506">
        <f>+Q20+R20</f>
        <v>0</v>
      </c>
      <c r="U20" s="1506">
        <f>HLOOKUP(Attach, $L$9:$N$47,K20,FALSE)</f>
        <v>-4118020</v>
      </c>
      <c r="V20" s="1506">
        <f>HLOOKUP(Attach, $Q$9:$S$47,P20,FALSE)</f>
        <v>0</v>
      </c>
    </row>
    <row r="21" spans="1:22">
      <c r="A21" s="1478"/>
      <c r="B21" s="1488"/>
      <c r="C21" s="1495"/>
      <c r="D21" s="1514"/>
      <c r="E21" s="1515"/>
      <c r="F21" s="1516"/>
      <c r="G21" s="1497"/>
      <c r="H21" s="1529"/>
      <c r="I21" s="1530"/>
      <c r="J21" s="1478"/>
      <c r="K21" s="75">
        <f t="shared" si="0"/>
        <v>13</v>
      </c>
      <c r="P21" s="75">
        <f t="shared" si="1"/>
        <v>13</v>
      </c>
    </row>
    <row r="22" spans="1:22">
      <c r="A22" s="1487">
        <f>A20+1</f>
        <v>6</v>
      </c>
      <c r="B22" s="1488" t="s">
        <v>1353</v>
      </c>
      <c r="C22" s="1495">
        <f>D22+G22</f>
        <v>898797</v>
      </c>
      <c r="D22" s="1514">
        <f>SUM(E22:F22)</f>
        <v>898797</v>
      </c>
      <c r="E22" s="1515">
        <v>723520</v>
      </c>
      <c r="F22" s="1516">
        <v>175277</v>
      </c>
      <c r="G22" s="1497">
        <f>SUM(H22:I22)</f>
        <v>0</v>
      </c>
      <c r="H22" s="1529">
        <v>0</v>
      </c>
      <c r="I22" s="1530">
        <v>0</v>
      </c>
      <c r="J22" s="1489" t="s">
        <v>1401</v>
      </c>
      <c r="K22" s="75">
        <f t="shared" si="0"/>
        <v>14</v>
      </c>
      <c r="L22" s="1505">
        <f>E22</f>
        <v>723520</v>
      </c>
      <c r="M22" s="1505">
        <f>F22</f>
        <v>175277</v>
      </c>
      <c r="N22" s="1506">
        <f>+L22+M22</f>
        <v>898797</v>
      </c>
      <c r="P22" s="75">
        <f t="shared" si="1"/>
        <v>14</v>
      </c>
      <c r="Q22" s="1505">
        <f>H22</f>
        <v>0</v>
      </c>
      <c r="R22" s="1505">
        <f>I22</f>
        <v>0</v>
      </c>
      <c r="S22" s="1506">
        <f>+Q22+R22</f>
        <v>0</v>
      </c>
      <c r="U22" s="1506">
        <f>HLOOKUP(Attach, $L$9:$N$47,K22,FALSE)</f>
        <v>898797</v>
      </c>
      <c r="V22" s="1506">
        <f>HLOOKUP(Attach, $Q$9:$S$47,P22,FALSE)</f>
        <v>0</v>
      </c>
    </row>
    <row r="23" spans="1:22">
      <c r="A23" s="1478"/>
      <c r="B23" s="1488"/>
      <c r="C23" s="1495"/>
      <c r="D23" s="1514"/>
      <c r="E23" s="1515"/>
      <c r="F23" s="1516"/>
      <c r="G23" s="1497"/>
      <c r="H23" s="1529"/>
      <c r="I23" s="1530"/>
      <c r="J23" s="1478"/>
      <c r="K23" s="75">
        <f t="shared" si="0"/>
        <v>15</v>
      </c>
      <c r="P23" s="75">
        <f t="shared" si="1"/>
        <v>15</v>
      </c>
    </row>
    <row r="24" spans="1:22">
      <c r="A24" s="1487">
        <f>A22+1</f>
        <v>7</v>
      </c>
      <c r="B24" s="1488" t="s">
        <v>1354</v>
      </c>
      <c r="C24" s="1495">
        <f>D24+G24</f>
        <v>393733.12755877903</v>
      </c>
      <c r="D24" s="1514">
        <f>SUM(E24:F24)</f>
        <v>393733.12755877903</v>
      </c>
      <c r="E24" s="1515">
        <v>393733.12755877903</v>
      </c>
      <c r="F24" s="1516">
        <v>0</v>
      </c>
      <c r="G24" s="1497">
        <f>SUM(H24:I24)</f>
        <v>0</v>
      </c>
      <c r="H24" s="1529">
        <v>0</v>
      </c>
      <c r="I24" s="1530">
        <v>0</v>
      </c>
      <c r="J24" s="1489" t="s">
        <v>1402</v>
      </c>
      <c r="K24" s="75">
        <f t="shared" si="0"/>
        <v>16</v>
      </c>
      <c r="L24" s="1505">
        <f>E24</f>
        <v>393733.12755877903</v>
      </c>
      <c r="M24" s="1505">
        <f>F24</f>
        <v>0</v>
      </c>
      <c r="N24" s="1506">
        <f>+L24+M24</f>
        <v>393733.12755877903</v>
      </c>
      <c r="P24" s="75">
        <f t="shared" si="1"/>
        <v>16</v>
      </c>
      <c r="Q24" s="1505">
        <f>H24</f>
        <v>0</v>
      </c>
      <c r="R24" s="1505">
        <f>I24</f>
        <v>0</v>
      </c>
      <c r="S24" s="1506">
        <f>+Q24+R24</f>
        <v>0</v>
      </c>
      <c r="U24" s="1506">
        <f>HLOOKUP(Attach, $L$9:$N$47,K24,FALSE)</f>
        <v>393733.12755877903</v>
      </c>
      <c r="V24" s="1506">
        <f>HLOOKUP(Attach, $Q$9:$S$47,P24,FALSE)</f>
        <v>0</v>
      </c>
    </row>
    <row r="25" spans="1:22">
      <c r="A25" s="1478"/>
      <c r="B25" s="1488"/>
      <c r="C25" s="1495"/>
      <c r="D25" s="1514"/>
      <c r="E25" s="1515"/>
      <c r="F25" s="1516"/>
      <c r="G25" s="1497"/>
      <c r="H25" s="1529"/>
      <c r="I25" s="1530"/>
      <c r="J25" s="1478"/>
      <c r="K25" s="75">
        <f t="shared" si="0"/>
        <v>17</v>
      </c>
      <c r="P25" s="75">
        <f t="shared" si="1"/>
        <v>17</v>
      </c>
    </row>
    <row r="26" spans="1:22">
      <c r="A26" s="1487">
        <f>A24+1</f>
        <v>8</v>
      </c>
      <c r="B26" s="1488" t="s">
        <v>1355</v>
      </c>
      <c r="C26" s="1495">
        <f>D26+G26</f>
        <v>-692725.98000000021</v>
      </c>
      <c r="D26" s="1514">
        <f>SUM(E26:F26)</f>
        <v>-692725.98000000021</v>
      </c>
      <c r="E26" s="1515">
        <v>0</v>
      </c>
      <c r="F26" s="1516">
        <v>-692725.98000000021</v>
      </c>
      <c r="G26" s="1497">
        <f>SUM(H26:I26)</f>
        <v>0</v>
      </c>
      <c r="H26" s="1529">
        <v>0</v>
      </c>
      <c r="I26" s="1530">
        <v>0</v>
      </c>
      <c r="J26" s="1489" t="s">
        <v>1403</v>
      </c>
      <c r="K26" s="75">
        <f t="shared" si="0"/>
        <v>18</v>
      </c>
      <c r="L26" s="1505">
        <f>E26</f>
        <v>0</v>
      </c>
      <c r="M26" s="1505">
        <f>F26</f>
        <v>-692725.98000000021</v>
      </c>
      <c r="N26" s="1506">
        <f>+L26+M26</f>
        <v>-692725.98000000021</v>
      </c>
      <c r="P26" s="75">
        <f t="shared" si="1"/>
        <v>18</v>
      </c>
      <c r="Q26" s="1505">
        <f>H26</f>
        <v>0</v>
      </c>
      <c r="R26" s="1505">
        <f>I26</f>
        <v>0</v>
      </c>
      <c r="S26" s="1506">
        <f>+Q26+R26</f>
        <v>0</v>
      </c>
      <c r="U26" s="1506">
        <f>HLOOKUP(Attach, $L$9:$N$47,K26,FALSE)</f>
        <v>-692725.98000000021</v>
      </c>
      <c r="V26" s="1506">
        <f>HLOOKUP(Attach, $Q$9:$S$47,P26,FALSE)</f>
        <v>0</v>
      </c>
    </row>
    <row r="27" spans="1:22">
      <c r="A27" s="1478"/>
      <c r="B27" s="1488"/>
      <c r="C27" s="1495"/>
      <c r="D27" s="1514"/>
      <c r="E27" s="1515"/>
      <c r="F27" s="1516"/>
      <c r="G27" s="1497"/>
      <c r="H27" s="1529"/>
      <c r="I27" s="1530"/>
      <c r="J27" s="1478"/>
      <c r="K27" s="75">
        <f t="shared" si="0"/>
        <v>19</v>
      </c>
      <c r="P27" s="75">
        <f t="shared" si="1"/>
        <v>19</v>
      </c>
    </row>
    <row r="28" spans="1:22">
      <c r="A28" s="1487">
        <f>A26+1</f>
        <v>9</v>
      </c>
      <c r="B28" s="1492" t="s">
        <v>1356</v>
      </c>
      <c r="C28" s="1495">
        <f>D28+G28</f>
        <v>-105688.01564468576</v>
      </c>
      <c r="D28" s="1514">
        <f>SUM(E28:F28)</f>
        <v>-105688.01564468576</v>
      </c>
      <c r="E28" s="1515">
        <v>-105688.01564468576</v>
      </c>
      <c r="F28" s="1516">
        <v>0</v>
      </c>
      <c r="G28" s="1497">
        <f>SUM(H28:I28)</f>
        <v>0</v>
      </c>
      <c r="H28" s="1529">
        <v>0</v>
      </c>
      <c r="I28" s="1530">
        <v>0</v>
      </c>
      <c r="J28" s="1489" t="s">
        <v>1404</v>
      </c>
      <c r="K28" s="75">
        <f t="shared" si="0"/>
        <v>20</v>
      </c>
      <c r="L28" s="1505">
        <f>E28</f>
        <v>-105688.01564468576</v>
      </c>
      <c r="M28" s="1505">
        <f>F28</f>
        <v>0</v>
      </c>
      <c r="N28" s="1506">
        <f>+L28+M28</f>
        <v>-105688.01564468576</v>
      </c>
      <c r="P28" s="75">
        <f t="shared" si="1"/>
        <v>20</v>
      </c>
      <c r="Q28" s="1505">
        <f>H28</f>
        <v>0</v>
      </c>
      <c r="R28" s="1505">
        <f>I28</f>
        <v>0</v>
      </c>
      <c r="S28" s="1506">
        <f>+Q28+R28</f>
        <v>0</v>
      </c>
      <c r="U28" s="1506">
        <f>HLOOKUP(Attach, $L$9:$N$47,K28,FALSE)</f>
        <v>-105688.01564468576</v>
      </c>
      <c r="V28" s="1506">
        <f>HLOOKUP(Attach, $Q$9:$S$47,P28,FALSE)</f>
        <v>0</v>
      </c>
    </row>
    <row r="29" spans="1:22">
      <c r="A29" s="1478"/>
      <c r="B29" s="1488"/>
      <c r="C29" s="1495"/>
      <c r="D29" s="1514"/>
      <c r="E29" s="1515"/>
      <c r="F29" s="1516"/>
      <c r="G29" s="1497"/>
      <c r="H29" s="1529"/>
      <c r="I29" s="1530"/>
      <c r="J29" s="1478"/>
      <c r="K29" s="75">
        <f t="shared" si="0"/>
        <v>21</v>
      </c>
      <c r="P29" s="75">
        <f t="shared" si="1"/>
        <v>21</v>
      </c>
    </row>
    <row r="30" spans="1:22">
      <c r="A30" s="1487">
        <f>A28+1</f>
        <v>10</v>
      </c>
      <c r="B30" s="1488" t="s">
        <v>1357</v>
      </c>
      <c r="C30" s="1495">
        <f>D30+G30</f>
        <v>2164749.1269999999</v>
      </c>
      <c r="D30" s="1514">
        <f>SUM(E30:F30)</f>
        <v>0</v>
      </c>
      <c r="E30" s="1515">
        <v>0</v>
      </c>
      <c r="F30" s="1516">
        <v>0</v>
      </c>
      <c r="G30" s="1497">
        <f>SUM(H30:I30)</f>
        <v>2164749.1269999999</v>
      </c>
      <c r="H30" s="1529">
        <v>0</v>
      </c>
      <c r="I30" s="1530">
        <v>2164749.1269999999</v>
      </c>
      <c r="J30" s="1489" t="s">
        <v>1405</v>
      </c>
      <c r="K30" s="75">
        <f t="shared" si="0"/>
        <v>22</v>
      </c>
      <c r="L30" s="1505">
        <f>E30</f>
        <v>0</v>
      </c>
      <c r="M30" s="1505">
        <f>F30</f>
        <v>0</v>
      </c>
      <c r="N30" s="1506">
        <f>+L30+M30</f>
        <v>0</v>
      </c>
      <c r="P30" s="75">
        <f t="shared" si="1"/>
        <v>22</v>
      </c>
      <c r="Q30" s="1505">
        <f>H30</f>
        <v>0</v>
      </c>
      <c r="R30" s="1505">
        <f>I30</f>
        <v>2164749.1269999999</v>
      </c>
      <c r="S30" s="1506">
        <f>+Q30+R30</f>
        <v>2164749.1269999999</v>
      </c>
      <c r="U30" s="1506">
        <f>HLOOKUP(Attach, $L$9:$N$47,K30,FALSE)</f>
        <v>0</v>
      </c>
      <c r="V30" s="1506">
        <f>HLOOKUP(Attach, $Q$9:$S$47,P30,FALSE)</f>
        <v>2164749.1269999999</v>
      </c>
    </row>
    <row r="31" spans="1:22">
      <c r="A31" s="1478"/>
      <c r="B31" s="1488"/>
      <c r="C31" s="1502"/>
      <c r="D31" s="1523"/>
      <c r="E31" s="1524"/>
      <c r="F31" s="1525"/>
      <c r="G31" s="1503"/>
      <c r="H31" s="1524"/>
      <c r="I31" s="1534"/>
      <c r="J31" s="1478"/>
      <c r="K31" s="75">
        <f t="shared" si="0"/>
        <v>23</v>
      </c>
      <c r="P31" s="75">
        <f t="shared" si="1"/>
        <v>23</v>
      </c>
    </row>
    <row r="32" spans="1:22">
      <c r="A32" s="1487">
        <f>A30+1</f>
        <v>11</v>
      </c>
      <c r="B32" s="1488" t="s">
        <v>1358</v>
      </c>
      <c r="C32" s="1500">
        <f t="shared" ref="C32:I32" si="3">SUM(C18:C30)</f>
        <v>141311437.50891411</v>
      </c>
      <c r="D32" s="1526">
        <f t="shared" si="3"/>
        <v>115299570.60191412</v>
      </c>
      <c r="E32" s="1527">
        <f t="shared" si="3"/>
        <v>76342270.65191412</v>
      </c>
      <c r="F32" s="1528">
        <f t="shared" si="3"/>
        <v>38957299.950000003</v>
      </c>
      <c r="G32" s="1504">
        <f t="shared" si="3"/>
        <v>26011866.907000002</v>
      </c>
      <c r="H32" s="1527">
        <f t="shared" si="3"/>
        <v>9417695.2199999969</v>
      </c>
      <c r="I32" s="1533">
        <f t="shared" si="3"/>
        <v>16594171.687000005</v>
      </c>
      <c r="J32" s="1493"/>
      <c r="K32" s="75">
        <f t="shared" si="0"/>
        <v>24</v>
      </c>
      <c r="M32" s="1507"/>
      <c r="P32" s="75">
        <f t="shared" si="1"/>
        <v>24</v>
      </c>
    </row>
    <row r="33" spans="1:10">
      <c r="A33" s="1478"/>
      <c r="B33" s="1478"/>
      <c r="C33" s="1478"/>
      <c r="D33" s="1478"/>
      <c r="E33" s="1478"/>
      <c r="F33" s="1478"/>
      <c r="G33" s="1478"/>
      <c r="H33" s="1478"/>
      <c r="I33" s="1478"/>
      <c r="J33" s="1478"/>
    </row>
    <row r="34" spans="1:10">
      <c r="A34" s="1478"/>
      <c r="B34" s="1478"/>
      <c r="C34" s="1478"/>
      <c r="D34" s="1478"/>
      <c r="E34" s="1478"/>
      <c r="F34" s="1478"/>
      <c r="G34" s="1478"/>
      <c r="H34" s="1478"/>
      <c r="I34" s="1478"/>
      <c r="J34" s="1478"/>
    </row>
    <row r="35" spans="1:10">
      <c r="A35" s="1478"/>
      <c r="B35" s="1478"/>
      <c r="C35" s="1478"/>
      <c r="D35" s="1478"/>
      <c r="E35" s="1478"/>
      <c r="F35" s="1478"/>
      <c r="G35" s="1478"/>
      <c r="H35" s="1478"/>
      <c r="I35" s="1478"/>
      <c r="J35" s="1478"/>
    </row>
    <row r="36" spans="1:10">
      <c r="A36" s="1478"/>
      <c r="B36" s="1478"/>
      <c r="C36" s="1457" t="s">
        <v>1135</v>
      </c>
      <c r="D36" s="1494">
        <f>D32-'Stmt I '!T16</f>
        <v>-64547</v>
      </c>
      <c r="E36" s="1478"/>
      <c r="F36" s="1478"/>
      <c r="G36" s="1494">
        <f>G32-'Stmt I '!T23</f>
        <v>0</v>
      </c>
      <c r="H36" s="1478"/>
      <c r="I36" s="1478"/>
      <c r="J36" s="1478"/>
    </row>
    <row r="37" spans="1:10">
      <c r="A37" s="1478"/>
      <c r="B37" s="1478"/>
      <c r="C37" s="1478"/>
      <c r="D37" s="1478"/>
      <c r="E37" s="1478"/>
      <c r="F37" s="1478"/>
      <c r="G37" s="1478"/>
      <c r="H37" s="1478"/>
      <c r="I37" s="1478"/>
      <c r="J37" s="1478"/>
    </row>
  </sheetData>
  <printOptions horizontalCentered="1"/>
  <pageMargins left="0.25" right="0.25" top="1" bottom="1" header="0.5" footer="0.5"/>
  <pageSetup scale="92"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L33"/>
  <sheetViews>
    <sheetView workbookViewId="0"/>
  </sheetViews>
  <sheetFormatPr defaultColWidth="9.33203125" defaultRowHeight="12.75"/>
  <cols>
    <col min="1" max="1" width="6.83203125" style="8" customWidth="1"/>
    <col min="2" max="2" width="3.33203125" style="8" customWidth="1"/>
    <col min="3" max="3" width="40" style="8" bestFit="1" customWidth="1"/>
    <col min="4" max="4" width="35.83203125" style="8" customWidth="1"/>
    <col min="5" max="5" width="22.33203125" style="8" customWidth="1"/>
    <col min="6" max="6" width="20.6640625" style="8" customWidth="1"/>
    <col min="7" max="7" width="11.6640625" style="8" customWidth="1"/>
    <col min="8" max="8" width="5.33203125" style="66" customWidth="1"/>
    <col min="9" max="9" width="10" style="66" customWidth="1"/>
    <col min="10" max="16384" width="9.33203125" style="66"/>
  </cols>
  <sheetData>
    <row r="1" spans="1:7">
      <c r="A1" s="25" t="str">
        <f>Company</f>
        <v>BLACK HILLS NEBRASKA GAS, LLC</v>
      </c>
      <c r="B1" s="85"/>
      <c r="C1" s="85"/>
      <c r="D1" s="85"/>
      <c r="E1" s="85"/>
      <c r="F1" s="615" t="str">
        <f>Attach</f>
        <v>FINAL - BH January 15, 2021 Rev. Req. Model</v>
      </c>
      <c r="G1" s="66"/>
    </row>
    <row r="2" spans="1:7" ht="12.75" customHeight="1">
      <c r="A2" s="30" t="s">
        <v>857</v>
      </c>
      <c r="B2" s="85"/>
      <c r="C2" s="85"/>
      <c r="D2" s="85"/>
      <c r="E2" s="85"/>
      <c r="F2" s="343" t="s">
        <v>889</v>
      </c>
      <c r="G2" s="85"/>
    </row>
    <row r="3" spans="1:7" ht="12.75" customHeight="1">
      <c r="A3" s="70" t="str">
        <f>TYEnded</f>
        <v>FOR THE TEST YEAR ENDING DECEMBER 31, 2020</v>
      </c>
      <c r="B3" s="85"/>
      <c r="C3" s="85"/>
      <c r="D3" s="85"/>
      <c r="E3" s="85"/>
      <c r="F3" s="85"/>
      <c r="G3" s="85"/>
    </row>
    <row r="4" spans="1:7">
      <c r="A4" s="15"/>
      <c r="B4" s="23"/>
      <c r="C4" s="23"/>
      <c r="D4" s="85"/>
      <c r="E4" s="85"/>
      <c r="F4" s="23"/>
    </row>
    <row r="5" spans="1:7">
      <c r="A5" s="15"/>
      <c r="B5" s="20"/>
      <c r="C5" s="20"/>
      <c r="D5" s="20"/>
      <c r="E5" s="15" t="s">
        <v>295</v>
      </c>
      <c r="F5" s="15" t="s">
        <v>200</v>
      </c>
    </row>
    <row r="6" spans="1:7">
      <c r="A6" s="20"/>
      <c r="B6" s="20"/>
      <c r="C6" s="20"/>
      <c r="D6" s="20"/>
      <c r="E6" s="15"/>
      <c r="F6" s="15"/>
    </row>
    <row r="7" spans="1:7">
      <c r="A7" s="20"/>
      <c r="B7" s="20"/>
      <c r="C7" s="20"/>
      <c r="D7" s="20"/>
      <c r="F7" s="15" t="s">
        <v>21</v>
      </c>
    </row>
    <row r="8" spans="1:7">
      <c r="A8" s="15" t="s">
        <v>59</v>
      </c>
      <c r="B8" s="616"/>
      <c r="C8" s="616"/>
      <c r="D8" s="616"/>
      <c r="E8" s="15" t="s">
        <v>748</v>
      </c>
      <c r="F8" s="364" t="s">
        <v>212</v>
      </c>
      <c r="G8" s="159"/>
    </row>
    <row r="9" spans="1:7">
      <c r="A9" s="362" t="s">
        <v>195</v>
      </c>
      <c r="B9" s="617"/>
      <c r="C9" s="617" t="s">
        <v>800</v>
      </c>
      <c r="D9" s="378" t="s">
        <v>285</v>
      </c>
      <c r="E9" s="362" t="s">
        <v>12</v>
      </c>
      <c r="F9" s="362" t="s">
        <v>229</v>
      </c>
      <c r="G9" s="159"/>
    </row>
    <row r="10" spans="1:7">
      <c r="A10" s="23"/>
      <c r="B10" s="23"/>
      <c r="C10" s="23"/>
      <c r="D10" s="249"/>
      <c r="E10" s="23"/>
      <c r="F10" s="23"/>
    </row>
    <row r="11" spans="1:7">
      <c r="A11" s="103">
        <f t="shared" ref="A11:A26" si="0">A10+1</f>
        <v>1</v>
      </c>
      <c r="B11" s="23"/>
      <c r="C11" s="23"/>
      <c r="D11" s="248"/>
      <c r="E11" s="23"/>
      <c r="F11" s="23"/>
    </row>
    <row r="12" spans="1:7">
      <c r="A12" s="103">
        <f t="shared" si="0"/>
        <v>2</v>
      </c>
      <c r="B12" s="23"/>
      <c r="C12" s="23" t="s">
        <v>632</v>
      </c>
      <c r="D12" s="214" t="s">
        <v>1439</v>
      </c>
      <c r="E12" s="149">
        <f>'Sched I-2 Pg 2'!C31+'Sched I-2 Pg 2'!C51</f>
        <v>8666613.8397144321</v>
      </c>
      <c r="F12" s="23"/>
    </row>
    <row r="13" spans="1:7">
      <c r="A13" s="103">
        <f t="shared" si="0"/>
        <v>3</v>
      </c>
      <c r="B13" s="23"/>
      <c r="C13" s="23" t="s">
        <v>752</v>
      </c>
      <c r="D13" s="214" t="s">
        <v>1440</v>
      </c>
      <c r="E13" s="207">
        <f>('Sched I-2 Pg 2'!F31+'Sched I-2 Pg 2'!F51)*-1</f>
        <v>-2239620.5094700218</v>
      </c>
      <c r="F13" s="23"/>
    </row>
    <row r="14" spans="1:7">
      <c r="A14" s="103">
        <f t="shared" si="0"/>
        <v>4</v>
      </c>
      <c r="B14" s="23"/>
      <c r="C14" s="23" t="s">
        <v>938</v>
      </c>
      <c r="D14" s="214" t="s">
        <v>1441</v>
      </c>
      <c r="E14" s="787">
        <f>'Sched I-2 Pg 2'!O31+'Sched I-2 Pg 2'!O51</f>
        <v>-470400.79892688186</v>
      </c>
      <c r="F14" s="23"/>
    </row>
    <row r="15" spans="1:7">
      <c r="A15" s="103">
        <f t="shared" si="0"/>
        <v>5</v>
      </c>
      <c r="B15" s="23"/>
      <c r="C15" s="23" t="s">
        <v>253</v>
      </c>
      <c r="D15" s="214"/>
      <c r="E15" s="149">
        <f>SUM(E12:E14)</f>
        <v>5956592.5313175293</v>
      </c>
      <c r="F15" s="23"/>
    </row>
    <row r="16" spans="1:7">
      <c r="A16" s="103">
        <f t="shared" si="0"/>
        <v>6</v>
      </c>
      <c r="B16" s="23"/>
      <c r="C16" s="23"/>
      <c r="D16" s="214"/>
      <c r="E16" s="149"/>
      <c r="F16" s="23"/>
    </row>
    <row r="17" spans="1:12" ht="15">
      <c r="A17" s="103">
        <f t="shared" si="0"/>
        <v>7</v>
      </c>
      <c r="B17" s="23"/>
      <c r="C17" s="23" t="s">
        <v>749</v>
      </c>
      <c r="D17" s="839" t="s">
        <v>1472</v>
      </c>
      <c r="E17" s="149">
        <f>E15*'Stmt G '!E23*'Stmt G '!F23</f>
        <v>116451.38398725771</v>
      </c>
      <c r="F17" s="23"/>
      <c r="L17" s="1601"/>
    </row>
    <row r="18" spans="1:12" ht="15">
      <c r="A18" s="103">
        <f t="shared" si="0"/>
        <v>8</v>
      </c>
      <c r="B18" s="23"/>
      <c r="C18" s="23" t="s">
        <v>750</v>
      </c>
      <c r="D18" s="839" t="s">
        <v>1473</v>
      </c>
      <c r="E18" s="149">
        <f>E15*'Stmt G '!E25*'Stmt G '!F25</f>
        <v>282938.14523758262</v>
      </c>
      <c r="F18" s="23"/>
      <c r="H18" s="66">
        <v>1</v>
      </c>
      <c r="I18" s="75" t="str">
        <f>References!$C$17</f>
        <v>Exhibit No. MCC-2 NEG</v>
      </c>
      <c r="J18" s="75" t="str">
        <f>References!$D$17</f>
        <v>Exhibit No. MCC-2 NEGD</v>
      </c>
      <c r="K18" s="75" t="str">
        <f>References!$E$17</f>
        <v>FINAL - BH January 15, 2021 Rev. Req. Model</v>
      </c>
      <c r="L18" s="1601"/>
    </row>
    <row r="19" spans="1:12">
      <c r="A19" s="103">
        <f t="shared" si="0"/>
        <v>9</v>
      </c>
      <c r="B19" s="23"/>
      <c r="C19" s="23"/>
      <c r="D19" s="214"/>
      <c r="E19" s="502"/>
      <c r="F19" s="23"/>
      <c r="H19" s="66">
        <v>2</v>
      </c>
      <c r="I19" s="66" t="s">
        <v>955</v>
      </c>
      <c r="J19" s="66" t="s">
        <v>958</v>
      </c>
      <c r="K19" s="66" t="s">
        <v>535</v>
      </c>
    </row>
    <row r="20" spans="1:12">
      <c r="A20" s="103">
        <f t="shared" si="0"/>
        <v>10</v>
      </c>
      <c r="B20" s="23"/>
      <c r="C20" s="123" t="s">
        <v>30</v>
      </c>
      <c r="D20" s="214" t="s">
        <v>1442</v>
      </c>
      <c r="E20" s="149">
        <f>'Sched I-2 Pg 2'!E31+'Sched I-2 Pg 2'!E51</f>
        <v>473146.28975151863</v>
      </c>
      <c r="F20" s="23"/>
      <c r="H20" s="66">
        <v>3</v>
      </c>
    </row>
    <row r="21" spans="1:12">
      <c r="A21" s="103">
        <f t="shared" si="0"/>
        <v>11</v>
      </c>
      <c r="B21" s="23"/>
      <c r="C21" s="123"/>
      <c r="D21" s="839"/>
      <c r="E21" s="149"/>
      <c r="F21" s="23"/>
      <c r="H21" s="66">
        <v>4</v>
      </c>
    </row>
    <row r="22" spans="1:12">
      <c r="A22" s="103">
        <f t="shared" si="0"/>
        <v>12</v>
      </c>
      <c r="B22" s="23"/>
      <c r="C22" s="123" t="s">
        <v>1029</v>
      </c>
      <c r="D22" s="839" t="s">
        <v>1443</v>
      </c>
      <c r="E22" s="160">
        <f>HLOOKUP(Attach,$H$18:$K$22,H22,FALSE)*E12</f>
        <v>49399.793329073727</v>
      </c>
      <c r="F22" s="23"/>
      <c r="G22" s="1233"/>
      <c r="H22" s="66">
        <v>5</v>
      </c>
      <c r="I22" s="1232">
        <v>5.5696732670036967E-3</v>
      </c>
      <c r="J22" s="1232">
        <v>5.876758950876043E-3</v>
      </c>
      <c r="K22" s="1232">
        <v>5.7000108973012083E-3</v>
      </c>
      <c r="L22" s="1231"/>
    </row>
    <row r="23" spans="1:12">
      <c r="A23" s="103">
        <f t="shared" si="0"/>
        <v>13</v>
      </c>
      <c r="B23" s="23"/>
      <c r="C23" s="123"/>
      <c r="D23" s="23"/>
      <c r="E23" s="160"/>
      <c r="F23" s="23"/>
    </row>
    <row r="24" spans="1:12">
      <c r="A24" s="103">
        <f t="shared" si="0"/>
        <v>14</v>
      </c>
      <c r="B24" s="23"/>
      <c r="C24" s="23" t="s">
        <v>634</v>
      </c>
      <c r="D24" s="839" t="s">
        <v>1445</v>
      </c>
      <c r="E24" s="160">
        <f>COMPRATE*E18</f>
        <v>76874.011122905969</v>
      </c>
      <c r="F24" s="23"/>
      <c r="I24" s="1565"/>
      <c r="J24" s="1565"/>
      <c r="K24" s="1565"/>
    </row>
    <row r="25" spans="1:12">
      <c r="A25" s="103">
        <f t="shared" si="0"/>
        <v>15</v>
      </c>
      <c r="B25" s="23"/>
      <c r="C25" s="23"/>
      <c r="D25" s="23"/>
      <c r="E25" s="23"/>
      <c r="F25" s="23"/>
    </row>
    <row r="26" spans="1:12">
      <c r="A26" s="103">
        <f t="shared" si="0"/>
        <v>16</v>
      </c>
      <c r="B26" s="23"/>
      <c r="C26" s="23" t="s">
        <v>751</v>
      </c>
      <c r="D26" s="917" t="s">
        <v>1151</v>
      </c>
      <c r="E26" s="475">
        <f>SUM(E17:E24)</f>
        <v>998809.62342833867</v>
      </c>
      <c r="F26" s="459">
        <f>E26</f>
        <v>998809.62342833867</v>
      </c>
    </row>
    <row r="27" spans="1:12" ht="13.35" customHeight="1">
      <c r="A27" s="103">
        <f>A26+1</f>
        <v>17</v>
      </c>
      <c r="B27" s="23"/>
      <c r="C27" s="23"/>
      <c r="D27" s="23"/>
      <c r="E27" s="54"/>
      <c r="F27" s="54"/>
    </row>
    <row r="28" spans="1:12" ht="13.35" customHeight="1" thickBot="1">
      <c r="A28" s="103">
        <f t="shared" ref="A28:A32" si="1">A27+1</f>
        <v>18</v>
      </c>
      <c r="B28" s="879" t="s">
        <v>838</v>
      </c>
      <c r="C28" s="23"/>
      <c r="D28" s="23"/>
      <c r="E28" s="134">
        <f>E26</f>
        <v>998809.62342833867</v>
      </c>
      <c r="F28" s="134">
        <f>F26</f>
        <v>998809.62342833867</v>
      </c>
    </row>
    <row r="29" spans="1:12" ht="13.35" customHeight="1" thickTop="1">
      <c r="A29" s="103">
        <f t="shared" si="1"/>
        <v>19</v>
      </c>
      <c r="B29" s="23"/>
      <c r="C29" s="23"/>
      <c r="D29" s="23"/>
      <c r="E29" s="54"/>
      <c r="F29" s="54"/>
    </row>
    <row r="30" spans="1:12" ht="13.35" customHeight="1">
      <c r="A30" s="103">
        <f t="shared" si="1"/>
        <v>20</v>
      </c>
      <c r="B30" s="8" t="s">
        <v>969</v>
      </c>
      <c r="C30" s="23"/>
      <c r="D30" s="23"/>
      <c r="E30" s="23"/>
      <c r="F30" s="23"/>
    </row>
    <row r="31" spans="1:12" ht="13.35" customHeight="1">
      <c r="A31" s="103">
        <f t="shared" si="1"/>
        <v>21</v>
      </c>
      <c r="B31" s="75" t="s">
        <v>1444</v>
      </c>
      <c r="E31" s="22"/>
    </row>
    <row r="32" spans="1:12" ht="19.350000000000001" customHeight="1">
      <c r="A32" s="103">
        <f t="shared" si="1"/>
        <v>22</v>
      </c>
      <c r="C32" s="1208" t="s">
        <v>1478</v>
      </c>
      <c r="D32" s="1602">
        <f>HLOOKUP(Attach,$H$18:$K$22,H22,FALSE)</f>
        <v>5.7000108973012083E-3</v>
      </c>
      <c r="E32" s="468"/>
    </row>
    <row r="33" spans="5:5" ht="13.35" customHeight="1">
      <c r="E33" s="22"/>
    </row>
  </sheetData>
  <printOptions horizontalCentered="1"/>
  <pageMargins left="0.5" right="0.5" top="1" bottom="1" header="1" footer="0.5"/>
  <pageSetup orientation="landscape"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AJ64"/>
  <sheetViews>
    <sheetView workbookViewId="0"/>
  </sheetViews>
  <sheetFormatPr defaultColWidth="9.33203125" defaultRowHeight="12.75"/>
  <cols>
    <col min="1" max="1" width="6.83203125" style="62" customWidth="1"/>
    <col min="2" max="2" width="41.33203125" style="62" customWidth="1"/>
    <col min="3" max="3" width="13.6640625" style="62" customWidth="1"/>
    <col min="4" max="4" width="15.1640625" style="62" customWidth="1"/>
    <col min="5" max="5" width="14.33203125" style="62" customWidth="1"/>
    <col min="6" max="6" width="16.33203125" style="62" customWidth="1"/>
    <col min="7" max="7" width="12.83203125" style="62" customWidth="1"/>
    <col min="8" max="8" width="14.1640625" style="62" customWidth="1"/>
    <col min="9" max="9" width="14.83203125" style="62" customWidth="1"/>
    <col min="10" max="10" width="12.33203125" style="62" customWidth="1"/>
    <col min="11" max="11" width="2.33203125" style="62" customWidth="1"/>
    <col min="12" max="12" width="10.1640625" style="62" customWidth="1"/>
    <col min="13" max="13" width="2.33203125" style="62" customWidth="1"/>
    <col min="14" max="14" width="15.1640625" style="62" customWidth="1"/>
    <col min="15" max="15" width="19.33203125" style="62" customWidth="1"/>
    <col min="16" max="16" width="1.33203125" style="62" customWidth="1"/>
    <col min="17" max="17" width="4.1640625" style="62" customWidth="1"/>
    <col min="18" max="18" width="5.1640625" style="14" customWidth="1"/>
    <col min="19" max="20" width="13.6640625" style="14" customWidth="1"/>
    <col min="21" max="21" width="9.33203125" style="14" customWidth="1"/>
    <col min="22" max="22" width="8.6640625" style="62" customWidth="1"/>
    <col min="23" max="23" width="9.1640625" style="14" customWidth="1"/>
    <col min="24" max="24" width="21.33203125" style="14" customWidth="1"/>
    <col min="25" max="26" width="21.83203125" style="14" customWidth="1"/>
    <col min="27" max="27" width="5" style="14" customWidth="1"/>
    <col min="28" max="28" width="5.1640625" style="14" customWidth="1"/>
    <col min="29" max="29" width="21.33203125" style="14" customWidth="1"/>
    <col min="30" max="31" width="21.83203125" style="14" customWidth="1"/>
    <col min="32" max="32" width="2.33203125" style="14" customWidth="1"/>
    <col min="33" max="33" width="5.1640625" style="14" customWidth="1"/>
    <col min="34" max="34" width="21.33203125" style="14" bestFit="1" customWidth="1"/>
    <col min="35" max="36" width="21.83203125" style="14" bestFit="1" customWidth="1"/>
    <col min="37" max="16384" width="9.33203125" style="62"/>
  </cols>
  <sheetData>
    <row r="1" spans="1:36">
      <c r="A1" s="25" t="str">
        <f>Company</f>
        <v>BLACK HILLS NEBRASKA GAS, LLC</v>
      </c>
      <c r="B1" s="14"/>
      <c r="C1" s="14"/>
      <c r="D1" s="14"/>
      <c r="E1" s="14"/>
      <c r="F1" s="1230"/>
      <c r="G1" s="14"/>
      <c r="H1" s="14"/>
      <c r="I1" s="1236"/>
      <c r="J1" s="14"/>
      <c r="K1" s="14"/>
      <c r="L1" s="14"/>
      <c r="M1" s="14"/>
      <c r="N1" s="615"/>
      <c r="O1" s="615" t="str">
        <f>Attach</f>
        <v>FINAL - BH January 15, 2021 Rev. Req. Model</v>
      </c>
      <c r="U1" s="1230"/>
      <c r="W1" s="62"/>
      <c r="X1" s="62"/>
      <c r="Y1" s="62"/>
      <c r="Z1" s="62"/>
      <c r="AB1" s="62"/>
      <c r="AC1" s="62"/>
      <c r="AD1" s="62"/>
      <c r="AE1" s="62"/>
      <c r="AF1" s="62"/>
      <c r="AG1" s="62"/>
      <c r="AH1" s="62"/>
      <c r="AI1" s="62"/>
      <c r="AJ1" s="62"/>
    </row>
    <row r="2" spans="1:36">
      <c r="A2" s="25" t="s">
        <v>1519</v>
      </c>
      <c r="B2" s="14"/>
      <c r="C2" s="14"/>
      <c r="D2" s="14"/>
      <c r="E2" s="14"/>
      <c r="F2" s="14"/>
      <c r="G2" s="14"/>
      <c r="H2" s="14"/>
      <c r="I2" s="1236"/>
      <c r="J2" s="14"/>
      <c r="K2" s="14"/>
      <c r="L2" s="14"/>
      <c r="M2" s="14"/>
      <c r="N2" s="343"/>
      <c r="O2" s="343" t="s">
        <v>1383</v>
      </c>
      <c r="W2" s="62"/>
      <c r="X2" s="62"/>
      <c r="Y2" s="62"/>
      <c r="Z2" s="62"/>
      <c r="AB2" s="62"/>
      <c r="AC2" s="62"/>
      <c r="AD2" s="62"/>
      <c r="AE2" s="62"/>
      <c r="AF2" s="62"/>
      <c r="AG2" s="62"/>
      <c r="AH2" s="62"/>
      <c r="AI2" s="62"/>
      <c r="AJ2" s="62"/>
    </row>
    <row r="3" spans="1:36">
      <c r="A3" s="70" t="str">
        <f>TYEnded</f>
        <v>FOR THE TEST YEAR ENDING DECEMBER 31, 2020</v>
      </c>
      <c r="B3" s="14"/>
      <c r="C3" s="14"/>
      <c r="D3" s="14"/>
      <c r="E3" s="14"/>
      <c r="F3" s="14"/>
      <c r="G3" s="14"/>
      <c r="H3" s="14"/>
      <c r="I3" s="14"/>
      <c r="J3" s="14"/>
      <c r="K3" s="14"/>
      <c r="L3" s="14"/>
      <c r="M3" s="14"/>
      <c r="N3" s="14"/>
      <c r="O3" s="14"/>
      <c r="R3" s="14" t="s">
        <v>1152</v>
      </c>
      <c r="W3" s="62"/>
      <c r="X3" s="8" t="s">
        <v>746</v>
      </c>
      <c r="Y3" s="62"/>
      <c r="Z3" s="62"/>
      <c r="AB3" s="62"/>
      <c r="AC3" s="8" t="s">
        <v>712</v>
      </c>
      <c r="AD3" s="62"/>
      <c r="AE3" s="62"/>
      <c r="AF3" s="62"/>
      <c r="AG3" s="62"/>
      <c r="AH3" s="8" t="s">
        <v>1183</v>
      </c>
      <c r="AI3" s="62"/>
      <c r="AJ3" s="62"/>
    </row>
    <row r="4" spans="1:36">
      <c r="A4" s="14"/>
      <c r="B4" s="14"/>
      <c r="C4" s="23"/>
      <c r="D4" s="14"/>
      <c r="E4" s="14"/>
      <c r="F4" s="23"/>
      <c r="G4" s="14"/>
      <c r="H4" s="14"/>
      <c r="I4" s="14"/>
      <c r="J4" s="14"/>
      <c r="K4" s="14"/>
      <c r="L4" s="14"/>
      <c r="M4" s="14"/>
      <c r="N4" s="14"/>
      <c r="O4" s="14"/>
      <c r="W4" s="62"/>
      <c r="X4" s="62"/>
      <c r="Y4" s="62"/>
      <c r="Z4" s="62"/>
      <c r="AB4" s="62"/>
      <c r="AC4" s="62"/>
      <c r="AD4" s="62"/>
      <c r="AE4" s="62"/>
      <c r="AF4" s="62"/>
      <c r="AG4" s="62"/>
      <c r="AH4" s="62"/>
      <c r="AI4" s="62"/>
      <c r="AJ4" s="62"/>
    </row>
    <row r="5" spans="1:36">
      <c r="A5" s="909"/>
      <c r="B5" s="910"/>
      <c r="C5" s="103" t="s">
        <v>199</v>
      </c>
      <c r="D5" s="103" t="s">
        <v>200</v>
      </c>
      <c r="E5" s="103" t="s">
        <v>41</v>
      </c>
      <c r="F5" s="103" t="s">
        <v>202</v>
      </c>
      <c r="G5" s="103" t="s">
        <v>203</v>
      </c>
      <c r="H5" s="103" t="s">
        <v>204</v>
      </c>
      <c r="I5" s="103" t="s">
        <v>205</v>
      </c>
      <c r="J5" s="103" t="s">
        <v>206</v>
      </c>
      <c r="K5" s="103"/>
      <c r="L5" s="103" t="s">
        <v>207</v>
      </c>
      <c r="M5" s="103"/>
      <c r="N5" s="103" t="s">
        <v>208</v>
      </c>
      <c r="O5" s="103" t="s">
        <v>209</v>
      </c>
      <c r="W5" s="62"/>
      <c r="X5" s="62"/>
      <c r="Y5" s="62"/>
      <c r="Z5" s="62"/>
      <c r="AB5" s="62"/>
      <c r="AC5" s="62"/>
      <c r="AD5" s="62"/>
      <c r="AE5" s="62"/>
      <c r="AF5" s="62"/>
      <c r="AG5" s="62"/>
      <c r="AH5" s="62"/>
      <c r="AI5" s="62"/>
      <c r="AJ5" s="62"/>
    </row>
    <row r="6" spans="1:36">
      <c r="A6" s="14"/>
      <c r="B6" s="14"/>
      <c r="C6" s="14"/>
      <c r="D6" s="14"/>
      <c r="E6" s="909" t="s">
        <v>657</v>
      </c>
      <c r="F6" s="909"/>
      <c r="G6" s="14"/>
      <c r="H6" s="14"/>
      <c r="I6" s="909"/>
      <c r="J6" s="1228" t="s">
        <v>1149</v>
      </c>
      <c r="K6" s="14"/>
      <c r="L6" s="14"/>
      <c r="M6" s="14"/>
      <c r="N6" s="909" t="s">
        <v>660</v>
      </c>
      <c r="O6" s="909"/>
      <c r="Q6" s="75">
        <v>1</v>
      </c>
      <c r="S6" s="75" t="str">
        <f>References!$C$17</f>
        <v>Exhibit No. MCC-2 NEG</v>
      </c>
      <c r="T6" s="75" t="str">
        <f>References!$D$17</f>
        <v>Exhibit No. MCC-2 NEGD</v>
      </c>
      <c r="U6" s="75" t="str">
        <f>References!$E$17</f>
        <v>FINAL - BH January 15, 2021 Rev. Req. Model</v>
      </c>
      <c r="W6" s="75">
        <v>1</v>
      </c>
      <c r="X6" s="75" t="str">
        <f>References!$C$17</f>
        <v>Exhibit No. MCC-2 NEG</v>
      </c>
      <c r="Y6" s="75" t="str">
        <f>References!$D$17</f>
        <v>Exhibit No. MCC-2 NEGD</v>
      </c>
      <c r="Z6" s="75" t="str">
        <f>References!$E$17</f>
        <v>FINAL - BH January 15, 2021 Rev. Req. Model</v>
      </c>
      <c r="AA6" s="82"/>
      <c r="AB6" s="75">
        <v>1</v>
      </c>
      <c r="AC6" s="75" t="str">
        <f>References!$C$17</f>
        <v>Exhibit No. MCC-2 NEG</v>
      </c>
      <c r="AD6" s="75" t="str">
        <f>References!$D$17</f>
        <v>Exhibit No. MCC-2 NEGD</v>
      </c>
      <c r="AE6" s="75" t="str">
        <f>References!$E$17</f>
        <v>FINAL - BH January 15, 2021 Rev. Req. Model</v>
      </c>
      <c r="AF6" s="62"/>
      <c r="AG6" s="75">
        <v>1</v>
      </c>
      <c r="AH6" s="75" t="str">
        <f>References!$C$17</f>
        <v>Exhibit No. MCC-2 NEG</v>
      </c>
      <c r="AI6" s="75" t="str">
        <f>References!$D$17</f>
        <v>Exhibit No. MCC-2 NEGD</v>
      </c>
      <c r="AJ6" s="75" t="str">
        <f>References!$E$17</f>
        <v>FINAL - BH January 15, 2021 Rev. Req. Model</v>
      </c>
    </row>
    <row r="7" spans="1:36" ht="38.25">
      <c r="A7" s="350" t="s">
        <v>117</v>
      </c>
      <c r="B7" s="350" t="s">
        <v>503</v>
      </c>
      <c r="C7" s="350" t="s">
        <v>716</v>
      </c>
      <c r="D7" s="350" t="s">
        <v>680</v>
      </c>
      <c r="E7" s="350" t="s">
        <v>650</v>
      </c>
      <c r="F7" s="350" t="s">
        <v>791</v>
      </c>
      <c r="G7" s="350" t="s">
        <v>652</v>
      </c>
      <c r="H7" s="350" t="s">
        <v>653</v>
      </c>
      <c r="I7" s="350" t="s">
        <v>803</v>
      </c>
      <c r="J7" s="350" t="s">
        <v>333</v>
      </c>
      <c r="K7" s="381"/>
      <c r="L7" s="350" t="s">
        <v>359</v>
      </c>
      <c r="M7" s="381"/>
      <c r="N7" s="350" t="s">
        <v>656</v>
      </c>
      <c r="O7" s="350" t="s">
        <v>786</v>
      </c>
      <c r="Q7" s="75">
        <f>1+Q6</f>
        <v>2</v>
      </c>
      <c r="S7" s="75" t="str">
        <f>References!$C$18</f>
        <v>NEG</v>
      </c>
      <c r="T7" s="75" t="str">
        <f>References!$D$18</f>
        <v>NEGD</v>
      </c>
      <c r="U7" s="75" t="str">
        <f>References!$E$18</f>
        <v>Tot Co</v>
      </c>
      <c r="W7" s="75">
        <f>1+W6</f>
        <v>2</v>
      </c>
      <c r="X7" s="75" t="str">
        <f>References!$C$18</f>
        <v>NEG</v>
      </c>
      <c r="Y7" s="75" t="str">
        <f>References!$D$18</f>
        <v>NEGD</v>
      </c>
      <c r="Z7" s="75" t="str">
        <f>References!$E$18</f>
        <v>Tot Co</v>
      </c>
      <c r="AA7" s="82"/>
      <c r="AB7" s="75">
        <f>1+AB6</f>
        <v>2</v>
      </c>
      <c r="AC7" s="75" t="str">
        <f>References!$C$18</f>
        <v>NEG</v>
      </c>
      <c r="AD7" s="75" t="str">
        <f>References!$D$18</f>
        <v>NEGD</v>
      </c>
      <c r="AE7" s="75" t="str">
        <f>References!$E$18</f>
        <v>Tot Co</v>
      </c>
      <c r="AF7" s="62"/>
      <c r="AG7" s="75">
        <f>1+AG6</f>
        <v>2</v>
      </c>
      <c r="AH7" s="75" t="str">
        <f>References!$C$18</f>
        <v>NEG</v>
      </c>
      <c r="AI7" s="75" t="str">
        <f>References!$D$18</f>
        <v>NEGD</v>
      </c>
      <c r="AJ7" s="75" t="str">
        <f>References!$E$18</f>
        <v>Tot Co</v>
      </c>
    </row>
    <row r="8" spans="1:36">
      <c r="A8" s="909">
        <v>1</v>
      </c>
      <c r="B8" s="650"/>
      <c r="C8" s="475"/>
      <c r="D8" s="674"/>
      <c r="E8" s="641"/>
      <c r="F8" s="475"/>
      <c r="G8" s="579"/>
      <c r="H8" s="579"/>
      <c r="I8" s="641"/>
      <c r="J8" s="641"/>
      <c r="K8" s="642"/>
      <c r="L8" s="580"/>
      <c r="M8" s="642"/>
      <c r="N8" s="641"/>
      <c r="O8" s="653"/>
      <c r="Q8" s="75">
        <f t="shared" ref="Q8:Q14" si="0">1+Q7</f>
        <v>3</v>
      </c>
      <c r="R8" s="497"/>
      <c r="S8" s="497"/>
      <c r="T8" s="497"/>
      <c r="W8" s="75">
        <f t="shared" ref="W8:W14" si="1">1+W7</f>
        <v>3</v>
      </c>
      <c r="Z8" s="506"/>
      <c r="AA8" s="506"/>
      <c r="AB8" s="75">
        <f t="shared" ref="AB8:AB14" si="2">1+AB7</f>
        <v>3</v>
      </c>
      <c r="AE8" s="506"/>
      <c r="AF8" s="62"/>
      <c r="AG8" s="75">
        <f t="shared" ref="AG8:AG40" si="3">1+AG7</f>
        <v>3</v>
      </c>
      <c r="AH8" s="62"/>
      <c r="AI8" s="62"/>
      <c r="AJ8" s="62"/>
    </row>
    <row r="9" spans="1:36">
      <c r="A9" s="909">
        <f t="shared" ref="A9:A53" si="4">A8+1</f>
        <v>2</v>
      </c>
      <c r="B9" s="825" t="s">
        <v>785</v>
      </c>
      <c r="C9" s="349"/>
      <c r="D9" s="676"/>
      <c r="E9" s="349"/>
      <c r="F9" s="349"/>
      <c r="G9" s="349"/>
      <c r="H9" s="349"/>
      <c r="I9" s="475"/>
      <c r="J9" s="349"/>
      <c r="K9" s="351"/>
      <c r="L9" s="349"/>
      <c r="M9" s="351"/>
      <c r="N9" s="349"/>
      <c r="O9" s="349"/>
      <c r="Q9" s="75">
        <f t="shared" si="0"/>
        <v>4</v>
      </c>
      <c r="W9" s="75">
        <f t="shared" si="1"/>
        <v>4</v>
      </c>
      <c r="X9" s="82"/>
      <c r="Y9" s="82"/>
      <c r="Z9" s="506"/>
      <c r="AA9" s="506"/>
      <c r="AB9" s="75">
        <f t="shared" si="2"/>
        <v>4</v>
      </c>
      <c r="AC9" s="82"/>
      <c r="AD9" s="82"/>
      <c r="AE9" s="506"/>
      <c r="AF9" s="62"/>
      <c r="AG9" s="75">
        <f t="shared" si="3"/>
        <v>4</v>
      </c>
      <c r="AH9" s="62"/>
      <c r="AI9" s="62"/>
      <c r="AJ9" s="62"/>
    </row>
    <row r="10" spans="1:36">
      <c r="A10" s="909">
        <f t="shared" si="4"/>
        <v>3</v>
      </c>
      <c r="B10" s="33" t="s">
        <v>789</v>
      </c>
      <c r="C10" s="14"/>
      <c r="D10" s="675"/>
      <c r="E10" s="14"/>
      <c r="F10" s="14"/>
      <c r="G10" s="14"/>
      <c r="H10" s="14"/>
      <c r="I10" s="725"/>
      <c r="J10" s="14"/>
      <c r="K10" s="14"/>
      <c r="L10" s="14"/>
      <c r="M10" s="14"/>
      <c r="N10" s="14"/>
      <c r="O10" s="14"/>
      <c r="Q10" s="75">
        <f t="shared" si="0"/>
        <v>5</v>
      </c>
      <c r="V10" s="1227" t="s">
        <v>1153</v>
      </c>
      <c r="W10" s="75">
        <f t="shared" si="1"/>
        <v>5</v>
      </c>
      <c r="X10" s="506"/>
      <c r="Y10" s="506"/>
      <c r="Z10" s="506"/>
      <c r="AA10" s="506"/>
      <c r="AB10" s="75">
        <f t="shared" si="2"/>
        <v>5</v>
      </c>
      <c r="AE10" s="506"/>
      <c r="AF10" s="62"/>
      <c r="AG10" s="75">
        <f t="shared" si="3"/>
        <v>5</v>
      </c>
      <c r="AH10" s="62"/>
      <c r="AI10" s="62"/>
      <c r="AJ10" s="62"/>
    </row>
    <row r="11" spans="1:36">
      <c r="A11" s="909">
        <f t="shared" si="4"/>
        <v>4</v>
      </c>
      <c r="B11" s="650">
        <f>'Sched D-1'!B41</f>
        <v>387</v>
      </c>
      <c r="C11" s="475">
        <f t="shared" ref="C11:C30" si="5">HLOOKUP(Attach,$X$6:$Z$223,$W11,FALSE)*V11</f>
        <v>57081.452400000009</v>
      </c>
      <c r="D11" s="674">
        <f>IFERROR(VLOOKUP(B11,'Sched J-1'!B:K,10,FALSE),0)</f>
        <v>2.06E-2</v>
      </c>
      <c r="E11" s="641">
        <f t="shared" ref="E11:E30" si="6">D11*C11</f>
        <v>1175.8779194400001</v>
      </c>
      <c r="F11" s="475">
        <f t="shared" ref="F11:F30" si="7">HLOOKUP(Attach,$AC$6:$AE$223,AB11,FALSE)*V11</f>
        <v>97001.181200000021</v>
      </c>
      <c r="G11" s="579" t="s">
        <v>666</v>
      </c>
      <c r="H11" s="579" t="s">
        <v>666</v>
      </c>
      <c r="I11" s="475">
        <f t="shared" ref="I11:I30" si="8">HLOOKUP(Attach,$AH$6:$AJ$223,$W11,FALSE)*V11</f>
        <v>0</v>
      </c>
      <c r="J11" s="643">
        <f>I11-(C11-F11)</f>
        <v>39919.728800000012</v>
      </c>
      <c r="K11" s="642"/>
      <c r="L11" s="580">
        <f t="shared" ref="L11:L30" si="9">COMPRATE</f>
        <v>0.27169900000000002</v>
      </c>
      <c r="M11" s="642"/>
      <c r="N11" s="641">
        <f>+J11*L11</f>
        <v>10846.150395231203</v>
      </c>
      <c r="O11" s="671">
        <f>N11</f>
        <v>10846.150395231203</v>
      </c>
      <c r="Q11" s="75">
        <f t="shared" si="0"/>
        <v>6</v>
      </c>
      <c r="R11" s="14" t="s">
        <v>538</v>
      </c>
      <c r="S11" s="1234">
        <v>0.17299999999999999</v>
      </c>
      <c r="T11" s="1234">
        <v>0.115</v>
      </c>
      <c r="U11" s="1234">
        <v>0.14000000000000001</v>
      </c>
      <c r="V11" s="1235">
        <f t="shared" ref="V11:V30" si="10">HLOOKUP(Attach,$Q$6:$U$54,Q11,FALSE)</f>
        <v>0.14000000000000001</v>
      </c>
      <c r="W11" s="75">
        <f t="shared" si="1"/>
        <v>6</v>
      </c>
      <c r="X11" s="1509">
        <f>'Sched D-1'!W41</f>
        <v>39378.870000000003</v>
      </c>
      <c r="Y11" s="1509">
        <f>'Sched D-1'!X41</f>
        <v>368345.79000000004</v>
      </c>
      <c r="Z11" s="937">
        <f>+X11+Y11</f>
        <v>407724.66000000003</v>
      </c>
      <c r="AA11" s="506"/>
      <c r="AB11" s="75">
        <f t="shared" si="2"/>
        <v>6</v>
      </c>
      <c r="AC11" s="1510">
        <v>605507.9</v>
      </c>
      <c r="AD11" s="1510">
        <v>87357.68</v>
      </c>
      <c r="AE11" s="937">
        <f>+AC11+AD11</f>
        <v>692865.58000000007</v>
      </c>
      <c r="AF11" s="62"/>
      <c r="AG11" s="75">
        <f t="shared" si="3"/>
        <v>6</v>
      </c>
      <c r="AH11" s="973">
        <v>0</v>
      </c>
      <c r="AI11" s="973">
        <v>0</v>
      </c>
      <c r="AJ11" s="937">
        <f>+AH11+AI11</f>
        <v>0</v>
      </c>
    </row>
    <row r="12" spans="1:36">
      <c r="A12" s="909">
        <f t="shared" si="4"/>
        <v>5</v>
      </c>
      <c r="B12" s="650">
        <f>'Sched D-1'!B45</f>
        <v>389.01</v>
      </c>
      <c r="C12" s="768">
        <f t="shared" si="5"/>
        <v>255293.32269000003</v>
      </c>
      <c r="D12" s="674">
        <f>IFERROR(VLOOKUP(B12,'Sched J-1'!B:K,10,FALSE),0)</f>
        <v>0</v>
      </c>
      <c r="E12" s="506">
        <f t="shared" si="6"/>
        <v>0</v>
      </c>
      <c r="F12" s="768">
        <f t="shared" si="7"/>
        <v>-2067.9274</v>
      </c>
      <c r="G12" s="579" t="s">
        <v>666</v>
      </c>
      <c r="H12" s="579" t="s">
        <v>666</v>
      </c>
      <c r="I12" s="768">
        <f t="shared" si="8"/>
        <v>313155.90172999998</v>
      </c>
      <c r="J12" s="506">
        <f>I12-(C12-F12)</f>
        <v>55794.651639999967</v>
      </c>
      <c r="K12" s="642"/>
      <c r="L12" s="580">
        <f t="shared" si="9"/>
        <v>0.27169900000000002</v>
      </c>
      <c r="M12" s="642"/>
      <c r="N12" s="506">
        <f>+J12*L12</f>
        <v>15159.351055936353</v>
      </c>
      <c r="O12" s="506">
        <f t="shared" ref="O12:O30" si="11">N12</f>
        <v>15159.351055936353</v>
      </c>
      <c r="Q12" s="75">
        <f t="shared" si="0"/>
        <v>7</v>
      </c>
      <c r="R12" s="14" t="s">
        <v>633</v>
      </c>
      <c r="S12" s="928">
        <v>4.2999999999999997E-2</v>
      </c>
      <c r="T12" s="928">
        <v>6.6000000000000003E-2</v>
      </c>
      <c r="U12" s="928">
        <v>4.9000000000000002E-2</v>
      </c>
      <c r="V12" s="1235">
        <f t="shared" si="10"/>
        <v>4.9000000000000002E-2</v>
      </c>
      <c r="W12" s="75">
        <f t="shared" si="1"/>
        <v>7</v>
      </c>
      <c r="X12" s="1509">
        <f>'Sched D-1'!W45</f>
        <v>3286546.93</v>
      </c>
      <c r="Y12" s="1509">
        <f>'Sched D-1'!X45</f>
        <v>1923520.88</v>
      </c>
      <c r="Z12" s="937">
        <f t="shared" ref="Z12:Z50" si="12">+X12+Y12</f>
        <v>5210067.8100000005</v>
      </c>
      <c r="AA12" s="506"/>
      <c r="AB12" s="75">
        <f t="shared" si="2"/>
        <v>7</v>
      </c>
      <c r="AC12" s="1510">
        <v>-4604.93</v>
      </c>
      <c r="AD12" s="1510">
        <v>-37597.67</v>
      </c>
      <c r="AE12" s="937">
        <f t="shared" ref="AE12:AE44" si="13">+AC12+AD12</f>
        <v>-42202.6</v>
      </c>
      <c r="AF12" s="62"/>
      <c r="AG12" s="75">
        <f t="shared" si="3"/>
        <v>7</v>
      </c>
      <c r="AH12" s="973">
        <v>3310039.73</v>
      </c>
      <c r="AI12" s="973">
        <v>3080897.04</v>
      </c>
      <c r="AJ12" s="937">
        <f t="shared" ref="AJ12:AJ44" si="14">+AH12+AI12</f>
        <v>6390936.7699999996</v>
      </c>
    </row>
    <row r="13" spans="1:36">
      <c r="A13" s="909">
        <f t="shared" si="4"/>
        <v>6</v>
      </c>
      <c r="B13" s="650">
        <f>'Sched D-1'!B47</f>
        <v>390.01</v>
      </c>
      <c r="C13" s="768">
        <f t="shared" si="5"/>
        <v>1873005.93753</v>
      </c>
      <c r="D13" s="674">
        <f>IFERROR(VLOOKUP(B13,'Sched J-1'!B:K,10,FALSE),0)</f>
        <v>2.98E-2</v>
      </c>
      <c r="E13" s="506">
        <f t="shared" si="6"/>
        <v>55815.576938393999</v>
      </c>
      <c r="F13" s="768">
        <f t="shared" si="7"/>
        <v>10807.02399</v>
      </c>
      <c r="G13" s="579" t="s">
        <v>666</v>
      </c>
      <c r="H13" s="579" t="s">
        <v>666</v>
      </c>
      <c r="I13" s="768">
        <f t="shared" si="8"/>
        <v>1786714.9300000002</v>
      </c>
      <c r="J13" s="506">
        <f>I13-(C13-F13)</f>
        <v>-75483.983539999928</v>
      </c>
      <c r="K13" s="642"/>
      <c r="L13" s="580">
        <f t="shared" si="9"/>
        <v>0.27169900000000002</v>
      </c>
      <c r="M13" s="642"/>
      <c r="N13" s="506">
        <f t="shared" ref="N13:N30" si="15">+J13*L13</f>
        <v>-20508.922843834443</v>
      </c>
      <c r="O13" s="506">
        <f t="shared" si="11"/>
        <v>-20508.922843834443</v>
      </c>
      <c r="Q13" s="75">
        <f t="shared" si="0"/>
        <v>8</v>
      </c>
      <c r="R13" s="14" t="s">
        <v>633</v>
      </c>
      <c r="S13" s="928">
        <v>4.2999999999999997E-2</v>
      </c>
      <c r="T13" s="928">
        <v>6.6000000000000003E-2</v>
      </c>
      <c r="U13" s="928">
        <v>4.9000000000000002E-2</v>
      </c>
      <c r="V13" s="1235">
        <f t="shared" si="10"/>
        <v>4.9000000000000002E-2</v>
      </c>
      <c r="W13" s="75">
        <f t="shared" si="1"/>
        <v>8</v>
      </c>
      <c r="X13" s="1509">
        <f>'Sched D-1'!W47</f>
        <v>21948637.82</v>
      </c>
      <c r="Y13" s="1509">
        <f>'Sched D-1'!X47</f>
        <v>16275973.149999999</v>
      </c>
      <c r="Z13" s="937">
        <f t="shared" si="12"/>
        <v>38224610.969999999</v>
      </c>
      <c r="AA13" s="506"/>
      <c r="AB13" s="75">
        <f t="shared" si="2"/>
        <v>8</v>
      </c>
      <c r="AC13" s="1510">
        <v>194065.33999999997</v>
      </c>
      <c r="AD13" s="1510">
        <v>26486.170000000002</v>
      </c>
      <c r="AE13" s="937">
        <f t="shared" si="13"/>
        <v>220551.50999999998</v>
      </c>
      <c r="AF13" s="62"/>
      <c r="AG13" s="75">
        <f t="shared" si="3"/>
        <v>8</v>
      </c>
      <c r="AH13" s="973">
        <v>21437512.210000001</v>
      </c>
      <c r="AI13" s="973">
        <v>15026057.789999999</v>
      </c>
      <c r="AJ13" s="937">
        <f t="shared" si="14"/>
        <v>36463570</v>
      </c>
    </row>
    <row r="14" spans="1:36">
      <c r="A14" s="909">
        <f t="shared" si="4"/>
        <v>7</v>
      </c>
      <c r="B14" s="650">
        <f>'Sched D-1'!B48</f>
        <v>390.51</v>
      </c>
      <c r="C14" s="768">
        <f t="shared" si="5"/>
        <v>4561.4746800000003</v>
      </c>
      <c r="D14" s="674">
        <f>IFERROR(VLOOKUP(B14,'Sched J-1'!B:K,10,FALSE),0)</f>
        <v>9.2799999999999994E-2</v>
      </c>
      <c r="E14" s="506">
        <f t="shared" si="6"/>
        <v>423.30485030400001</v>
      </c>
      <c r="F14" s="768">
        <f t="shared" si="7"/>
        <v>-5207.2104000000018</v>
      </c>
      <c r="G14" s="579" t="s">
        <v>666</v>
      </c>
      <c r="H14" s="579" t="s">
        <v>666</v>
      </c>
      <c r="I14" s="768">
        <f t="shared" si="8"/>
        <v>4422.7625399999997</v>
      </c>
      <c r="J14" s="506">
        <f>I14-(C14-F14)</f>
        <v>-5345.9225400000032</v>
      </c>
      <c r="K14" s="642"/>
      <c r="L14" s="580">
        <f t="shared" si="9"/>
        <v>0.27169900000000002</v>
      </c>
      <c r="M14" s="642"/>
      <c r="N14" s="506">
        <f t="shared" si="15"/>
        <v>-1452.4818081954611</v>
      </c>
      <c r="O14" s="506">
        <f t="shared" si="11"/>
        <v>-1452.4818081954611</v>
      </c>
      <c r="Q14" s="75">
        <f t="shared" si="0"/>
        <v>9</v>
      </c>
      <c r="R14" s="14" t="s">
        <v>633</v>
      </c>
      <c r="S14" s="928">
        <v>4.2999999999999997E-2</v>
      </c>
      <c r="T14" s="928">
        <v>6.6000000000000003E-2</v>
      </c>
      <c r="U14" s="928">
        <v>4.9000000000000002E-2</v>
      </c>
      <c r="V14" s="1235">
        <f t="shared" si="10"/>
        <v>4.9000000000000002E-2</v>
      </c>
      <c r="W14" s="75">
        <f t="shared" si="1"/>
        <v>9</v>
      </c>
      <c r="X14" s="1509">
        <f>'Sched D-1'!W48</f>
        <v>93091.32</v>
      </c>
      <c r="Y14" s="1509">
        <f>'Sched D-1'!X48</f>
        <v>0</v>
      </c>
      <c r="Z14" s="937">
        <f t="shared" si="12"/>
        <v>93091.32</v>
      </c>
      <c r="AA14" s="506"/>
      <c r="AB14" s="75">
        <f t="shared" si="2"/>
        <v>9</v>
      </c>
      <c r="AC14" s="1510">
        <v>-106269.60000000003</v>
      </c>
      <c r="AD14" s="1510">
        <v>0</v>
      </c>
      <c r="AE14" s="937">
        <f t="shared" si="13"/>
        <v>-106269.60000000003</v>
      </c>
      <c r="AF14" s="62"/>
      <c r="AG14" s="75">
        <f t="shared" si="3"/>
        <v>9</v>
      </c>
      <c r="AH14" s="973">
        <v>90260.459999999992</v>
      </c>
      <c r="AI14" s="973">
        <v>0</v>
      </c>
      <c r="AJ14" s="937">
        <f t="shared" si="14"/>
        <v>90260.459999999992</v>
      </c>
    </row>
    <row r="15" spans="1:36">
      <c r="A15" s="909">
        <f t="shared" si="4"/>
        <v>8</v>
      </c>
      <c r="B15" s="650">
        <f>'Sched D-1'!B49</f>
        <v>391.01</v>
      </c>
      <c r="C15" s="768">
        <f t="shared" si="5"/>
        <v>20872.957770000001</v>
      </c>
      <c r="D15" s="674">
        <f>IFERROR(VLOOKUP(B15,'Sched J-1'!B:K,10,FALSE),0)</f>
        <v>4.9799999999999997E-2</v>
      </c>
      <c r="E15" s="506">
        <f t="shared" si="6"/>
        <v>1039.4732969459999</v>
      </c>
      <c r="F15" s="768">
        <f t="shared" si="7"/>
        <v>-7490.2997400000004</v>
      </c>
      <c r="G15" s="579" t="s">
        <v>666</v>
      </c>
      <c r="H15" s="579" t="s">
        <v>666</v>
      </c>
      <c r="I15" s="768">
        <f t="shared" si="8"/>
        <v>2638.0414199999996</v>
      </c>
      <c r="J15" s="506">
        <f t="shared" ref="J15:J29" si="16">I15-(C15-F15)</f>
        <v>-25725.216090000002</v>
      </c>
      <c r="K15" s="642"/>
      <c r="L15" s="580">
        <f t="shared" si="9"/>
        <v>0.27169900000000002</v>
      </c>
      <c r="M15" s="642"/>
      <c r="N15" s="506">
        <f t="shared" si="15"/>
        <v>-6989.5154864369115</v>
      </c>
      <c r="O15" s="506">
        <f t="shared" si="11"/>
        <v>-6989.5154864369115</v>
      </c>
      <c r="Q15" s="75">
        <f>1+Q14</f>
        <v>10</v>
      </c>
      <c r="R15" s="14" t="s">
        <v>633</v>
      </c>
      <c r="S15" s="928">
        <v>4.2999999999999997E-2</v>
      </c>
      <c r="T15" s="928">
        <v>6.6000000000000003E-2</v>
      </c>
      <c r="U15" s="928">
        <v>4.9000000000000002E-2</v>
      </c>
      <c r="V15" s="1235">
        <f t="shared" si="10"/>
        <v>4.9000000000000002E-2</v>
      </c>
      <c r="W15" s="75">
        <f>1+W14</f>
        <v>10</v>
      </c>
      <c r="X15" s="1509">
        <f>'Sched D-1'!W49</f>
        <v>48236.35</v>
      </c>
      <c r="Y15" s="1509">
        <f>'Sched D-1'!X49</f>
        <v>377742.38</v>
      </c>
      <c r="Z15" s="937">
        <f t="shared" si="12"/>
        <v>425978.73</v>
      </c>
      <c r="AA15" s="506"/>
      <c r="AB15" s="75">
        <f>1+AB14</f>
        <v>10</v>
      </c>
      <c r="AC15" s="1510">
        <v>-152863.26</v>
      </c>
      <c r="AD15" s="1510">
        <v>0</v>
      </c>
      <c r="AE15" s="937">
        <f t="shared" si="13"/>
        <v>-152863.26</v>
      </c>
      <c r="AF15" s="62"/>
      <c r="AG15" s="75">
        <f t="shared" si="3"/>
        <v>10</v>
      </c>
      <c r="AH15" s="973">
        <v>13968.87</v>
      </c>
      <c r="AI15" s="973">
        <v>39868.709999999985</v>
      </c>
      <c r="AJ15" s="937">
        <f t="shared" si="14"/>
        <v>53837.579999999987</v>
      </c>
    </row>
    <row r="16" spans="1:36">
      <c r="A16" s="909">
        <f t="shared" si="4"/>
        <v>9</v>
      </c>
      <c r="B16" s="650">
        <f>'Sched D-1'!B51</f>
        <v>391.03</v>
      </c>
      <c r="C16" s="768">
        <f t="shared" si="5"/>
        <v>27347.398819999999</v>
      </c>
      <c r="D16" s="674">
        <f>IFERROR(VLOOKUP(B16,'Sched J-1'!B:K,10,FALSE),0)</f>
        <v>0.19769999999999999</v>
      </c>
      <c r="E16" s="506">
        <f t="shared" si="6"/>
        <v>5406.5807467139994</v>
      </c>
      <c r="F16" s="768">
        <f t="shared" si="7"/>
        <v>-34687.709069999997</v>
      </c>
      <c r="G16" s="579" t="s">
        <v>666</v>
      </c>
      <c r="H16" s="579" t="s">
        <v>666</v>
      </c>
      <c r="I16" s="768">
        <f t="shared" si="8"/>
        <v>17107.814919999997</v>
      </c>
      <c r="J16" s="506">
        <f t="shared" si="16"/>
        <v>-44927.292970000002</v>
      </c>
      <c r="K16" s="642"/>
      <c r="L16" s="580">
        <f t="shared" si="9"/>
        <v>0.27169900000000002</v>
      </c>
      <c r="M16" s="642"/>
      <c r="N16" s="506">
        <f t="shared" si="15"/>
        <v>-12206.700572656031</v>
      </c>
      <c r="O16" s="506">
        <f t="shared" si="11"/>
        <v>-12206.700572656031</v>
      </c>
      <c r="Q16" s="75">
        <f t="shared" ref="Q16:Q50" si="17">1+Q15</f>
        <v>11</v>
      </c>
      <c r="R16" s="14" t="s">
        <v>633</v>
      </c>
      <c r="S16" s="928">
        <v>4.2999999999999997E-2</v>
      </c>
      <c r="T16" s="928">
        <v>6.6000000000000003E-2</v>
      </c>
      <c r="U16" s="928">
        <v>4.9000000000000002E-2</v>
      </c>
      <c r="V16" s="1235">
        <f t="shared" si="10"/>
        <v>4.9000000000000002E-2</v>
      </c>
      <c r="W16" s="75">
        <f t="shared" ref="W16:W18" si="18">1+W15</f>
        <v>11</v>
      </c>
      <c r="X16" s="1509">
        <f>'Sched D-1'!W51</f>
        <v>271266.11</v>
      </c>
      <c r="Y16" s="1509">
        <f>'Sched D-1'!X51</f>
        <v>286844.07</v>
      </c>
      <c r="Z16" s="937">
        <f t="shared" si="12"/>
        <v>558110.17999999993</v>
      </c>
      <c r="AA16" s="506"/>
      <c r="AB16" s="75">
        <f t="shared" ref="AB16:AB18" si="19">1+AB15</f>
        <v>11</v>
      </c>
      <c r="AC16" s="1510">
        <v>-296087.93</v>
      </c>
      <c r="AD16" s="1510">
        <v>-411824.5</v>
      </c>
      <c r="AE16" s="937">
        <f t="shared" si="13"/>
        <v>-707912.42999999993</v>
      </c>
      <c r="AF16" s="62"/>
      <c r="AG16" s="75">
        <f t="shared" si="3"/>
        <v>11</v>
      </c>
      <c r="AH16" s="973">
        <v>147552.19</v>
      </c>
      <c r="AI16" s="973">
        <v>201586.88999999998</v>
      </c>
      <c r="AJ16" s="937">
        <f t="shared" si="14"/>
        <v>349139.07999999996</v>
      </c>
    </row>
    <row r="17" spans="1:36">
      <c r="A17" s="909">
        <f t="shared" si="4"/>
        <v>10</v>
      </c>
      <c r="B17" s="650">
        <f>'Sched D-1'!B52</f>
        <v>391.04</v>
      </c>
      <c r="C17" s="768">
        <f t="shared" si="5"/>
        <v>8334.9</v>
      </c>
      <c r="D17" s="674">
        <f>IFERROR(VLOOKUP(B17,'Sched J-1'!B:K,10,FALSE),0)</f>
        <v>1.8E-3</v>
      </c>
      <c r="E17" s="506">
        <f t="shared" si="6"/>
        <v>15.00282</v>
      </c>
      <c r="F17" s="768">
        <f t="shared" si="7"/>
        <v>-31082.692340000001</v>
      </c>
      <c r="G17" s="579" t="s">
        <v>666</v>
      </c>
      <c r="H17" s="579" t="s">
        <v>666</v>
      </c>
      <c r="I17" s="768">
        <f t="shared" si="8"/>
        <v>61.204429999999633</v>
      </c>
      <c r="J17" s="506">
        <f t="shared" si="16"/>
        <v>-39356.387910000005</v>
      </c>
      <c r="K17" s="642"/>
      <c r="L17" s="580">
        <f t="shared" si="9"/>
        <v>0.27169900000000002</v>
      </c>
      <c r="M17" s="642"/>
      <c r="N17" s="506">
        <f t="shared" si="15"/>
        <v>-10693.091238759092</v>
      </c>
      <c r="O17" s="506">
        <f t="shared" si="11"/>
        <v>-10693.091238759092</v>
      </c>
      <c r="Q17" s="75">
        <f t="shared" si="17"/>
        <v>12</v>
      </c>
      <c r="R17" s="14" t="s">
        <v>633</v>
      </c>
      <c r="S17" s="928">
        <v>4.2999999999999997E-2</v>
      </c>
      <c r="T17" s="928">
        <v>6.6000000000000003E-2</v>
      </c>
      <c r="U17" s="928">
        <v>4.9000000000000002E-2</v>
      </c>
      <c r="V17" s="1235">
        <f t="shared" si="10"/>
        <v>4.9000000000000002E-2</v>
      </c>
      <c r="W17" s="75">
        <f t="shared" si="18"/>
        <v>12</v>
      </c>
      <c r="X17" s="1509">
        <f>'Sched D-1'!W52</f>
        <v>170100</v>
      </c>
      <c r="Y17" s="1509">
        <f>'Sched D-1'!X52</f>
        <v>0</v>
      </c>
      <c r="Z17" s="937">
        <f t="shared" si="12"/>
        <v>170100</v>
      </c>
      <c r="AA17" s="506"/>
      <c r="AB17" s="75">
        <f t="shared" si="19"/>
        <v>12</v>
      </c>
      <c r="AC17" s="1510">
        <v>170100</v>
      </c>
      <c r="AD17" s="1510">
        <v>-804440.66</v>
      </c>
      <c r="AE17" s="937">
        <f t="shared" si="13"/>
        <v>-634340.66</v>
      </c>
      <c r="AF17" s="62"/>
      <c r="AG17" s="75">
        <f t="shared" si="3"/>
        <v>12</v>
      </c>
      <c r="AH17" s="973">
        <v>1249.0699999999924</v>
      </c>
      <c r="AI17" s="973">
        <v>0</v>
      </c>
      <c r="AJ17" s="937">
        <f t="shared" si="14"/>
        <v>1249.0699999999924</v>
      </c>
    </row>
    <row r="18" spans="1:36">
      <c r="A18" s="909">
        <f t="shared" si="4"/>
        <v>11</v>
      </c>
      <c r="B18" s="650">
        <f>'Sched D-1'!B54</f>
        <v>391.07</v>
      </c>
      <c r="C18" s="768">
        <f t="shared" si="5"/>
        <v>29962.459730000002</v>
      </c>
      <c r="D18" s="674">
        <f>IFERROR(VLOOKUP(B18,'Sched J-1'!B:K,10,FALSE),0)</f>
        <v>0.2</v>
      </c>
      <c r="E18" s="506">
        <f t="shared" si="6"/>
        <v>5992.491946000001</v>
      </c>
      <c r="F18" s="768">
        <f t="shared" si="7"/>
        <v>3163.1945099999998</v>
      </c>
      <c r="G18" s="579" t="s">
        <v>666</v>
      </c>
      <c r="H18" s="579" t="s">
        <v>666</v>
      </c>
      <c r="I18" s="768">
        <f t="shared" si="8"/>
        <v>25999.812089999996</v>
      </c>
      <c r="J18" s="506">
        <f t="shared" si="16"/>
        <v>-799.45313000000533</v>
      </c>
      <c r="K18" s="642"/>
      <c r="L18" s="580">
        <f t="shared" si="9"/>
        <v>0.27169900000000002</v>
      </c>
      <c r="M18" s="642"/>
      <c r="N18" s="506">
        <f t="shared" si="15"/>
        <v>-217.21061596787146</v>
      </c>
      <c r="O18" s="506">
        <f t="shared" si="11"/>
        <v>-217.21061596787146</v>
      </c>
      <c r="Q18" s="75">
        <f t="shared" si="17"/>
        <v>13</v>
      </c>
      <c r="R18" s="14" t="s">
        <v>633</v>
      </c>
      <c r="S18" s="928">
        <v>4.2999999999999997E-2</v>
      </c>
      <c r="T18" s="928">
        <v>6.6000000000000003E-2</v>
      </c>
      <c r="U18" s="928">
        <v>4.9000000000000002E-2</v>
      </c>
      <c r="V18" s="1235">
        <f t="shared" si="10"/>
        <v>4.9000000000000002E-2</v>
      </c>
      <c r="W18" s="75">
        <f t="shared" si="18"/>
        <v>13</v>
      </c>
      <c r="X18" s="1509">
        <f>'Sched D-1'!W54</f>
        <v>265651.92</v>
      </c>
      <c r="Y18" s="1509">
        <f>'Sched D-1'!X54</f>
        <v>345826.85</v>
      </c>
      <c r="Z18" s="937">
        <f t="shared" si="12"/>
        <v>611478.77</v>
      </c>
      <c r="AA18" s="506"/>
      <c r="AB18" s="75">
        <f t="shared" si="19"/>
        <v>13</v>
      </c>
      <c r="AC18" s="1510">
        <v>41635.81</v>
      </c>
      <c r="AD18" s="1510">
        <v>22919.18</v>
      </c>
      <c r="AE18" s="937">
        <f t="shared" si="13"/>
        <v>64554.99</v>
      </c>
      <c r="AF18" s="62"/>
      <c r="AG18" s="75">
        <f t="shared" si="3"/>
        <v>13</v>
      </c>
      <c r="AH18" s="973">
        <v>228453.97</v>
      </c>
      <c r="AI18" s="973">
        <v>302154.43999999994</v>
      </c>
      <c r="AJ18" s="937">
        <f t="shared" si="14"/>
        <v>530608.40999999992</v>
      </c>
    </row>
    <row r="19" spans="1:36">
      <c r="A19" s="909">
        <f t="shared" si="4"/>
        <v>12</v>
      </c>
      <c r="B19" s="650">
        <f>'Sched D-1'!B55</f>
        <v>392.01</v>
      </c>
      <c r="C19" s="768">
        <f t="shared" si="5"/>
        <v>0</v>
      </c>
      <c r="D19" s="674">
        <f>IFERROR(VLOOKUP(B19,'Sched J-1'!B:K,10,FALSE),0)</f>
        <v>0</v>
      </c>
      <c r="E19" s="506">
        <f t="shared" si="6"/>
        <v>0</v>
      </c>
      <c r="F19" s="768">
        <f t="shared" si="7"/>
        <v>370028.53860000009</v>
      </c>
      <c r="G19" s="579" t="s">
        <v>666</v>
      </c>
      <c r="H19" s="579" t="s">
        <v>666</v>
      </c>
      <c r="I19" s="768">
        <f t="shared" si="8"/>
        <v>18841.815999999941</v>
      </c>
      <c r="J19" s="506">
        <f t="shared" si="16"/>
        <v>388870.35460000002</v>
      </c>
      <c r="K19" s="14"/>
      <c r="L19" s="580">
        <f t="shared" si="9"/>
        <v>0.27169900000000002</v>
      </c>
      <c r="M19" s="14"/>
      <c r="N19" s="506">
        <f t="shared" si="15"/>
        <v>105655.68647446542</v>
      </c>
      <c r="O19" s="506">
        <f t="shared" si="11"/>
        <v>105655.68647446542</v>
      </c>
      <c r="Q19" s="75">
        <f t="shared" si="17"/>
        <v>14</v>
      </c>
      <c r="R19" s="14" t="s">
        <v>538</v>
      </c>
      <c r="S19" s="1234">
        <v>0.17299999999999999</v>
      </c>
      <c r="T19" s="1234">
        <v>0.115</v>
      </c>
      <c r="U19" s="1234">
        <v>0.14000000000000001</v>
      </c>
      <c r="V19" s="1235">
        <f t="shared" si="10"/>
        <v>0.14000000000000001</v>
      </c>
      <c r="W19" s="75">
        <f t="shared" ref="W19:W50" si="20">1+W18</f>
        <v>14</v>
      </c>
      <c r="X19" s="1509">
        <f>'Sched D-1'!W55</f>
        <v>0</v>
      </c>
      <c r="Y19" s="1509">
        <f>'Sched D-1'!X55</f>
        <v>0</v>
      </c>
      <c r="Z19" s="937">
        <f t="shared" si="12"/>
        <v>0</v>
      </c>
      <c r="AA19" s="506"/>
      <c r="AB19" s="75">
        <f t="shared" ref="AB19:AB42" si="21">1+AB18</f>
        <v>14</v>
      </c>
      <c r="AC19" s="1510"/>
      <c r="AD19" s="1510">
        <v>2643060.9900000002</v>
      </c>
      <c r="AE19" s="937">
        <f t="shared" si="13"/>
        <v>2643060.9900000002</v>
      </c>
      <c r="AF19" s="62"/>
      <c r="AG19" s="75">
        <f t="shared" si="3"/>
        <v>14</v>
      </c>
      <c r="AH19" s="973">
        <v>0</v>
      </c>
      <c r="AI19" s="973">
        <v>134584.39999999956</v>
      </c>
      <c r="AJ19" s="937">
        <f t="shared" si="14"/>
        <v>134584.39999999956</v>
      </c>
    </row>
    <row r="20" spans="1:36">
      <c r="A20" s="909">
        <f t="shared" si="4"/>
        <v>13</v>
      </c>
      <c r="B20" s="650">
        <f>'Sched D-1'!B56</f>
        <v>392.02</v>
      </c>
      <c r="C20" s="768">
        <f t="shared" si="5"/>
        <v>542970.57079999999</v>
      </c>
      <c r="D20" s="674">
        <f>IFERROR(VLOOKUP(B20,'Sched J-1'!B:K,10,FALSE),0)</f>
        <v>9.8699999999999996E-2</v>
      </c>
      <c r="E20" s="506">
        <f t="shared" si="6"/>
        <v>53591.195337959995</v>
      </c>
      <c r="F20" s="768">
        <f t="shared" si="7"/>
        <v>498907.69180000009</v>
      </c>
      <c r="G20" s="579" t="s">
        <v>666</v>
      </c>
      <c r="H20" s="579" t="s">
        <v>666</v>
      </c>
      <c r="I20" s="768">
        <f t="shared" si="8"/>
        <v>431131.88020000007</v>
      </c>
      <c r="J20" s="506">
        <f t="shared" si="16"/>
        <v>387069.00120000017</v>
      </c>
      <c r="K20" s="14"/>
      <c r="L20" s="580">
        <f t="shared" si="9"/>
        <v>0.27169900000000002</v>
      </c>
      <c r="M20" s="14"/>
      <c r="N20" s="506">
        <f t="shared" si="15"/>
        <v>105166.26055703886</v>
      </c>
      <c r="O20" s="506">
        <f t="shared" si="11"/>
        <v>105166.26055703886</v>
      </c>
      <c r="Q20" s="75">
        <f t="shared" si="17"/>
        <v>15</v>
      </c>
      <c r="R20" s="14" t="s">
        <v>538</v>
      </c>
      <c r="S20" s="1234">
        <v>0.17299999999999999</v>
      </c>
      <c r="T20" s="1234">
        <v>0.115</v>
      </c>
      <c r="U20" s="1234">
        <v>0.14000000000000001</v>
      </c>
      <c r="V20" s="1235">
        <f t="shared" si="10"/>
        <v>0.14000000000000001</v>
      </c>
      <c r="W20" s="75">
        <f t="shared" si="20"/>
        <v>15</v>
      </c>
      <c r="X20" s="1509">
        <f>'Sched D-1'!W56</f>
        <v>21451.46</v>
      </c>
      <c r="Y20" s="1509">
        <f>'Sched D-1'!X56</f>
        <v>3856909.76</v>
      </c>
      <c r="Z20" s="937">
        <f t="shared" si="12"/>
        <v>3878361.2199999997</v>
      </c>
      <c r="AA20" s="506"/>
      <c r="AB20" s="75">
        <f t="shared" si="21"/>
        <v>15</v>
      </c>
      <c r="AC20" s="1510">
        <v>-45571.65</v>
      </c>
      <c r="AD20" s="1510">
        <v>3609198.02</v>
      </c>
      <c r="AE20" s="937">
        <f t="shared" si="13"/>
        <v>3563626.37</v>
      </c>
      <c r="AF20" s="62"/>
      <c r="AG20" s="75">
        <f t="shared" si="3"/>
        <v>15</v>
      </c>
      <c r="AH20" s="973">
        <v>0</v>
      </c>
      <c r="AI20" s="973">
        <v>3079513.43</v>
      </c>
      <c r="AJ20" s="937">
        <f t="shared" si="14"/>
        <v>3079513.43</v>
      </c>
    </row>
    <row r="21" spans="1:36">
      <c r="A21" s="909">
        <f t="shared" si="4"/>
        <v>14</v>
      </c>
      <c r="B21" s="650">
        <f>'Sched D-1'!B57</f>
        <v>392.03</v>
      </c>
      <c r="C21" s="768">
        <f t="shared" si="5"/>
        <v>2459848.7578000003</v>
      </c>
      <c r="D21" s="674">
        <f>IFERROR(VLOOKUP(B21,'Sched J-1'!B:K,10,FALSE),0)</f>
        <v>7.0000000000000007E-2</v>
      </c>
      <c r="E21" s="506">
        <f t="shared" si="6"/>
        <v>172189.41304600003</v>
      </c>
      <c r="F21" s="768">
        <f t="shared" si="7"/>
        <v>442639.80740000005</v>
      </c>
      <c r="G21" s="579" t="s">
        <v>666</v>
      </c>
      <c r="H21" s="579" t="s">
        <v>666</v>
      </c>
      <c r="I21" s="768">
        <f t="shared" si="8"/>
        <v>348731.87580000004</v>
      </c>
      <c r="J21" s="506">
        <f t="shared" si="16"/>
        <v>-1668477.0746000002</v>
      </c>
      <c r="K21" s="14"/>
      <c r="L21" s="580">
        <f t="shared" si="9"/>
        <v>0.27169900000000002</v>
      </c>
      <c r="M21" s="14"/>
      <c r="N21" s="506">
        <f t="shared" si="15"/>
        <v>-453323.55269174551</v>
      </c>
      <c r="O21" s="506">
        <f t="shared" si="11"/>
        <v>-453323.55269174551</v>
      </c>
      <c r="Q21" s="75">
        <f t="shared" si="17"/>
        <v>16</v>
      </c>
      <c r="R21" s="14" t="s">
        <v>538</v>
      </c>
      <c r="S21" s="1234">
        <v>0.17299999999999999</v>
      </c>
      <c r="T21" s="1234">
        <v>0.115</v>
      </c>
      <c r="U21" s="1234">
        <v>0.14000000000000001</v>
      </c>
      <c r="V21" s="1235">
        <f t="shared" si="10"/>
        <v>0.14000000000000001</v>
      </c>
      <c r="W21" s="75">
        <f t="shared" si="20"/>
        <v>16</v>
      </c>
      <c r="X21" s="1509">
        <f>'Sched D-1'!W57</f>
        <v>8668055.8900000006</v>
      </c>
      <c r="Y21" s="1509">
        <f>'Sched D-1'!X57</f>
        <v>8902292.379999999</v>
      </c>
      <c r="Z21" s="937">
        <f t="shared" si="12"/>
        <v>17570348.27</v>
      </c>
      <c r="AA21" s="506"/>
      <c r="AB21" s="75">
        <f t="shared" si="21"/>
        <v>16</v>
      </c>
      <c r="AC21" s="1510">
        <v>2332429.8200000003</v>
      </c>
      <c r="AD21" s="1510">
        <v>829283.09</v>
      </c>
      <c r="AE21" s="937">
        <f t="shared" si="13"/>
        <v>3161712.91</v>
      </c>
      <c r="AF21" s="62"/>
      <c r="AG21" s="75">
        <f t="shared" si="3"/>
        <v>16</v>
      </c>
      <c r="AH21" s="973">
        <v>2092499.5100000002</v>
      </c>
      <c r="AI21" s="973">
        <v>398442.46000000008</v>
      </c>
      <c r="AJ21" s="937">
        <f t="shared" si="14"/>
        <v>2490941.9700000002</v>
      </c>
    </row>
    <row r="22" spans="1:36">
      <c r="A22" s="909">
        <f t="shared" si="4"/>
        <v>15</v>
      </c>
      <c r="B22" s="650">
        <f>'Sched D-1'!B58</f>
        <v>392.04</v>
      </c>
      <c r="C22" s="768">
        <f t="shared" si="5"/>
        <v>27876.991800000003</v>
      </c>
      <c r="D22" s="674">
        <f>IFERROR(VLOOKUP(B22,'Sched J-1'!B:K,10,FALSE),0)</f>
        <v>0.12559999999999999</v>
      </c>
      <c r="E22" s="506">
        <f t="shared" si="6"/>
        <v>3501.3501700800002</v>
      </c>
      <c r="F22" s="768">
        <f t="shared" si="7"/>
        <v>5899.2975999999999</v>
      </c>
      <c r="G22" s="579" t="s">
        <v>666</v>
      </c>
      <c r="H22" s="579" t="s">
        <v>666</v>
      </c>
      <c r="I22" s="768">
        <f t="shared" si="8"/>
        <v>5742.7397999999994</v>
      </c>
      <c r="J22" s="506">
        <f t="shared" si="16"/>
        <v>-16234.954400000006</v>
      </c>
      <c r="K22" s="14"/>
      <c r="L22" s="580">
        <f t="shared" si="9"/>
        <v>0.27169900000000002</v>
      </c>
      <c r="M22" s="14"/>
      <c r="N22" s="506">
        <f t="shared" si="15"/>
        <v>-4411.0208755256017</v>
      </c>
      <c r="O22" s="506">
        <f t="shared" si="11"/>
        <v>-4411.0208755256017</v>
      </c>
      <c r="Q22" s="75">
        <f t="shared" si="17"/>
        <v>17</v>
      </c>
      <c r="R22" s="14" t="s">
        <v>538</v>
      </c>
      <c r="S22" s="1234">
        <v>0.17299999999999999</v>
      </c>
      <c r="T22" s="1234">
        <v>0.115</v>
      </c>
      <c r="U22" s="1234">
        <v>0.14000000000000001</v>
      </c>
      <c r="V22" s="1235">
        <f t="shared" si="10"/>
        <v>0.14000000000000001</v>
      </c>
      <c r="W22" s="75">
        <f t="shared" si="20"/>
        <v>17</v>
      </c>
      <c r="X22" s="1509">
        <f>'Sched D-1'!W58</f>
        <v>199121.37</v>
      </c>
      <c r="Y22" s="1509">
        <f>'Sched D-1'!X58</f>
        <v>0</v>
      </c>
      <c r="Z22" s="937">
        <f t="shared" si="12"/>
        <v>199121.37</v>
      </c>
      <c r="AA22" s="506"/>
      <c r="AB22" s="75">
        <f t="shared" si="21"/>
        <v>17</v>
      </c>
      <c r="AC22" s="1510">
        <v>38242.839999999997</v>
      </c>
      <c r="AD22" s="1510">
        <v>3895</v>
      </c>
      <c r="AE22" s="937">
        <f t="shared" si="13"/>
        <v>42137.84</v>
      </c>
      <c r="AF22" s="62"/>
      <c r="AG22" s="75">
        <f t="shared" si="3"/>
        <v>17</v>
      </c>
      <c r="AH22" s="973">
        <v>41019.569999999992</v>
      </c>
      <c r="AI22" s="973">
        <v>0</v>
      </c>
      <c r="AJ22" s="937">
        <f t="shared" si="14"/>
        <v>41019.569999999992</v>
      </c>
    </row>
    <row r="23" spans="1:36">
      <c r="A23" s="909">
        <f t="shared" si="4"/>
        <v>16</v>
      </c>
      <c r="B23" s="650">
        <f>'Sched D-1'!B59</f>
        <v>392.05</v>
      </c>
      <c r="C23" s="768">
        <f t="shared" si="5"/>
        <v>430081.69540000008</v>
      </c>
      <c r="D23" s="674">
        <f>IFERROR(VLOOKUP(B23,'Sched J-1'!B:K,10,FALSE),0)</f>
        <v>4.7600000000000003E-2</v>
      </c>
      <c r="E23" s="506">
        <f t="shared" si="6"/>
        <v>20471.888701040007</v>
      </c>
      <c r="F23" s="768">
        <f t="shared" si="7"/>
        <v>181697.78340000001</v>
      </c>
      <c r="G23" s="579" t="s">
        <v>666</v>
      </c>
      <c r="H23" s="579" t="s">
        <v>666</v>
      </c>
      <c r="I23" s="768">
        <f t="shared" si="8"/>
        <v>36196.469399999987</v>
      </c>
      <c r="J23" s="506">
        <f t="shared" si="16"/>
        <v>-212187.44260000007</v>
      </c>
      <c r="K23" s="14"/>
      <c r="L23" s="580">
        <f t="shared" si="9"/>
        <v>0.27169900000000002</v>
      </c>
      <c r="M23" s="14"/>
      <c r="N23" s="506">
        <f t="shared" si="15"/>
        <v>-57651.115966977421</v>
      </c>
      <c r="O23" s="506">
        <f t="shared" si="11"/>
        <v>-57651.115966977421</v>
      </c>
      <c r="Q23" s="75">
        <f t="shared" si="17"/>
        <v>18</v>
      </c>
      <c r="R23" s="14" t="s">
        <v>538</v>
      </c>
      <c r="S23" s="1234">
        <v>0.17299999999999999</v>
      </c>
      <c r="T23" s="1234">
        <v>0.115</v>
      </c>
      <c r="U23" s="1234">
        <v>0.14000000000000001</v>
      </c>
      <c r="V23" s="1235">
        <f t="shared" si="10"/>
        <v>0.14000000000000001</v>
      </c>
      <c r="W23" s="75">
        <f t="shared" si="20"/>
        <v>18</v>
      </c>
      <c r="X23" s="1509">
        <f>'Sched D-1'!W59</f>
        <v>1528735.53</v>
      </c>
      <c r="Y23" s="1509">
        <f>'Sched D-1'!X59</f>
        <v>1543276.58</v>
      </c>
      <c r="Z23" s="937">
        <f t="shared" si="12"/>
        <v>3072012.1100000003</v>
      </c>
      <c r="AA23" s="506"/>
      <c r="AB23" s="75">
        <f t="shared" si="21"/>
        <v>18</v>
      </c>
      <c r="AC23" s="1510">
        <v>878730.78</v>
      </c>
      <c r="AD23" s="1510">
        <v>419110.53</v>
      </c>
      <c r="AE23" s="937">
        <f t="shared" si="13"/>
        <v>1297841.31</v>
      </c>
      <c r="AF23" s="62"/>
      <c r="AG23" s="75">
        <f t="shared" si="3"/>
        <v>18</v>
      </c>
      <c r="AH23" s="973">
        <v>73390.919999999925</v>
      </c>
      <c r="AI23" s="973">
        <v>185155.28999999995</v>
      </c>
      <c r="AJ23" s="937">
        <f t="shared" si="14"/>
        <v>258546.20999999988</v>
      </c>
    </row>
    <row r="24" spans="1:36">
      <c r="A24" s="909">
        <f t="shared" si="4"/>
        <v>17</v>
      </c>
      <c r="B24" s="650">
        <f>'Sched D-1'!B60</f>
        <v>392.06</v>
      </c>
      <c r="C24" s="768">
        <f t="shared" si="5"/>
        <v>114558.30960000001</v>
      </c>
      <c r="D24" s="674">
        <f>IFERROR(VLOOKUP(B24,'Sched J-1'!B:K,10,FALSE),0)</f>
        <v>6.59E-2</v>
      </c>
      <c r="E24" s="506">
        <f t="shared" si="6"/>
        <v>7549.3926026400004</v>
      </c>
      <c r="F24" s="768">
        <f t="shared" si="7"/>
        <v>15688.786400000001</v>
      </c>
      <c r="G24" s="579" t="s">
        <v>666</v>
      </c>
      <c r="H24" s="579" t="s">
        <v>666</v>
      </c>
      <c r="I24" s="768">
        <f t="shared" si="8"/>
        <v>4241.6794000000009</v>
      </c>
      <c r="J24" s="506">
        <f t="shared" si="16"/>
        <v>-94627.843800000002</v>
      </c>
      <c r="K24" s="14"/>
      <c r="L24" s="580">
        <f t="shared" si="9"/>
        <v>0.27169900000000002</v>
      </c>
      <c r="M24" s="14"/>
      <c r="N24" s="506">
        <f t="shared" si="15"/>
        <v>-25710.290532616204</v>
      </c>
      <c r="O24" s="506">
        <f t="shared" si="11"/>
        <v>-25710.290532616204</v>
      </c>
      <c r="Q24" s="75">
        <f t="shared" si="17"/>
        <v>19</v>
      </c>
      <c r="R24" s="14" t="s">
        <v>538</v>
      </c>
      <c r="S24" s="1234">
        <v>0.17299999999999999</v>
      </c>
      <c r="T24" s="1234">
        <v>0.115</v>
      </c>
      <c r="U24" s="1234">
        <v>0.14000000000000001</v>
      </c>
      <c r="V24" s="1235">
        <f t="shared" si="10"/>
        <v>0.14000000000000001</v>
      </c>
      <c r="W24" s="75">
        <f t="shared" si="20"/>
        <v>19</v>
      </c>
      <c r="X24" s="1509">
        <f>'Sched D-1'!W60</f>
        <v>221303.03</v>
      </c>
      <c r="Y24" s="1509">
        <f>'Sched D-1'!X60</f>
        <v>596970.61</v>
      </c>
      <c r="Z24" s="937">
        <f t="shared" si="12"/>
        <v>818273.64</v>
      </c>
      <c r="AA24" s="506"/>
      <c r="AB24" s="75">
        <f t="shared" si="21"/>
        <v>19</v>
      </c>
      <c r="AC24" s="1510">
        <v>112062.76</v>
      </c>
      <c r="AD24" s="1510">
        <v>0</v>
      </c>
      <c r="AE24" s="937">
        <f t="shared" si="13"/>
        <v>112062.76</v>
      </c>
      <c r="AF24" s="62"/>
      <c r="AG24" s="75">
        <f t="shared" si="3"/>
        <v>19</v>
      </c>
      <c r="AH24" s="973">
        <v>30297.710000000006</v>
      </c>
      <c r="AI24" s="973">
        <v>0</v>
      </c>
      <c r="AJ24" s="937">
        <f t="shared" si="14"/>
        <v>30297.710000000006</v>
      </c>
    </row>
    <row r="25" spans="1:36">
      <c r="A25" s="909">
        <f t="shared" si="4"/>
        <v>18</v>
      </c>
      <c r="B25" s="650">
        <f>'Sched D-1'!B61</f>
        <v>393</v>
      </c>
      <c r="C25" s="768">
        <f t="shared" si="5"/>
        <v>1380.69848</v>
      </c>
      <c r="D25" s="674">
        <f>IFERROR(VLOOKUP(B25,'Sched J-1'!B:K,10,FALSE),0)</f>
        <v>0.04</v>
      </c>
      <c r="E25" s="506">
        <f t="shared" si="6"/>
        <v>55.227939200000002</v>
      </c>
      <c r="F25" s="768">
        <f t="shared" si="7"/>
        <v>376.18034999999998</v>
      </c>
      <c r="G25" s="579" t="s">
        <v>666</v>
      </c>
      <c r="H25" s="579" t="s">
        <v>666</v>
      </c>
      <c r="I25" s="768">
        <f t="shared" si="8"/>
        <v>65.358650000000026</v>
      </c>
      <c r="J25" s="506">
        <f t="shared" si="16"/>
        <v>-939.15948000000003</v>
      </c>
      <c r="K25" s="14"/>
      <c r="L25" s="580">
        <f t="shared" si="9"/>
        <v>0.27169900000000002</v>
      </c>
      <c r="M25" s="14"/>
      <c r="N25" s="506">
        <f t="shared" si="15"/>
        <v>-255.16869155652003</v>
      </c>
      <c r="O25" s="506">
        <f t="shared" si="11"/>
        <v>-255.16869155652003</v>
      </c>
      <c r="Q25" s="75">
        <f t="shared" si="17"/>
        <v>20</v>
      </c>
      <c r="R25" s="14" t="s">
        <v>633</v>
      </c>
      <c r="S25" s="928">
        <v>4.2999999999999997E-2</v>
      </c>
      <c r="T25" s="928">
        <v>6.6000000000000003E-2</v>
      </c>
      <c r="U25" s="928">
        <v>4.9000000000000002E-2</v>
      </c>
      <c r="V25" s="1235">
        <f t="shared" si="10"/>
        <v>4.9000000000000002E-2</v>
      </c>
      <c r="W25" s="75">
        <f t="shared" si="20"/>
        <v>20</v>
      </c>
      <c r="X25" s="1509">
        <f>'Sched D-1'!W61</f>
        <v>0</v>
      </c>
      <c r="Y25" s="1509">
        <f>'Sched D-1'!X61</f>
        <v>28177.52</v>
      </c>
      <c r="Z25" s="937">
        <f t="shared" si="12"/>
        <v>28177.52</v>
      </c>
      <c r="AA25" s="506"/>
      <c r="AB25" s="75">
        <f t="shared" si="21"/>
        <v>20</v>
      </c>
      <c r="AC25" s="1510">
        <v>68.98</v>
      </c>
      <c r="AD25" s="1510">
        <v>7608.17</v>
      </c>
      <c r="AE25" s="937">
        <f t="shared" si="13"/>
        <v>7677.15</v>
      </c>
      <c r="AF25" s="62"/>
      <c r="AG25" s="75">
        <f t="shared" si="3"/>
        <v>20</v>
      </c>
      <c r="AH25" s="973">
        <v>-2505.0699999999997</v>
      </c>
      <c r="AI25" s="973">
        <v>3838.92</v>
      </c>
      <c r="AJ25" s="937">
        <f t="shared" si="14"/>
        <v>1333.8500000000004</v>
      </c>
    </row>
    <row r="26" spans="1:36">
      <c r="A26" s="909">
        <f t="shared" si="4"/>
        <v>19</v>
      </c>
      <c r="B26" s="650">
        <f>'Sched D-1'!B62</f>
        <v>394</v>
      </c>
      <c r="C26" s="768">
        <f t="shared" si="5"/>
        <v>434928.50506</v>
      </c>
      <c r="D26" s="674">
        <f>IFERROR(VLOOKUP(B26,'Sched J-1'!B:K,10,FALSE),0)</f>
        <v>3.95E-2</v>
      </c>
      <c r="E26" s="506">
        <f t="shared" si="6"/>
        <v>17179.675949870001</v>
      </c>
      <c r="F26" s="768">
        <f t="shared" si="7"/>
        <v>133075.18833</v>
      </c>
      <c r="G26" s="579" t="s">
        <v>666</v>
      </c>
      <c r="H26" s="579" t="s">
        <v>666</v>
      </c>
      <c r="I26" s="768">
        <f t="shared" si="8"/>
        <v>110988.83474000002</v>
      </c>
      <c r="J26" s="506">
        <f t="shared" si="16"/>
        <v>-190864.48198999994</v>
      </c>
      <c r="K26" s="14"/>
      <c r="L26" s="580">
        <f t="shared" si="9"/>
        <v>0.27169900000000002</v>
      </c>
      <c r="M26" s="14"/>
      <c r="N26" s="506">
        <f t="shared" si="15"/>
        <v>-51857.688892200997</v>
      </c>
      <c r="O26" s="506">
        <f t="shared" si="11"/>
        <v>-51857.688892200997</v>
      </c>
      <c r="Q26" s="75">
        <f t="shared" si="17"/>
        <v>21</v>
      </c>
      <c r="R26" s="14" t="s">
        <v>633</v>
      </c>
      <c r="S26" s="928">
        <v>4.2999999999999997E-2</v>
      </c>
      <c r="T26" s="928">
        <v>6.6000000000000003E-2</v>
      </c>
      <c r="U26" s="928">
        <v>4.9000000000000002E-2</v>
      </c>
      <c r="V26" s="1235">
        <f t="shared" si="10"/>
        <v>4.9000000000000002E-2</v>
      </c>
      <c r="W26" s="75">
        <f t="shared" si="20"/>
        <v>21</v>
      </c>
      <c r="X26" s="1509">
        <f>'Sched D-1'!W62</f>
        <v>3468859.4499999997</v>
      </c>
      <c r="Y26" s="1509">
        <f>'Sched D-1'!X62</f>
        <v>5407232.4900000002</v>
      </c>
      <c r="Z26" s="937">
        <f t="shared" si="12"/>
        <v>8876091.9399999995</v>
      </c>
      <c r="AA26" s="506"/>
      <c r="AB26" s="75">
        <f t="shared" si="21"/>
        <v>21</v>
      </c>
      <c r="AC26" s="1510">
        <v>117066.33</v>
      </c>
      <c r="AD26" s="1510">
        <v>2598753.84</v>
      </c>
      <c r="AE26" s="937">
        <f t="shared" si="13"/>
        <v>2715820.17</v>
      </c>
      <c r="AF26" s="62"/>
      <c r="AG26" s="75">
        <f t="shared" si="3"/>
        <v>21</v>
      </c>
      <c r="AH26" s="973">
        <v>1168934.6700000002</v>
      </c>
      <c r="AI26" s="973">
        <v>1096143.5900000001</v>
      </c>
      <c r="AJ26" s="937">
        <f t="shared" si="14"/>
        <v>2265078.2600000002</v>
      </c>
    </row>
    <row r="27" spans="1:36">
      <c r="A27" s="909">
        <f t="shared" si="4"/>
        <v>20</v>
      </c>
      <c r="B27" s="650">
        <f>'Sched D-1'!B63</f>
        <v>395</v>
      </c>
      <c r="C27" s="768">
        <f t="shared" si="5"/>
        <v>4351.32348</v>
      </c>
      <c r="D27" s="674">
        <f>IFERROR(VLOOKUP(B27,'Sched J-1'!B:K,10,FALSE),0)</f>
        <v>4.6100000000000002E-2</v>
      </c>
      <c r="E27" s="506">
        <f t="shared" si="6"/>
        <v>200.59601242800002</v>
      </c>
      <c r="F27" s="768">
        <f t="shared" si="7"/>
        <v>2389.6912899999998</v>
      </c>
      <c r="G27" s="579" t="s">
        <v>666</v>
      </c>
      <c r="H27" s="579" t="s">
        <v>666</v>
      </c>
      <c r="I27" s="768">
        <f t="shared" si="8"/>
        <v>-4859.5465800000002</v>
      </c>
      <c r="J27" s="506">
        <f t="shared" si="16"/>
        <v>-6821.1787700000004</v>
      </c>
      <c r="K27" s="14"/>
      <c r="L27" s="580">
        <f t="shared" si="9"/>
        <v>0.27169900000000002</v>
      </c>
      <c r="M27" s="14"/>
      <c r="N27" s="506">
        <f t="shared" si="15"/>
        <v>-1853.3074506302303</v>
      </c>
      <c r="O27" s="506">
        <f t="shared" si="11"/>
        <v>-1853.3074506302303</v>
      </c>
      <c r="Q27" s="75">
        <f t="shared" si="17"/>
        <v>22</v>
      </c>
      <c r="R27" s="14" t="s">
        <v>633</v>
      </c>
      <c r="S27" s="928">
        <v>4.2999999999999997E-2</v>
      </c>
      <c r="T27" s="928">
        <v>6.6000000000000003E-2</v>
      </c>
      <c r="U27" s="928">
        <v>4.9000000000000002E-2</v>
      </c>
      <c r="V27" s="1235">
        <f t="shared" si="10"/>
        <v>4.9000000000000002E-2</v>
      </c>
      <c r="W27" s="75">
        <f t="shared" si="20"/>
        <v>22</v>
      </c>
      <c r="X27" s="1509">
        <f>'Sched D-1'!W63</f>
        <v>84622.74</v>
      </c>
      <c r="Y27" s="1509">
        <f>'Sched D-1'!X63</f>
        <v>4179.78</v>
      </c>
      <c r="Z27" s="937">
        <f t="shared" si="12"/>
        <v>88802.52</v>
      </c>
      <c r="AA27" s="506"/>
      <c r="AB27" s="75">
        <f t="shared" si="21"/>
        <v>22</v>
      </c>
      <c r="AC27" s="1510">
        <v>49395.719999999994</v>
      </c>
      <c r="AD27" s="1510">
        <v>-626.51</v>
      </c>
      <c r="AE27" s="937">
        <f t="shared" si="13"/>
        <v>48769.209999999992</v>
      </c>
      <c r="AF27" s="62"/>
      <c r="AG27" s="75">
        <f t="shared" si="3"/>
        <v>22</v>
      </c>
      <c r="AH27" s="973">
        <v>-99174.42</v>
      </c>
      <c r="AI27" s="973">
        <v>0</v>
      </c>
      <c r="AJ27" s="937">
        <f t="shared" si="14"/>
        <v>-99174.42</v>
      </c>
    </row>
    <row r="28" spans="1:36">
      <c r="A28" s="909">
        <f t="shared" si="4"/>
        <v>21</v>
      </c>
      <c r="B28" s="650">
        <f>'Sched D-1'!B64</f>
        <v>396</v>
      </c>
      <c r="C28" s="768">
        <f t="shared" si="5"/>
        <v>807252.42920000001</v>
      </c>
      <c r="D28" s="674">
        <f>IFERROR(VLOOKUP(B28,'Sched J-1'!B:K,10,FALSE),0)</f>
        <v>3.8300000000000001E-2</v>
      </c>
      <c r="E28" s="506">
        <f t="shared" si="6"/>
        <v>30917.768038360002</v>
      </c>
      <c r="F28" s="768">
        <f t="shared" si="7"/>
        <v>407025.2508000001</v>
      </c>
      <c r="G28" s="579" t="s">
        <v>666</v>
      </c>
      <c r="H28" s="579" t="s">
        <v>666</v>
      </c>
      <c r="I28" s="768">
        <f t="shared" si="8"/>
        <v>273543.07120000006</v>
      </c>
      <c r="J28" s="506">
        <f t="shared" si="16"/>
        <v>-126684.10719999985</v>
      </c>
      <c r="K28" s="14"/>
      <c r="L28" s="580">
        <f t="shared" si="9"/>
        <v>0.27169900000000002</v>
      </c>
      <c r="M28" s="14"/>
      <c r="N28" s="506">
        <f t="shared" si="15"/>
        <v>-34419.945242132766</v>
      </c>
      <c r="O28" s="506">
        <f t="shared" si="11"/>
        <v>-34419.945242132766</v>
      </c>
      <c r="Q28" s="75">
        <f t="shared" si="17"/>
        <v>23</v>
      </c>
      <c r="R28" s="14" t="s">
        <v>538</v>
      </c>
      <c r="S28" s="1234">
        <v>0.17299999999999999</v>
      </c>
      <c r="T28" s="1234">
        <v>0.115</v>
      </c>
      <c r="U28" s="1234">
        <v>0.14000000000000001</v>
      </c>
      <c r="V28" s="1235">
        <f t="shared" si="10"/>
        <v>0.14000000000000001</v>
      </c>
      <c r="W28" s="75">
        <f t="shared" si="20"/>
        <v>23</v>
      </c>
      <c r="X28" s="1509">
        <f>'Sched D-1'!W64</f>
        <v>1708222.21</v>
      </c>
      <c r="Y28" s="1509">
        <f>'Sched D-1'!X64</f>
        <v>4057866.57</v>
      </c>
      <c r="Z28" s="937">
        <f t="shared" si="12"/>
        <v>5766088.7799999993</v>
      </c>
      <c r="AA28" s="506"/>
      <c r="AB28" s="75">
        <f t="shared" si="21"/>
        <v>23</v>
      </c>
      <c r="AC28" s="1510">
        <v>430701.95</v>
      </c>
      <c r="AD28" s="1510">
        <v>2476621.27</v>
      </c>
      <c r="AE28" s="937">
        <f t="shared" si="13"/>
        <v>2907323.22</v>
      </c>
      <c r="AF28" s="62"/>
      <c r="AG28" s="75">
        <f t="shared" si="3"/>
        <v>23</v>
      </c>
      <c r="AH28" s="973">
        <v>804108.15</v>
      </c>
      <c r="AI28" s="973">
        <v>1149770.93</v>
      </c>
      <c r="AJ28" s="937">
        <f t="shared" si="14"/>
        <v>1953879.08</v>
      </c>
    </row>
    <row r="29" spans="1:36">
      <c r="A29" s="909">
        <f t="shared" si="4"/>
        <v>22</v>
      </c>
      <c r="B29" s="650">
        <f>'Sched D-1'!B65</f>
        <v>397</v>
      </c>
      <c r="C29" s="768">
        <f t="shared" si="5"/>
        <v>118451.25600000001</v>
      </c>
      <c r="D29" s="674">
        <f>IFERROR(VLOOKUP(B29,'Sched J-1'!B:K,10,FALSE),0)</f>
        <v>6.6600000000000006E-2</v>
      </c>
      <c r="E29" s="506">
        <f t="shared" si="6"/>
        <v>7888.8536496000015</v>
      </c>
      <c r="F29" s="768">
        <f t="shared" si="7"/>
        <v>92922.187400000024</v>
      </c>
      <c r="G29" s="579" t="s">
        <v>666</v>
      </c>
      <c r="H29" s="579" t="s">
        <v>666</v>
      </c>
      <c r="I29" s="768">
        <f t="shared" si="8"/>
        <v>5033.9659999999949</v>
      </c>
      <c r="J29" s="506">
        <f t="shared" si="16"/>
        <v>-20495.102599999991</v>
      </c>
      <c r="K29" s="14"/>
      <c r="L29" s="580">
        <f t="shared" si="9"/>
        <v>0.27169900000000002</v>
      </c>
      <c r="M29" s="14"/>
      <c r="N29" s="506">
        <f t="shared" si="15"/>
        <v>-5568.4988813173977</v>
      </c>
      <c r="O29" s="506">
        <f t="shared" si="11"/>
        <v>-5568.4988813173977</v>
      </c>
      <c r="Q29" s="75">
        <f t="shared" si="17"/>
        <v>24</v>
      </c>
      <c r="R29" s="14" t="s">
        <v>538</v>
      </c>
      <c r="S29" s="1234">
        <v>0.17299999999999999</v>
      </c>
      <c r="T29" s="1234">
        <v>0.115</v>
      </c>
      <c r="U29" s="1234">
        <v>0.14000000000000001</v>
      </c>
      <c r="V29" s="1235">
        <f t="shared" si="10"/>
        <v>0.14000000000000001</v>
      </c>
      <c r="W29" s="75">
        <f t="shared" si="20"/>
        <v>24</v>
      </c>
      <c r="X29" s="1509">
        <f>'Sched D-1'!W65</f>
        <v>750923.51</v>
      </c>
      <c r="Y29" s="1509">
        <f>'Sched D-1'!X65</f>
        <v>95156.89</v>
      </c>
      <c r="Z29" s="937">
        <f t="shared" si="12"/>
        <v>846080.4</v>
      </c>
      <c r="AA29" s="506"/>
      <c r="AB29" s="75">
        <f t="shared" si="21"/>
        <v>24</v>
      </c>
      <c r="AC29" s="1510">
        <v>764971.59000000008</v>
      </c>
      <c r="AD29" s="1510">
        <v>-101241.68</v>
      </c>
      <c r="AE29" s="937">
        <f t="shared" si="13"/>
        <v>663729.91000000015</v>
      </c>
      <c r="AF29" s="62"/>
      <c r="AG29" s="75">
        <f t="shared" si="3"/>
        <v>24</v>
      </c>
      <c r="AH29" s="973">
        <v>17583.829999999958</v>
      </c>
      <c r="AI29" s="973">
        <v>18373.07</v>
      </c>
      <c r="AJ29" s="937">
        <f t="shared" si="14"/>
        <v>35956.899999999958</v>
      </c>
    </row>
    <row r="30" spans="1:36">
      <c r="A30" s="909">
        <f t="shared" si="4"/>
        <v>23</v>
      </c>
      <c r="B30" s="859">
        <f>'Sched D-1'!B66</f>
        <v>398</v>
      </c>
      <c r="C30" s="771">
        <f t="shared" si="5"/>
        <v>8700.8109299999996</v>
      </c>
      <c r="D30" s="674">
        <f>IFERROR(VLOOKUP(B30,'Sched J-1'!B:K,10,FALSE),0)</f>
        <v>0.05</v>
      </c>
      <c r="E30" s="673">
        <f t="shared" si="6"/>
        <v>435.0405465</v>
      </c>
      <c r="F30" s="771">
        <f t="shared" si="7"/>
        <v>13885.755730000001</v>
      </c>
      <c r="G30" s="579" t="s">
        <v>666</v>
      </c>
      <c r="H30" s="579" t="s">
        <v>666</v>
      </c>
      <c r="I30" s="771">
        <f t="shared" si="8"/>
        <v>-11002.842689999999</v>
      </c>
      <c r="J30" s="673">
        <f t="shared" ref="J30" si="22">I30-(C30-F30)</f>
        <v>-5817.8978899999984</v>
      </c>
      <c r="K30" s="14"/>
      <c r="L30" s="580">
        <f t="shared" si="9"/>
        <v>0.27169900000000002</v>
      </c>
      <c r="M30" s="14"/>
      <c r="N30" s="673">
        <f t="shared" si="15"/>
        <v>-1580.7170388151096</v>
      </c>
      <c r="O30" s="673">
        <f t="shared" si="11"/>
        <v>-1580.7170388151096</v>
      </c>
      <c r="Q30" s="75">
        <f t="shared" si="17"/>
        <v>25</v>
      </c>
      <c r="R30" s="14" t="s">
        <v>633</v>
      </c>
      <c r="S30" s="928">
        <v>4.2999999999999997E-2</v>
      </c>
      <c r="T30" s="928">
        <v>6.6000000000000003E-2</v>
      </c>
      <c r="U30" s="928">
        <v>4.9000000000000002E-2</v>
      </c>
      <c r="V30" s="1235">
        <f t="shared" si="10"/>
        <v>4.9000000000000002E-2</v>
      </c>
      <c r="W30" s="75">
        <f t="shared" si="20"/>
        <v>25</v>
      </c>
      <c r="X30" s="1509">
        <f>'Sched D-1'!W66</f>
        <v>6672.83</v>
      </c>
      <c r="Y30" s="1509">
        <f>'Sched D-1'!X66</f>
        <v>170894.74</v>
      </c>
      <c r="Z30" s="937">
        <f t="shared" si="12"/>
        <v>177567.56999999998</v>
      </c>
      <c r="AA30" s="506"/>
      <c r="AB30" s="75">
        <f t="shared" si="21"/>
        <v>25</v>
      </c>
      <c r="AC30" s="1510">
        <v>109647.97</v>
      </c>
      <c r="AD30" s="1510">
        <v>173734.8</v>
      </c>
      <c r="AE30" s="937">
        <f t="shared" si="13"/>
        <v>283382.77</v>
      </c>
      <c r="AF30" s="62"/>
      <c r="AG30" s="75">
        <f t="shared" si="3"/>
        <v>25</v>
      </c>
      <c r="AH30" s="973">
        <v>-225569.33</v>
      </c>
      <c r="AI30" s="973">
        <v>1021.5199999999968</v>
      </c>
      <c r="AJ30" s="937">
        <f t="shared" si="14"/>
        <v>-224547.81</v>
      </c>
    </row>
    <row r="31" spans="1:36">
      <c r="A31" s="909">
        <f t="shared" si="4"/>
        <v>24</v>
      </c>
      <c r="B31" s="41" t="s">
        <v>1103</v>
      </c>
      <c r="C31" s="641">
        <f>SUM(C11:C30)</f>
        <v>7226861.2521700002</v>
      </c>
      <c r="D31" s="641"/>
      <c r="E31" s="641">
        <f>SUM(E11:E30)</f>
        <v>383848.71051147609</v>
      </c>
      <c r="F31" s="641">
        <f>SUM(F11:F30)</f>
        <v>2194971.7198500005</v>
      </c>
      <c r="G31" s="641"/>
      <c r="H31" s="641"/>
      <c r="I31" s="641">
        <f>SUM(I11:I30)</f>
        <v>3368755.7690500002</v>
      </c>
      <c r="J31" s="641">
        <f>SUM(J11:J30)</f>
        <v>-1663133.76327</v>
      </c>
      <c r="K31" s="641"/>
      <c r="L31" s="641"/>
      <c r="M31" s="641"/>
      <c r="N31" s="641">
        <f>SUM(N11:N30)</f>
        <v>-451871.78034669568</v>
      </c>
      <c r="O31" s="641">
        <f>SUM(O11:O30)</f>
        <v>-451871.78034669568</v>
      </c>
      <c r="Q31" s="75">
        <f t="shared" si="17"/>
        <v>26</v>
      </c>
      <c r="W31" s="75">
        <f t="shared" si="20"/>
        <v>26</v>
      </c>
      <c r="X31" s="1509">
        <f>SUM(X11:X30)</f>
        <v>42780877.340000004</v>
      </c>
      <c r="Y31" s="1509">
        <f>SUM(Y11:Y30)</f>
        <v>44241210.440000013</v>
      </c>
      <c r="Z31" s="937">
        <f t="shared" si="12"/>
        <v>87022087.780000016</v>
      </c>
      <c r="AA31" s="506"/>
      <c r="AB31" s="75">
        <f t="shared" si="21"/>
        <v>26</v>
      </c>
      <c r="AC31" s="1511">
        <f>SUM(AC11:AC30)</f>
        <v>5239230.42</v>
      </c>
      <c r="AD31" s="1511">
        <f>SUM(AD11:AD30)</f>
        <v>11542297.720000001</v>
      </c>
      <c r="AE31" s="937">
        <f t="shared" si="13"/>
        <v>16781528.140000001</v>
      </c>
      <c r="AF31" s="62"/>
      <c r="AG31" s="75">
        <f t="shared" si="3"/>
        <v>26</v>
      </c>
      <c r="AH31" s="937">
        <v>29129622.040000007</v>
      </c>
      <c r="AI31" s="937">
        <v>24717408.48</v>
      </c>
      <c r="AJ31" s="937">
        <f t="shared" si="14"/>
        <v>53847030.520000011</v>
      </c>
    </row>
    <row r="32" spans="1:36">
      <c r="A32" s="909">
        <f t="shared" si="4"/>
        <v>25</v>
      </c>
      <c r="B32" s="41"/>
      <c r="C32" s="641"/>
      <c r="D32" s="641"/>
      <c r="E32" s="641"/>
      <c r="F32" s="641"/>
      <c r="G32" s="641"/>
      <c r="H32" s="641"/>
      <c r="I32" s="641"/>
      <c r="J32" s="641"/>
      <c r="K32" s="641"/>
      <c r="L32" s="641"/>
      <c r="M32" s="641"/>
      <c r="N32" s="641"/>
      <c r="O32" s="641"/>
      <c r="Q32" s="75">
        <f t="shared" si="17"/>
        <v>27</v>
      </c>
      <c r="W32" s="75">
        <f t="shared" si="20"/>
        <v>27</v>
      </c>
      <c r="X32" s="1509"/>
      <c r="Y32" s="1509"/>
      <c r="Z32" s="937"/>
      <c r="AA32" s="506"/>
      <c r="AB32" s="75">
        <f t="shared" si="21"/>
        <v>27</v>
      </c>
      <c r="AC32" s="1511"/>
      <c r="AD32" s="1511"/>
      <c r="AE32" s="937"/>
      <c r="AF32" s="62"/>
      <c r="AG32" s="75">
        <f t="shared" si="3"/>
        <v>27</v>
      </c>
      <c r="AH32" s="937"/>
      <c r="AI32" s="937"/>
      <c r="AJ32" s="937"/>
    </row>
    <row r="33" spans="1:36">
      <c r="A33" s="909">
        <f t="shared" si="4"/>
        <v>26</v>
      </c>
      <c r="B33" s="41"/>
      <c r="C33" s="641"/>
      <c r="D33" s="641"/>
      <c r="E33" s="641"/>
      <c r="F33" s="641"/>
      <c r="G33" s="641"/>
      <c r="H33" s="641"/>
      <c r="I33" s="641"/>
      <c r="J33" s="641"/>
      <c r="K33" s="641"/>
      <c r="L33" s="641"/>
      <c r="M33" s="641"/>
      <c r="N33" s="641"/>
      <c r="O33" s="641"/>
      <c r="Q33" s="75">
        <f t="shared" si="17"/>
        <v>28</v>
      </c>
      <c r="W33" s="75">
        <f t="shared" si="20"/>
        <v>28</v>
      </c>
      <c r="X33" s="1177"/>
      <c r="Y33" s="1177"/>
      <c r="Z33" s="1177"/>
      <c r="AA33" s="506"/>
      <c r="AB33" s="75">
        <f t="shared" si="21"/>
        <v>28</v>
      </c>
      <c r="AC33" s="75"/>
      <c r="AD33" s="75"/>
      <c r="AE33" s="75"/>
      <c r="AF33" s="62"/>
      <c r="AG33" s="75">
        <f t="shared" si="3"/>
        <v>28</v>
      </c>
      <c r="AH33" s="62"/>
      <c r="AI33" s="62"/>
      <c r="AJ33" s="62"/>
    </row>
    <row r="34" spans="1:36">
      <c r="A34" s="909">
        <f t="shared" si="4"/>
        <v>27</v>
      </c>
      <c r="B34" s="41"/>
      <c r="C34" s="103" t="s">
        <v>199</v>
      </c>
      <c r="D34" s="103" t="s">
        <v>200</v>
      </c>
      <c r="E34" s="103" t="s">
        <v>41</v>
      </c>
      <c r="F34" s="103" t="s">
        <v>202</v>
      </c>
      <c r="G34" s="103" t="s">
        <v>203</v>
      </c>
      <c r="H34" s="103" t="s">
        <v>204</v>
      </c>
      <c r="I34" s="103" t="s">
        <v>205</v>
      </c>
      <c r="J34" s="103" t="s">
        <v>206</v>
      </c>
      <c r="K34" s="103"/>
      <c r="L34" s="103" t="s">
        <v>207</v>
      </c>
      <c r="M34" s="103"/>
      <c r="N34" s="103" t="s">
        <v>208</v>
      </c>
      <c r="O34" s="103" t="s">
        <v>209</v>
      </c>
      <c r="Q34" s="75">
        <f t="shared" si="17"/>
        <v>29</v>
      </c>
      <c r="W34" s="75">
        <f t="shared" si="20"/>
        <v>29</v>
      </c>
      <c r="X34" s="1177"/>
      <c r="Y34" s="1177"/>
      <c r="Z34" s="1177"/>
      <c r="AA34" s="506"/>
      <c r="AB34" s="75">
        <f t="shared" si="21"/>
        <v>29</v>
      </c>
      <c r="AC34" s="75"/>
      <c r="AD34" s="75"/>
      <c r="AE34" s="75"/>
      <c r="AF34" s="62"/>
      <c r="AG34" s="75">
        <f t="shared" si="3"/>
        <v>29</v>
      </c>
      <c r="AH34" s="62"/>
      <c r="AI34" s="62"/>
      <c r="AJ34" s="62"/>
    </row>
    <row r="35" spans="1:36">
      <c r="A35" s="909">
        <f t="shared" si="4"/>
        <v>28</v>
      </c>
      <c r="B35" s="41"/>
      <c r="C35" s="14"/>
      <c r="D35" s="14"/>
      <c r="E35" s="909" t="s">
        <v>657</v>
      </c>
      <c r="F35" s="909"/>
      <c r="G35" s="14"/>
      <c r="H35" s="14"/>
      <c r="I35" s="909"/>
      <c r="J35" s="1228" t="s">
        <v>1454</v>
      </c>
      <c r="K35" s="14"/>
      <c r="L35" s="14"/>
      <c r="M35" s="14"/>
      <c r="N35" s="909" t="s">
        <v>660</v>
      </c>
      <c r="O35" s="909"/>
      <c r="Q35" s="75">
        <f t="shared" si="17"/>
        <v>30</v>
      </c>
      <c r="W35" s="75">
        <f t="shared" si="20"/>
        <v>30</v>
      </c>
      <c r="X35" s="1177"/>
      <c r="Y35" s="1177"/>
      <c r="Z35" s="1177"/>
      <c r="AA35" s="506"/>
      <c r="AB35" s="75">
        <f t="shared" si="21"/>
        <v>30</v>
      </c>
      <c r="AC35" s="75"/>
      <c r="AD35" s="75"/>
      <c r="AE35" s="75"/>
      <c r="AF35" s="62"/>
      <c r="AG35" s="75">
        <f t="shared" si="3"/>
        <v>30</v>
      </c>
      <c r="AH35" s="62"/>
      <c r="AI35" s="62"/>
      <c r="AJ35" s="62"/>
    </row>
    <row r="36" spans="1:36" ht="38.25">
      <c r="A36" s="909">
        <f t="shared" si="4"/>
        <v>29</v>
      </c>
      <c r="B36" s="41"/>
      <c r="C36" s="350" t="s">
        <v>716</v>
      </c>
      <c r="D36" s="350" t="s">
        <v>680</v>
      </c>
      <c r="E36" s="350" t="s">
        <v>650</v>
      </c>
      <c r="F36" s="350" t="s">
        <v>791</v>
      </c>
      <c r="G36" s="350" t="s">
        <v>652</v>
      </c>
      <c r="H36" s="350" t="s">
        <v>653</v>
      </c>
      <c r="I36" s="350" t="s">
        <v>803</v>
      </c>
      <c r="J36" s="350" t="s">
        <v>333</v>
      </c>
      <c r="K36" s="381"/>
      <c r="L36" s="350" t="s">
        <v>359</v>
      </c>
      <c r="M36" s="381"/>
      <c r="N36" s="350" t="s">
        <v>656</v>
      </c>
      <c r="O36" s="350" t="s">
        <v>786</v>
      </c>
      <c r="Q36" s="75">
        <f t="shared" si="17"/>
        <v>31</v>
      </c>
      <c r="W36" s="75">
        <f t="shared" si="20"/>
        <v>31</v>
      </c>
      <c r="X36" s="1177"/>
      <c r="Y36" s="1177"/>
      <c r="Z36" s="1177"/>
      <c r="AA36" s="506"/>
      <c r="AB36" s="75">
        <f t="shared" si="21"/>
        <v>31</v>
      </c>
      <c r="AC36" s="75"/>
      <c r="AD36" s="75"/>
      <c r="AE36" s="75"/>
      <c r="AF36" s="62"/>
      <c r="AG36" s="75">
        <f t="shared" si="3"/>
        <v>31</v>
      </c>
      <c r="AH36" s="62"/>
      <c r="AI36" s="62"/>
      <c r="AJ36" s="62"/>
    </row>
    <row r="37" spans="1:36">
      <c r="A37" s="909">
        <f t="shared" si="4"/>
        <v>30</v>
      </c>
      <c r="B37" s="670"/>
      <c r="C37" s="641"/>
      <c r="D37" s="674"/>
      <c r="E37" s="641"/>
      <c r="F37" s="641"/>
      <c r="G37" s="579"/>
      <c r="H37" s="579"/>
      <c r="I37" s="641"/>
      <c r="J37" s="506"/>
      <c r="K37" s="14"/>
      <c r="L37" s="580"/>
      <c r="M37" s="14"/>
      <c r="N37" s="641"/>
      <c r="O37" s="671"/>
      <c r="Q37" s="75">
        <f t="shared" si="17"/>
        <v>32</v>
      </c>
      <c r="W37" s="75">
        <f t="shared" si="20"/>
        <v>32</v>
      </c>
      <c r="X37" s="1177"/>
      <c r="Y37" s="1177"/>
      <c r="Z37" s="1177"/>
      <c r="AA37" s="506"/>
      <c r="AB37" s="75">
        <f t="shared" si="21"/>
        <v>32</v>
      </c>
      <c r="AC37" s="75"/>
      <c r="AD37" s="75"/>
      <c r="AE37" s="75"/>
      <c r="AF37" s="62"/>
      <c r="AG37" s="75">
        <f t="shared" si="3"/>
        <v>32</v>
      </c>
      <c r="AH37" s="62"/>
      <c r="AI37" s="62"/>
      <c r="AJ37" s="62"/>
    </row>
    <row r="38" spans="1:36">
      <c r="A38" s="909">
        <f t="shared" si="4"/>
        <v>31</v>
      </c>
      <c r="B38" s="825" t="s">
        <v>790</v>
      </c>
      <c r="C38" s="349"/>
      <c r="D38" s="676"/>
      <c r="E38" s="349"/>
      <c r="F38" s="349"/>
      <c r="G38" s="349"/>
      <c r="H38" s="349"/>
      <c r="I38" s="349"/>
      <c r="J38" s="349"/>
      <c r="K38" s="351"/>
      <c r="L38" s="349"/>
      <c r="M38" s="351"/>
      <c r="N38" s="349"/>
      <c r="O38" s="349"/>
      <c r="Q38" s="75">
        <f t="shared" si="17"/>
        <v>33</v>
      </c>
      <c r="W38" s="75">
        <f t="shared" si="20"/>
        <v>33</v>
      </c>
      <c r="X38" s="1177"/>
      <c r="Y38" s="1177"/>
      <c r="Z38" s="1177"/>
      <c r="AA38" s="506"/>
      <c r="AB38" s="75">
        <f t="shared" si="21"/>
        <v>33</v>
      </c>
      <c r="AC38" s="75"/>
      <c r="AD38" s="75"/>
      <c r="AE38" s="75"/>
      <c r="AF38" s="62"/>
      <c r="AG38" s="75">
        <f t="shared" si="3"/>
        <v>33</v>
      </c>
      <c r="AH38" s="75"/>
      <c r="AI38" s="75"/>
      <c r="AJ38" s="75"/>
    </row>
    <row r="39" spans="1:36">
      <c r="A39" s="909">
        <f t="shared" si="4"/>
        <v>32</v>
      </c>
      <c r="B39" s="33" t="s">
        <v>789</v>
      </c>
      <c r="C39" s="14"/>
      <c r="D39" s="675"/>
      <c r="E39" s="14"/>
      <c r="F39" s="14"/>
      <c r="G39" s="977"/>
      <c r="H39" s="977"/>
      <c r="I39" s="14"/>
      <c r="J39" s="14"/>
      <c r="K39" s="14"/>
      <c r="L39" s="14"/>
      <c r="M39" s="14"/>
      <c r="N39" s="14"/>
      <c r="O39" s="14"/>
      <c r="Q39" s="75">
        <f t="shared" si="17"/>
        <v>34</v>
      </c>
      <c r="W39" s="75">
        <f t="shared" si="20"/>
        <v>34</v>
      </c>
      <c r="X39" s="1177"/>
      <c r="Y39" s="1177"/>
      <c r="Z39" s="1177"/>
      <c r="AA39" s="506"/>
      <c r="AB39" s="75">
        <f t="shared" si="21"/>
        <v>34</v>
      </c>
      <c r="AC39" s="960"/>
      <c r="AD39" s="960"/>
      <c r="AE39" s="937">
        <f t="shared" si="13"/>
        <v>0</v>
      </c>
      <c r="AF39" s="62"/>
      <c r="AG39" s="75">
        <f t="shared" si="3"/>
        <v>34</v>
      </c>
      <c r="AH39" s="928"/>
      <c r="AI39" s="928"/>
      <c r="AJ39" s="937">
        <f t="shared" si="14"/>
        <v>0</v>
      </c>
    </row>
    <row r="40" spans="1:36">
      <c r="A40" s="909">
        <f t="shared" si="4"/>
        <v>33</v>
      </c>
      <c r="B40" s="469">
        <f>'Sched D-2'!B31</f>
        <v>389.01</v>
      </c>
      <c r="C40" s="475">
        <f t="shared" ref="C40:C50" si="23">HLOOKUP(Attach,$X$6:$Z$223,$W40,FALSE)*V40</f>
        <v>26610.967706400002</v>
      </c>
      <c r="D40" s="674">
        <f>IFERROR(VLOOKUP(B40,'Sched J-1'!B:K,10,FALSE),0)</f>
        <v>0</v>
      </c>
      <c r="E40" s="497">
        <f t="shared" ref="E40:E42" si="24">D40*C40</f>
        <v>0</v>
      </c>
      <c r="F40" s="641">
        <f>E40/2</f>
        <v>0</v>
      </c>
      <c r="G40" s="829" t="str">
        <f>VLOOKUP(B40,'Sched M-2'!$B$11:$H$50,6,FALSE)</f>
        <v>None</v>
      </c>
      <c r="H40" s="829">
        <f>VLOOKUP(B40,'Sched M-2'!$B$11:$H$50,7,FALSE)</f>
        <v>0</v>
      </c>
      <c r="I40" s="641">
        <f>H40*C40</f>
        <v>0</v>
      </c>
      <c r="J40" s="672">
        <f>+E40-I40</f>
        <v>0</v>
      </c>
      <c r="K40" s="642"/>
      <c r="L40" s="580">
        <f t="shared" ref="L40:L50" si="25">COMPRATE</f>
        <v>0.27169900000000002</v>
      </c>
      <c r="M40" s="642"/>
      <c r="N40" s="641">
        <f>+J40*L40</f>
        <v>0</v>
      </c>
      <c r="O40" s="653">
        <f>N40/2</f>
        <v>0</v>
      </c>
      <c r="Q40" s="75">
        <f t="shared" si="17"/>
        <v>35</v>
      </c>
      <c r="R40" s="14" t="str">
        <f t="shared" ref="R40:U44" si="26">R12</f>
        <v>R</v>
      </c>
      <c r="S40" s="1234">
        <f t="shared" si="26"/>
        <v>4.2999999999999997E-2</v>
      </c>
      <c r="T40" s="1234">
        <f t="shared" si="26"/>
        <v>6.6000000000000003E-2</v>
      </c>
      <c r="U40" s="1234">
        <f t="shared" si="26"/>
        <v>4.9000000000000002E-2</v>
      </c>
      <c r="V40" s="1235">
        <f t="shared" ref="V40:V50" si="27">HLOOKUP(Attach,$Q$6:$U$54,Q40,FALSE)</f>
        <v>4.9000000000000002E-2</v>
      </c>
      <c r="W40" s="75">
        <f t="shared" si="20"/>
        <v>35</v>
      </c>
      <c r="X40" s="1509">
        <f>'Sched D-2'!I31</f>
        <v>52958.100800000066</v>
      </c>
      <c r="Y40" s="1509">
        <f>'Sched D-2'!J31</f>
        <v>490122.87279999995</v>
      </c>
      <c r="Z40" s="937">
        <f t="shared" si="12"/>
        <v>543080.97360000003</v>
      </c>
      <c r="AA40" s="506"/>
      <c r="AB40" s="75">
        <f t="shared" si="21"/>
        <v>35</v>
      </c>
      <c r="AC40" s="960"/>
      <c r="AD40" s="960"/>
      <c r="AE40" s="937">
        <f t="shared" si="13"/>
        <v>0</v>
      </c>
      <c r="AF40" s="62"/>
      <c r="AG40" s="75">
        <f t="shared" si="3"/>
        <v>35</v>
      </c>
      <c r="AH40" s="928"/>
      <c r="AI40" s="928"/>
      <c r="AJ40" s="937">
        <f t="shared" si="14"/>
        <v>0</v>
      </c>
    </row>
    <row r="41" spans="1:36">
      <c r="A41" s="909">
        <f t="shared" si="4"/>
        <v>34</v>
      </c>
      <c r="B41" s="469">
        <f>'Sched D-2'!B33</f>
        <v>390.01</v>
      </c>
      <c r="C41" s="768">
        <f t="shared" si="23"/>
        <v>203211.02612160001</v>
      </c>
      <c r="D41" s="674">
        <f>IFERROR(VLOOKUP(B41,'Sched J-1'!B:K,10,FALSE),0)</f>
        <v>2.98E-2</v>
      </c>
      <c r="E41" s="506">
        <f t="shared" si="24"/>
        <v>6055.6885784236802</v>
      </c>
      <c r="F41" s="506">
        <f t="shared" ref="F41:F42" si="28">E41/2</f>
        <v>3027.8442892118401</v>
      </c>
      <c r="G41" s="829" t="str">
        <f>VLOOKUP(B41,'Sched M-2'!$B$11:$H$50,6,FALSE)</f>
        <v>39 Year</v>
      </c>
      <c r="H41" s="829">
        <f>VLOOKUP(B41,'Sched M-2'!$B$11:$H$50,7,FALSE)</f>
        <v>1.391E-2</v>
      </c>
      <c r="I41" s="506">
        <f t="shared" ref="I41:I42" si="29">H41*C41</f>
        <v>2826.6653733514563</v>
      </c>
      <c r="J41" s="678">
        <f t="shared" ref="J41:J42" si="30">+E41-I41</f>
        <v>3229.0232050722238</v>
      </c>
      <c r="K41" s="642"/>
      <c r="L41" s="580">
        <f t="shared" si="25"/>
        <v>0.27169900000000002</v>
      </c>
      <c r="M41" s="642"/>
      <c r="N41" s="506">
        <f t="shared" ref="N41:N42" si="31">+J41*L41</f>
        <v>877.32237579491823</v>
      </c>
      <c r="O41" s="506">
        <f t="shared" ref="O41:O42" si="32">N41/2</f>
        <v>438.66118789745911</v>
      </c>
      <c r="Q41" s="75">
        <f t="shared" si="17"/>
        <v>36</v>
      </c>
      <c r="R41" s="14" t="str">
        <f t="shared" si="26"/>
        <v>R</v>
      </c>
      <c r="S41" s="1234">
        <f t="shared" si="26"/>
        <v>4.2999999999999997E-2</v>
      </c>
      <c r="T41" s="1234">
        <f t="shared" si="26"/>
        <v>6.6000000000000003E-2</v>
      </c>
      <c r="U41" s="1234">
        <f t="shared" si="26"/>
        <v>4.9000000000000002E-2</v>
      </c>
      <c r="V41" s="1235">
        <f t="shared" si="27"/>
        <v>4.9000000000000002E-2</v>
      </c>
      <c r="W41" s="75">
        <f t="shared" si="20"/>
        <v>36</v>
      </c>
      <c r="X41" s="1509">
        <f>'Sched D-2'!I33</f>
        <v>404407.31520000059</v>
      </c>
      <c r="Y41" s="1509">
        <f>'Sched D-2'!J33</f>
        <v>3742756.4831999997</v>
      </c>
      <c r="Z41" s="937">
        <f t="shared" si="12"/>
        <v>4147163.7984000002</v>
      </c>
      <c r="AA41" s="506"/>
      <c r="AB41" s="75">
        <f t="shared" si="21"/>
        <v>36</v>
      </c>
      <c r="AC41" s="960"/>
      <c r="AD41" s="960"/>
      <c r="AE41" s="937">
        <f t="shared" si="13"/>
        <v>0</v>
      </c>
      <c r="AF41" s="62"/>
      <c r="AG41" s="75">
        <f t="shared" ref="AG41:AG44" si="33">1+AG40</f>
        <v>36</v>
      </c>
      <c r="AH41" s="928"/>
      <c r="AI41" s="928"/>
      <c r="AJ41" s="937">
        <f t="shared" si="14"/>
        <v>0</v>
      </c>
    </row>
    <row r="42" spans="1:36">
      <c r="A42" s="909">
        <f t="shared" si="4"/>
        <v>35</v>
      </c>
      <c r="B42" s="469">
        <f>'Sched D-2'!B34</f>
        <v>390.51</v>
      </c>
      <c r="C42" s="768">
        <f t="shared" si="23"/>
        <v>0</v>
      </c>
      <c r="D42" s="674">
        <f>IFERROR(VLOOKUP(B42,'Sched J-1'!B:K,10,FALSE),0)</f>
        <v>9.2799999999999994E-2</v>
      </c>
      <c r="E42" s="506">
        <f t="shared" si="24"/>
        <v>0</v>
      </c>
      <c r="F42" s="506">
        <f t="shared" si="28"/>
        <v>0</v>
      </c>
      <c r="G42" s="829" t="str">
        <f>VLOOKUP(B42,'Sched M-2'!$B$11:$H$50,6,FALSE)</f>
        <v>39 Year</v>
      </c>
      <c r="H42" s="829">
        <f>VLOOKUP(B42,'Sched M-2'!$B$11:$H$50,7,FALSE)</f>
        <v>1.391E-2</v>
      </c>
      <c r="I42" s="506">
        <f t="shared" si="29"/>
        <v>0</v>
      </c>
      <c r="J42" s="678">
        <f t="shared" si="30"/>
        <v>0</v>
      </c>
      <c r="K42" s="642"/>
      <c r="L42" s="580">
        <f t="shared" si="25"/>
        <v>0.27169900000000002</v>
      </c>
      <c r="M42" s="642"/>
      <c r="N42" s="506">
        <f t="shared" si="31"/>
        <v>0</v>
      </c>
      <c r="O42" s="506">
        <f t="shared" si="32"/>
        <v>0</v>
      </c>
      <c r="Q42" s="75">
        <f t="shared" si="17"/>
        <v>37</v>
      </c>
      <c r="R42" s="14" t="str">
        <f t="shared" si="26"/>
        <v>R</v>
      </c>
      <c r="S42" s="1234">
        <f t="shared" si="26"/>
        <v>4.2999999999999997E-2</v>
      </c>
      <c r="T42" s="1234">
        <f t="shared" si="26"/>
        <v>6.6000000000000003E-2</v>
      </c>
      <c r="U42" s="1234">
        <f t="shared" si="26"/>
        <v>4.9000000000000002E-2</v>
      </c>
      <c r="V42" s="1235">
        <f t="shared" si="27"/>
        <v>4.9000000000000002E-2</v>
      </c>
      <c r="W42" s="75">
        <f t="shared" si="20"/>
        <v>37</v>
      </c>
      <c r="X42" s="1509">
        <f>'Sched D-2'!I34</f>
        <v>0</v>
      </c>
      <c r="Y42" s="1509">
        <f>'Sched D-2'!J34</f>
        <v>0</v>
      </c>
      <c r="Z42" s="937">
        <f t="shared" si="12"/>
        <v>0</v>
      </c>
      <c r="AA42" s="506"/>
      <c r="AB42" s="75">
        <f t="shared" si="21"/>
        <v>37</v>
      </c>
      <c r="AC42" s="960"/>
      <c r="AD42" s="960"/>
      <c r="AE42" s="937">
        <f t="shared" si="13"/>
        <v>0</v>
      </c>
      <c r="AF42" s="62"/>
      <c r="AG42" s="75">
        <f t="shared" si="33"/>
        <v>37</v>
      </c>
      <c r="AH42" s="928"/>
      <c r="AI42" s="928"/>
      <c r="AJ42" s="937">
        <f t="shared" si="14"/>
        <v>0</v>
      </c>
    </row>
    <row r="43" spans="1:36">
      <c r="A43" s="909">
        <f>A42+1</f>
        <v>36</v>
      </c>
      <c r="B43" s="469">
        <f>'Sched D-2'!B35</f>
        <v>391.01</v>
      </c>
      <c r="C43" s="768">
        <f t="shared" si="23"/>
        <v>2419.1788824</v>
      </c>
      <c r="D43" s="674">
        <f>IFERROR(VLOOKUP(B43,'Sched J-1'!B:K,10,FALSE),0)</f>
        <v>4.9799999999999997E-2</v>
      </c>
      <c r="E43" s="506">
        <f t="shared" ref="E43:E44" si="34">D43*C43</f>
        <v>120.47510834351999</v>
      </c>
      <c r="F43" s="506">
        <f t="shared" ref="F43:F44" si="35">E43/2</f>
        <v>60.237554171759996</v>
      </c>
      <c r="G43" s="829" t="str">
        <f>VLOOKUP(B43,'Sched M-2'!$B$11:$H$50,6,FALSE)</f>
        <v>7 Yr HYC</v>
      </c>
      <c r="H43" s="829">
        <f>VLOOKUP(B43,'Sched M-2'!$B$11:$H$50,7,FALSE)</f>
        <v>0.14285714285714285</v>
      </c>
      <c r="I43" s="506">
        <f t="shared" ref="I43:I44" si="36">H43*C43</f>
        <v>345.59698320000001</v>
      </c>
      <c r="J43" s="678">
        <f t="shared" ref="J43:J44" si="37">+E43-I43</f>
        <v>-225.12187485648002</v>
      </c>
      <c r="K43" s="642"/>
      <c r="L43" s="580">
        <f t="shared" si="25"/>
        <v>0.27169900000000002</v>
      </c>
      <c r="M43" s="642"/>
      <c r="N43" s="506">
        <f t="shared" ref="N43:N44" si="38">+J43*L43</f>
        <v>-61.165388276630772</v>
      </c>
      <c r="O43" s="506">
        <f t="shared" ref="O43:O44" si="39">N43/2</f>
        <v>-30.582694138315386</v>
      </c>
      <c r="Q43" s="75">
        <f>1+Q42</f>
        <v>38</v>
      </c>
      <c r="R43" s="14" t="str">
        <f t="shared" si="26"/>
        <v>R</v>
      </c>
      <c r="S43" s="1234">
        <f t="shared" si="26"/>
        <v>4.2999999999999997E-2</v>
      </c>
      <c r="T43" s="1234">
        <f t="shared" si="26"/>
        <v>6.6000000000000003E-2</v>
      </c>
      <c r="U43" s="1234">
        <f t="shared" si="26"/>
        <v>4.9000000000000002E-2</v>
      </c>
      <c r="V43" s="1235">
        <f t="shared" si="27"/>
        <v>4.9000000000000002E-2</v>
      </c>
      <c r="W43" s="75">
        <f>1+W42</f>
        <v>38</v>
      </c>
      <c r="X43" s="1509">
        <f>'Sched D-2'!I35</f>
        <v>4814.3728000000065</v>
      </c>
      <c r="Y43" s="1509">
        <f>'Sched D-2'!J35</f>
        <v>44556.624799999991</v>
      </c>
      <c r="Z43" s="937">
        <f t="shared" si="12"/>
        <v>49370.997599999995</v>
      </c>
      <c r="AA43" s="506"/>
      <c r="AB43" s="75">
        <f>1+AB42</f>
        <v>38</v>
      </c>
      <c r="AC43" s="960"/>
      <c r="AD43" s="960"/>
      <c r="AE43" s="937">
        <f t="shared" si="13"/>
        <v>0</v>
      </c>
      <c r="AF43" s="62"/>
      <c r="AG43" s="75">
        <f>1+AG42</f>
        <v>38</v>
      </c>
      <c r="AH43" s="928"/>
      <c r="AI43" s="928"/>
      <c r="AJ43" s="937">
        <f t="shared" si="14"/>
        <v>0</v>
      </c>
    </row>
    <row r="44" spans="1:36">
      <c r="A44" s="909">
        <f t="shared" si="4"/>
        <v>37</v>
      </c>
      <c r="B44" s="469">
        <f>'Sched D-2'!B37</f>
        <v>391.03</v>
      </c>
      <c r="C44" s="768">
        <f t="shared" si="23"/>
        <v>2419.1788824</v>
      </c>
      <c r="D44" s="674">
        <f>IFERROR(VLOOKUP(B44,'Sched J-1'!B:K,10,FALSE),0)</f>
        <v>0.19769999999999999</v>
      </c>
      <c r="E44" s="506">
        <f t="shared" si="34"/>
        <v>478.27166505047995</v>
      </c>
      <c r="F44" s="506">
        <f t="shared" si="35"/>
        <v>239.13583252523998</v>
      </c>
      <c r="G44" s="829" t="str">
        <f>VLOOKUP(B44,'Sched M-2'!$B$11:$H$50,6,FALSE)</f>
        <v>5 Yr HYC</v>
      </c>
      <c r="H44" s="829">
        <f>VLOOKUP(B44,'Sched M-2'!$B$11:$H$50,7,FALSE)</f>
        <v>0.2</v>
      </c>
      <c r="I44" s="506">
        <f t="shared" si="36"/>
        <v>483.83577648000005</v>
      </c>
      <c r="J44" s="678">
        <f t="shared" si="37"/>
        <v>-5.5641114295200964</v>
      </c>
      <c r="K44" s="642"/>
      <c r="L44" s="580">
        <f t="shared" si="25"/>
        <v>0.27169900000000002</v>
      </c>
      <c r="M44" s="642"/>
      <c r="N44" s="506">
        <f t="shared" si="38"/>
        <v>-1.5117635112891807</v>
      </c>
      <c r="O44" s="506">
        <f t="shared" si="39"/>
        <v>-0.75588175564459037</v>
      </c>
      <c r="Q44" s="75">
        <f t="shared" si="17"/>
        <v>39</v>
      </c>
      <c r="R44" s="14" t="str">
        <f t="shared" si="26"/>
        <v>R</v>
      </c>
      <c r="S44" s="1234">
        <f t="shared" si="26"/>
        <v>4.2999999999999997E-2</v>
      </c>
      <c r="T44" s="1234">
        <f t="shared" si="26"/>
        <v>6.6000000000000003E-2</v>
      </c>
      <c r="U44" s="1234">
        <f t="shared" si="26"/>
        <v>4.9000000000000002E-2</v>
      </c>
      <c r="V44" s="1235">
        <f t="shared" si="27"/>
        <v>4.9000000000000002E-2</v>
      </c>
      <c r="W44" s="75">
        <f t="shared" si="20"/>
        <v>39</v>
      </c>
      <c r="X44" s="1509">
        <f>'Sched D-2'!I37</f>
        <v>4814.3728000000065</v>
      </c>
      <c r="Y44" s="1509">
        <f>'Sched D-2'!J37</f>
        <v>44556.624799999991</v>
      </c>
      <c r="Z44" s="937">
        <f t="shared" si="12"/>
        <v>49370.997599999995</v>
      </c>
      <c r="AA44" s="506"/>
      <c r="AB44" s="75">
        <f t="shared" ref="AB44" si="40">1+AB43</f>
        <v>39</v>
      </c>
      <c r="AC44" s="960"/>
      <c r="AD44" s="960"/>
      <c r="AE44" s="937">
        <f t="shared" si="13"/>
        <v>0</v>
      </c>
      <c r="AF44" s="62"/>
      <c r="AG44" s="75">
        <f t="shared" si="33"/>
        <v>39</v>
      </c>
      <c r="AH44" s="928"/>
      <c r="AI44" s="928"/>
      <c r="AJ44" s="937">
        <f t="shared" si="14"/>
        <v>0</v>
      </c>
    </row>
    <row r="45" spans="1:36">
      <c r="A45" s="909">
        <f t="shared" si="4"/>
        <v>38</v>
      </c>
      <c r="B45" s="469">
        <f>'Sched D-2'!B38</f>
        <v>391.04</v>
      </c>
      <c r="C45" s="768">
        <f t="shared" si="23"/>
        <v>26692.57948</v>
      </c>
      <c r="D45" s="674">
        <f>IFERROR(VLOOKUP(B45,'Sched J-1'!B:K,10,FALSE),0)</f>
        <v>1.8E-3</v>
      </c>
      <c r="E45" s="506">
        <f>D45*C45</f>
        <v>48.046643064000001</v>
      </c>
      <c r="F45" s="506">
        <f>E45/2</f>
        <v>24.023321532000001</v>
      </c>
      <c r="G45" s="829" t="str">
        <f>VLOOKUP(B45,'Sched M-2'!$B$11:$H$50,6,FALSE)</f>
        <v>3 Yr SL</v>
      </c>
      <c r="H45" s="829">
        <f>VLOOKUP(B45,'Sched M-2'!$B$11:$H$50,7,FALSE)</f>
        <v>0.16666666666666666</v>
      </c>
      <c r="I45" s="506">
        <f>H45*C45</f>
        <v>4448.7632466666664</v>
      </c>
      <c r="J45" s="678">
        <f>+E45-I45</f>
        <v>-4400.7166036026665</v>
      </c>
      <c r="K45" s="642"/>
      <c r="L45" s="580">
        <f t="shared" si="25"/>
        <v>0.27169900000000002</v>
      </c>
      <c r="M45" s="642"/>
      <c r="N45" s="506">
        <f>+J45*L45</f>
        <v>-1195.6703004822409</v>
      </c>
      <c r="O45" s="506">
        <f>N45/2</f>
        <v>-597.83515024112046</v>
      </c>
      <c r="Q45" s="75">
        <f t="shared" si="17"/>
        <v>40</v>
      </c>
      <c r="R45" s="23" t="s">
        <v>633</v>
      </c>
      <c r="S45" s="1234">
        <f>S17</f>
        <v>4.2999999999999997E-2</v>
      </c>
      <c r="T45" s="1234">
        <f>T17</f>
        <v>6.6000000000000003E-2</v>
      </c>
      <c r="U45" s="1234">
        <f>U17</f>
        <v>4.9000000000000002E-2</v>
      </c>
      <c r="V45" s="1235">
        <f t="shared" si="27"/>
        <v>4.9000000000000002E-2</v>
      </c>
      <c r="W45" s="75">
        <f t="shared" si="20"/>
        <v>40</v>
      </c>
      <c r="X45" s="1509">
        <f>'Sched D-2'!I38</f>
        <v>0</v>
      </c>
      <c r="Y45" s="1509">
        <f>'Sched D-2'!J38</f>
        <v>544746.52</v>
      </c>
      <c r="Z45" s="937">
        <f t="shared" si="12"/>
        <v>544746.52</v>
      </c>
      <c r="AA45" s="506"/>
      <c r="AB45" s="82"/>
      <c r="AC45" s="82"/>
      <c r="AD45" s="82"/>
      <c r="AE45" s="506"/>
      <c r="AG45" s="82"/>
      <c r="AJ45" s="506"/>
    </row>
    <row r="46" spans="1:36">
      <c r="A46" s="909">
        <f t="shared" si="4"/>
        <v>39</v>
      </c>
      <c r="B46" s="469">
        <f>'Sched D-2'!B43</f>
        <v>392.03</v>
      </c>
      <c r="C46" s="768">
        <f t="shared" si="23"/>
        <v>592922.64950562001</v>
      </c>
      <c r="D46" s="674">
        <f>IFERROR(VLOOKUP(B46,'Sched J-1'!B:K,10,FALSE),0)</f>
        <v>7.0000000000000007E-2</v>
      </c>
      <c r="E46" s="506">
        <f t="shared" ref="E46:E49" si="41">D46*C46</f>
        <v>41504.585465393408</v>
      </c>
      <c r="F46" s="833">
        <f>E46/2</f>
        <v>20752.292732696704</v>
      </c>
      <c r="G46" s="829" t="str">
        <f>VLOOKUP(B46,'Sched M-2'!$B$11:$H$50,6,FALSE)</f>
        <v>5 Yr HYC</v>
      </c>
      <c r="H46" s="829">
        <f>VLOOKUP(B46,'Sched M-2'!$B$11:$H$50,7,FALSE)</f>
        <v>0.2</v>
      </c>
      <c r="I46" s="506">
        <f t="shared" ref="I46:I49" si="42">H46*C46</f>
        <v>118584.52990112401</v>
      </c>
      <c r="J46" s="678">
        <f t="shared" ref="J46:J49" si="43">+E46-I46</f>
        <v>-77079.944435730606</v>
      </c>
      <c r="K46" s="642"/>
      <c r="L46" s="580">
        <f t="shared" si="25"/>
        <v>0.27169900000000002</v>
      </c>
      <c r="M46" s="642"/>
      <c r="N46" s="506">
        <f t="shared" ref="N46:N49" si="44">+J46*L46</f>
        <v>-20942.54382324357</v>
      </c>
      <c r="O46" s="506">
        <f t="shared" ref="O46:O49" si="45">N46/2</f>
        <v>-10471.271911621785</v>
      </c>
      <c r="Q46" s="75">
        <f t="shared" si="17"/>
        <v>41</v>
      </c>
      <c r="R46" s="14" t="str">
        <f t="shared" ref="R46:U49" si="46">R21</f>
        <v>M</v>
      </c>
      <c r="S46" s="1234">
        <f t="shared" si="46"/>
        <v>0.17299999999999999</v>
      </c>
      <c r="T46" s="1234">
        <f t="shared" si="46"/>
        <v>0.115</v>
      </c>
      <c r="U46" s="1234">
        <f t="shared" si="46"/>
        <v>0.14000000000000001</v>
      </c>
      <c r="V46" s="1235">
        <f t="shared" si="27"/>
        <v>0.14000000000000001</v>
      </c>
      <c r="W46" s="75">
        <f t="shared" si="20"/>
        <v>41</v>
      </c>
      <c r="X46" s="1509">
        <f>'Sched D-2'!I43</f>
        <v>1319056.848951</v>
      </c>
      <c r="Y46" s="1509">
        <f>'Sched D-2'!J43</f>
        <v>2916104.9332320001</v>
      </c>
      <c r="Z46" s="937">
        <f t="shared" si="12"/>
        <v>4235161.7821829999</v>
      </c>
      <c r="AA46" s="506"/>
      <c r="AB46" s="82"/>
      <c r="AC46" s="82"/>
      <c r="AD46" s="82"/>
      <c r="AE46" s="506"/>
      <c r="AG46" s="82"/>
      <c r="AJ46" s="506"/>
    </row>
    <row r="47" spans="1:36">
      <c r="A47" s="909">
        <f t="shared" si="4"/>
        <v>40</v>
      </c>
      <c r="B47" s="469">
        <f>'Sched D-2'!B44</f>
        <v>392.04</v>
      </c>
      <c r="C47" s="768">
        <f t="shared" si="23"/>
        <v>193694.08097214001</v>
      </c>
      <c r="D47" s="674">
        <f>IFERROR(VLOOKUP(B47,'Sched J-1'!B:K,10,FALSE),0)</f>
        <v>0.12559999999999999</v>
      </c>
      <c r="E47" s="506">
        <f t="shared" si="41"/>
        <v>24327.976570100785</v>
      </c>
      <c r="F47" s="506">
        <f t="shared" ref="F47:F49" si="47">E47/2</f>
        <v>12163.988285050393</v>
      </c>
      <c r="G47" s="829" t="str">
        <f>VLOOKUP(B47,'Sched M-2'!$B$11:$H$50,6,FALSE)</f>
        <v>5 Yr HYC</v>
      </c>
      <c r="H47" s="829">
        <f>VLOOKUP(B47,'Sched M-2'!$B$11:$H$50,7,FALSE)</f>
        <v>0.2</v>
      </c>
      <c r="I47" s="506">
        <f t="shared" si="42"/>
        <v>38738.816194428007</v>
      </c>
      <c r="J47" s="678">
        <f t="shared" si="43"/>
        <v>-14410.839624327222</v>
      </c>
      <c r="K47" s="642"/>
      <c r="L47" s="580">
        <f t="shared" si="25"/>
        <v>0.27169900000000002</v>
      </c>
      <c r="M47" s="642"/>
      <c r="N47" s="506">
        <f t="shared" si="44"/>
        <v>-3915.4107150900822</v>
      </c>
      <c r="O47" s="506">
        <f t="shared" si="45"/>
        <v>-1957.7053575450411</v>
      </c>
      <c r="Q47" s="75">
        <f t="shared" si="17"/>
        <v>42</v>
      </c>
      <c r="R47" s="14" t="str">
        <f t="shared" si="46"/>
        <v>M</v>
      </c>
      <c r="S47" s="1234">
        <f t="shared" si="46"/>
        <v>0.17299999999999999</v>
      </c>
      <c r="T47" s="1234">
        <f t="shared" si="46"/>
        <v>0.115</v>
      </c>
      <c r="U47" s="1234">
        <f t="shared" si="46"/>
        <v>0.14000000000000001</v>
      </c>
      <c r="V47" s="1235">
        <f t="shared" si="27"/>
        <v>0.14000000000000001</v>
      </c>
      <c r="W47" s="75">
        <f t="shared" si="20"/>
        <v>42</v>
      </c>
      <c r="X47" s="1509">
        <f>'Sched D-2'!I44</f>
        <v>588160.32303299988</v>
      </c>
      <c r="Y47" s="1509">
        <f>'Sched D-2'!J44</f>
        <v>795368.82676800003</v>
      </c>
      <c r="Z47" s="937">
        <f t="shared" si="12"/>
        <v>1383529.149801</v>
      </c>
      <c r="AA47" s="506"/>
      <c r="AB47" s="82"/>
      <c r="AC47" s="82"/>
      <c r="AD47" s="82"/>
      <c r="AE47" s="506"/>
      <c r="AG47" s="82"/>
      <c r="AJ47" s="506"/>
    </row>
    <row r="48" spans="1:36">
      <c r="A48" s="909">
        <f t="shared" si="4"/>
        <v>41</v>
      </c>
      <c r="B48" s="469">
        <f>'Sched D-2'!B45</f>
        <v>392.05</v>
      </c>
      <c r="C48" s="768">
        <f t="shared" si="23"/>
        <v>38074.609722239991</v>
      </c>
      <c r="D48" s="674">
        <f>IFERROR(VLOOKUP(B48,'Sched J-1'!B:K,10,FALSE),0)</f>
        <v>4.7600000000000003E-2</v>
      </c>
      <c r="E48" s="506">
        <f t="shared" si="41"/>
        <v>1812.3514227786236</v>
      </c>
      <c r="F48" s="833">
        <f>E48/2</f>
        <v>906.1757113893118</v>
      </c>
      <c r="G48" s="829" t="str">
        <f>VLOOKUP(B48,'Sched M-2'!$B$11:$H$50,6,FALSE)</f>
        <v>5 Yr HYC</v>
      </c>
      <c r="H48" s="829">
        <f>VLOOKUP(B48,'Sched M-2'!$B$11:$H$50,7,FALSE)</f>
        <v>0.2</v>
      </c>
      <c r="I48" s="506">
        <f t="shared" si="42"/>
        <v>7614.9219444479986</v>
      </c>
      <c r="J48" s="678">
        <f>+E48-I48</f>
        <v>-5802.570521669375</v>
      </c>
      <c r="K48" s="642"/>
      <c r="L48" s="580">
        <f t="shared" si="25"/>
        <v>0.27169900000000002</v>
      </c>
      <c r="M48" s="642"/>
      <c r="N48" s="506">
        <f t="shared" si="44"/>
        <v>-1576.5526081670478</v>
      </c>
      <c r="O48" s="506">
        <f t="shared" si="45"/>
        <v>-788.27630408352388</v>
      </c>
      <c r="Q48" s="75">
        <f t="shared" si="17"/>
        <v>43</v>
      </c>
      <c r="R48" s="14" t="str">
        <f t="shared" si="46"/>
        <v>M</v>
      </c>
      <c r="S48" s="1234">
        <f t="shared" si="46"/>
        <v>0.17299999999999999</v>
      </c>
      <c r="T48" s="1234">
        <f t="shared" si="46"/>
        <v>0.115</v>
      </c>
      <c r="U48" s="1234">
        <f t="shared" si="46"/>
        <v>0.14000000000000001</v>
      </c>
      <c r="V48" s="1235">
        <f t="shared" si="27"/>
        <v>0.14000000000000001</v>
      </c>
      <c r="W48" s="75">
        <f t="shared" si="20"/>
        <v>43</v>
      </c>
      <c r="X48" s="1509">
        <f>'Sched D-2'!I45</f>
        <v>271961.49801599991</v>
      </c>
      <c r="Y48" s="1509">
        <f>'Sched D-2'!J45</f>
        <v>0</v>
      </c>
      <c r="Z48" s="937">
        <f t="shared" si="12"/>
        <v>271961.49801599991</v>
      </c>
      <c r="AA48" s="506"/>
      <c r="AB48" s="82"/>
      <c r="AC48" s="82"/>
      <c r="AD48" s="82"/>
      <c r="AE48" s="506"/>
      <c r="AG48" s="82"/>
      <c r="AJ48" s="506"/>
    </row>
    <row r="49" spans="1:36">
      <c r="A49" s="909">
        <f t="shared" si="4"/>
        <v>42</v>
      </c>
      <c r="B49" s="469">
        <f>'Sched D-2'!B46</f>
        <v>392.06</v>
      </c>
      <c r="C49" s="768">
        <f t="shared" si="23"/>
        <v>37072.170233280005</v>
      </c>
      <c r="D49" s="674">
        <f>IFERROR(VLOOKUP(B49,'Sched J-1'!B:K,10,FALSE),0)</f>
        <v>6.59E-2</v>
      </c>
      <c r="E49" s="506">
        <f t="shared" si="41"/>
        <v>2443.0560183731523</v>
      </c>
      <c r="F49" s="506">
        <f t="shared" si="47"/>
        <v>1221.5280091865761</v>
      </c>
      <c r="G49" s="829" t="str">
        <f>VLOOKUP(B49,'Sched M-2'!$B$11:$H$50,6,FALSE)</f>
        <v>5 Yr HYC</v>
      </c>
      <c r="H49" s="829">
        <f>VLOOKUP(B49,'Sched M-2'!$B$11:$H$50,7,FALSE)</f>
        <v>0.2</v>
      </c>
      <c r="I49" s="506">
        <f t="shared" si="42"/>
        <v>7414.4340466560016</v>
      </c>
      <c r="J49" s="678">
        <f t="shared" si="43"/>
        <v>-4971.3780282828493</v>
      </c>
      <c r="K49" s="642"/>
      <c r="L49" s="580">
        <f t="shared" si="25"/>
        <v>0.27169900000000002</v>
      </c>
      <c r="M49" s="642"/>
      <c r="N49" s="506">
        <f t="shared" si="44"/>
        <v>-1350.7184389064221</v>
      </c>
      <c r="O49" s="506">
        <f t="shared" si="45"/>
        <v>-675.35921945321104</v>
      </c>
      <c r="Q49" s="75">
        <f t="shared" si="17"/>
        <v>44</v>
      </c>
      <c r="R49" s="14" t="str">
        <f t="shared" si="46"/>
        <v>M</v>
      </c>
      <c r="S49" s="1234">
        <f t="shared" si="46"/>
        <v>0.17299999999999999</v>
      </c>
      <c r="T49" s="1234">
        <f t="shared" si="46"/>
        <v>0.115</v>
      </c>
      <c r="U49" s="1234">
        <f t="shared" si="46"/>
        <v>0.14000000000000001</v>
      </c>
      <c r="V49" s="1235">
        <f t="shared" si="27"/>
        <v>0.14000000000000001</v>
      </c>
      <c r="W49" s="75">
        <f t="shared" si="20"/>
        <v>44</v>
      </c>
      <c r="X49" s="1509">
        <f>'Sched D-2'!I46</f>
        <v>117855.93601599999</v>
      </c>
      <c r="Y49" s="1509">
        <f>'Sched D-2'!J46</f>
        <v>146945.27993600001</v>
      </c>
      <c r="Z49" s="937">
        <f t="shared" si="12"/>
        <v>264801.215952</v>
      </c>
      <c r="AA49" s="506"/>
      <c r="AB49" s="82"/>
      <c r="AC49" s="82"/>
      <c r="AD49" s="82"/>
      <c r="AE49" s="506"/>
      <c r="AG49" s="82"/>
      <c r="AJ49" s="506"/>
    </row>
    <row r="50" spans="1:36">
      <c r="A50" s="909">
        <f t="shared" si="4"/>
        <v>43</v>
      </c>
      <c r="B50" s="469">
        <f>'Sched D-2'!B48</f>
        <v>394</v>
      </c>
      <c r="C50" s="771">
        <f t="shared" si="23"/>
        <v>316636.14603835205</v>
      </c>
      <c r="D50" s="674">
        <f>IFERROR(VLOOKUP(B50,'Sched J-1'!B:K,10,FALSE),0)</f>
        <v>3.95E-2</v>
      </c>
      <c r="E50" s="673">
        <f>D50*C50</f>
        <v>12507.127768514905</v>
      </c>
      <c r="F50" s="673">
        <f>E50/2</f>
        <v>6253.5638842574526</v>
      </c>
      <c r="G50" s="829" t="str">
        <f>VLOOKUP(B50,'Sched M-2'!$B$11:$H$50,6,FALSE)</f>
        <v>7 Yr HYC</v>
      </c>
      <c r="H50" s="829">
        <f>VLOOKUP(B50,'Sched M-2'!$B$11:$H$50,7,FALSE)</f>
        <v>0.14285714285714285</v>
      </c>
      <c r="I50" s="673">
        <f>H50*C50</f>
        <v>45233.735148336003</v>
      </c>
      <c r="J50" s="679">
        <f>+E50-I50</f>
        <v>-32726.6073798211</v>
      </c>
      <c r="K50" s="14"/>
      <c r="L50" s="580">
        <f t="shared" si="25"/>
        <v>0.27169900000000002</v>
      </c>
      <c r="M50" s="14"/>
      <c r="N50" s="673">
        <f>+J50*L50</f>
        <v>-8891.7864984900134</v>
      </c>
      <c r="O50" s="673">
        <f>N50/2</f>
        <v>-4445.8932492450067</v>
      </c>
      <c r="Q50" s="75">
        <f t="shared" si="17"/>
        <v>45</v>
      </c>
      <c r="R50" s="14" t="str">
        <f>R26</f>
        <v>R</v>
      </c>
      <c r="S50" s="928">
        <f>S26</f>
        <v>4.2999999999999997E-2</v>
      </c>
      <c r="T50" s="928">
        <f>T26</f>
        <v>6.6000000000000003E-2</v>
      </c>
      <c r="U50" s="928">
        <f>U26</f>
        <v>4.9000000000000002E-2</v>
      </c>
      <c r="V50" s="1235">
        <f t="shared" si="27"/>
        <v>4.9000000000000002E-2</v>
      </c>
      <c r="W50" s="75">
        <f t="shared" si="20"/>
        <v>45</v>
      </c>
      <c r="X50" s="1509">
        <f>'Sched D-2'!I48</f>
        <v>2381676.9739840007</v>
      </c>
      <c r="Y50" s="1509">
        <f>'Sched D-2'!J48</f>
        <v>4080285.190064</v>
      </c>
      <c r="Z50" s="937">
        <f t="shared" si="12"/>
        <v>6461962.1640480012</v>
      </c>
      <c r="AA50" s="506"/>
      <c r="AB50" s="82"/>
      <c r="AC50" s="82"/>
      <c r="AD50" s="82"/>
      <c r="AE50" s="506"/>
      <c r="AG50" s="82"/>
      <c r="AJ50" s="506"/>
    </row>
    <row r="51" spans="1:36">
      <c r="A51" s="909">
        <f t="shared" si="4"/>
        <v>44</v>
      </c>
      <c r="B51" s="41" t="s">
        <v>683</v>
      </c>
      <c r="C51" s="577">
        <f>SUM(C40:C50)</f>
        <v>1439752.5875444319</v>
      </c>
      <c r="D51" s="577"/>
      <c r="E51" s="577">
        <f>SUM(E40:E50)</f>
        <v>89297.579240042556</v>
      </c>
      <c r="F51" s="577">
        <f>SUM(F40:F50)</f>
        <v>44648.789620021278</v>
      </c>
      <c r="G51" s="577"/>
      <c r="H51" s="577"/>
      <c r="I51" s="577">
        <f>SUM(I40:I50)</f>
        <v>225691.29861469017</v>
      </c>
      <c r="J51" s="577">
        <f>SUM(J40:J50)</f>
        <v>-136393.7193746476</v>
      </c>
      <c r="K51" s="577"/>
      <c r="L51" s="577"/>
      <c r="M51" s="577"/>
      <c r="N51" s="577">
        <f>SUM(N40:N50)</f>
        <v>-37058.037160372376</v>
      </c>
      <c r="O51" s="577">
        <f>SUM(O40:O50)</f>
        <v>-18529.018580186188</v>
      </c>
      <c r="P51" s="576"/>
      <c r="Q51" s="75"/>
      <c r="U51" s="580"/>
      <c r="W51" s="82"/>
      <c r="Z51" s="506"/>
      <c r="AA51" s="506"/>
      <c r="AB51" s="82"/>
      <c r="AC51" s="82"/>
      <c r="AD51" s="82"/>
      <c r="AE51" s="506"/>
      <c r="AG51" s="82"/>
      <c r="AJ51" s="506"/>
    </row>
    <row r="52" spans="1:36">
      <c r="A52" s="909">
        <f t="shared" si="4"/>
        <v>45</v>
      </c>
      <c r="B52" s="41"/>
      <c r="C52" s="577"/>
      <c r="D52" s="677"/>
      <c r="E52" s="577"/>
      <c r="F52" s="577"/>
      <c r="G52" s="575"/>
      <c r="H52" s="575"/>
      <c r="I52" s="577"/>
      <c r="K52" s="576"/>
      <c r="L52" s="575"/>
      <c r="M52" s="576"/>
      <c r="N52" s="577"/>
      <c r="O52" s="577"/>
      <c r="P52" s="576"/>
      <c r="Q52" s="75"/>
      <c r="W52" s="82"/>
      <c r="Z52" s="506"/>
      <c r="AA52" s="506"/>
      <c r="AB52" s="82"/>
      <c r="AE52" s="506"/>
      <c r="AG52" s="82"/>
      <c r="AJ52" s="506"/>
    </row>
    <row r="53" spans="1:36">
      <c r="A53" s="909">
        <f t="shared" si="4"/>
        <v>46</v>
      </c>
      <c r="B53" s="23" t="s">
        <v>910</v>
      </c>
      <c r="C53" s="14"/>
      <c r="D53" s="14"/>
      <c r="E53" s="14"/>
      <c r="F53" s="14"/>
      <c r="G53" s="14"/>
      <c r="H53" s="14"/>
      <c r="I53" s="14"/>
      <c r="K53" s="14"/>
      <c r="L53" s="14"/>
      <c r="M53" s="14"/>
      <c r="N53" s="14"/>
      <c r="O53" s="14"/>
      <c r="Q53" s="75"/>
      <c r="W53" s="82"/>
      <c r="Z53" s="506"/>
      <c r="AA53" s="506"/>
      <c r="AB53" s="82"/>
      <c r="AE53" s="506"/>
      <c r="AG53" s="82"/>
      <c r="AJ53" s="506"/>
    </row>
    <row r="54" spans="1:36">
      <c r="A54" s="348"/>
      <c r="B54" s="8"/>
      <c r="Q54" s="75"/>
      <c r="W54" s="82"/>
      <c r="Z54" s="506"/>
      <c r="AA54" s="506"/>
      <c r="AB54" s="82"/>
      <c r="AE54" s="506"/>
      <c r="AG54" s="82"/>
      <c r="AJ54" s="506"/>
    </row>
    <row r="55" spans="1:36">
      <c r="W55" s="82"/>
      <c r="Z55" s="506"/>
      <c r="AA55" s="506"/>
      <c r="AB55" s="82"/>
      <c r="AE55" s="506"/>
      <c r="AG55" s="82"/>
      <c r="AJ55" s="506"/>
    </row>
    <row r="56" spans="1:36">
      <c r="B56" s="927"/>
      <c r="W56" s="82"/>
      <c r="Z56" s="506"/>
      <c r="AA56" s="506"/>
      <c r="AB56" s="82"/>
      <c r="AE56" s="506"/>
      <c r="AG56" s="82"/>
      <c r="AJ56" s="506"/>
    </row>
    <row r="57" spans="1:36">
      <c r="W57" s="82"/>
      <c r="Z57" s="506"/>
      <c r="AA57" s="506"/>
      <c r="AB57" s="82"/>
      <c r="AE57" s="506"/>
      <c r="AG57" s="82"/>
      <c r="AJ57" s="506"/>
    </row>
    <row r="58" spans="1:36">
      <c r="W58" s="82"/>
      <c r="Z58" s="506"/>
      <c r="AA58" s="506"/>
      <c r="AB58" s="82"/>
      <c r="AE58" s="506"/>
      <c r="AG58" s="82"/>
      <c r="AJ58" s="506"/>
    </row>
    <row r="59" spans="1:36">
      <c r="W59" s="82"/>
      <c r="Z59" s="506"/>
      <c r="AA59" s="506"/>
      <c r="AB59" s="82"/>
      <c r="AE59" s="506"/>
      <c r="AG59" s="82"/>
      <c r="AJ59" s="506"/>
    </row>
    <row r="60" spans="1:36">
      <c r="W60" s="82"/>
      <c r="Z60" s="506"/>
      <c r="AA60" s="506"/>
      <c r="AB60" s="82"/>
      <c r="AE60" s="506"/>
      <c r="AG60" s="82"/>
      <c r="AJ60" s="506"/>
    </row>
    <row r="61" spans="1:36">
      <c r="W61" s="82"/>
      <c r="Z61" s="506"/>
      <c r="AA61" s="506"/>
      <c r="AB61" s="82"/>
      <c r="AE61" s="506"/>
      <c r="AG61" s="82"/>
      <c r="AJ61" s="506"/>
    </row>
    <row r="62" spans="1:36">
      <c r="W62" s="82"/>
      <c r="Z62" s="506"/>
      <c r="AA62" s="506"/>
      <c r="AB62" s="82"/>
      <c r="AE62" s="506"/>
      <c r="AG62" s="82"/>
      <c r="AJ62" s="506"/>
    </row>
    <row r="63" spans="1:36">
      <c r="W63" s="82"/>
      <c r="Z63" s="506"/>
      <c r="AA63" s="506"/>
      <c r="AB63" s="82"/>
      <c r="AE63" s="506"/>
      <c r="AG63" s="82"/>
      <c r="AJ63" s="506"/>
    </row>
    <row r="64" spans="1:36">
      <c r="W64" s="82"/>
      <c r="Z64" s="506"/>
      <c r="AA64" s="506"/>
      <c r="AB64" s="82"/>
      <c r="AG64" s="82"/>
    </row>
  </sheetData>
  <printOptions horizontalCentered="1"/>
  <pageMargins left="0.25" right="0.25" top="0.75" bottom="0.5" header="0.3" footer="0.3"/>
  <pageSetup scale="70" orientation="landscape" verticalDpi="300"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D7896-3343-4A71-AEB5-B01521261DB1}">
  <sheetPr>
    <pageSetUpPr fitToPage="1"/>
  </sheetPr>
  <dimension ref="A1:F15"/>
  <sheetViews>
    <sheetView workbookViewId="0"/>
  </sheetViews>
  <sheetFormatPr defaultColWidth="9.33203125" defaultRowHeight="12.75"/>
  <cols>
    <col min="1" max="1" width="6.83203125" style="8" customWidth="1"/>
    <col min="2" max="2" width="3.33203125" style="8" customWidth="1"/>
    <col min="3" max="3" width="32.33203125" style="8" customWidth="1"/>
    <col min="4" max="4" width="31.33203125" style="8" customWidth="1"/>
    <col min="5" max="5" width="20.6640625" style="8" customWidth="1"/>
    <col min="6" max="6" width="11.6640625" style="8" customWidth="1"/>
    <col min="7" max="7" width="5.33203125" style="66" customWidth="1"/>
    <col min="8" max="8" width="10" style="66" customWidth="1"/>
    <col min="9" max="16384" width="9.33203125" style="66"/>
  </cols>
  <sheetData>
    <row r="1" spans="1:6">
      <c r="A1" s="25" t="str">
        <f>Company</f>
        <v>BLACK HILLS NEBRASKA GAS, LLC</v>
      </c>
      <c r="B1" s="85"/>
      <c r="C1" s="85"/>
      <c r="D1" s="85"/>
      <c r="E1" s="615" t="str">
        <f>Attach</f>
        <v>FINAL - BH January 15, 2021 Rev. Req. Model</v>
      </c>
      <c r="F1" s="66"/>
    </row>
    <row r="2" spans="1:6" ht="12.75" customHeight="1">
      <c r="A2" s="30" t="s">
        <v>1541</v>
      </c>
      <c r="B2" s="85"/>
      <c r="C2" s="85"/>
      <c r="D2" s="85"/>
      <c r="E2" s="343" t="s">
        <v>1540</v>
      </c>
      <c r="F2" s="85"/>
    </row>
    <row r="3" spans="1:6" ht="12.75" customHeight="1">
      <c r="A3" s="70" t="str">
        <f>TYEnded</f>
        <v>FOR THE TEST YEAR ENDING DECEMBER 31, 2020</v>
      </c>
      <c r="B3" s="85"/>
      <c r="C3" s="85"/>
      <c r="D3" s="85"/>
      <c r="E3" s="85"/>
      <c r="F3" s="85"/>
    </row>
    <row r="4" spans="1:6">
      <c r="A4" s="1613"/>
      <c r="B4" s="23"/>
      <c r="C4" s="23"/>
      <c r="D4" s="85"/>
      <c r="E4" s="23"/>
    </row>
    <row r="5" spans="1:6">
      <c r="A5" s="1613"/>
      <c r="B5" s="20"/>
      <c r="C5" s="20"/>
      <c r="D5" s="20"/>
    </row>
    <row r="6" spans="1:6">
      <c r="A6" s="20"/>
      <c r="B6" s="20"/>
      <c r="C6" s="20"/>
      <c r="D6" s="20"/>
      <c r="E6" s="1613" t="s">
        <v>199</v>
      </c>
    </row>
    <row r="7" spans="1:6">
      <c r="A7" s="20"/>
      <c r="B7" s="20"/>
      <c r="C7" s="20"/>
      <c r="D7" s="20"/>
      <c r="E7" s="1613"/>
    </row>
    <row r="8" spans="1:6">
      <c r="A8" s="1613" t="s">
        <v>59</v>
      </c>
      <c r="B8" s="616"/>
      <c r="C8" s="616"/>
      <c r="D8" s="616"/>
      <c r="E8" s="364" t="s">
        <v>12</v>
      </c>
      <c r="F8" s="159"/>
    </row>
    <row r="9" spans="1:6">
      <c r="A9" s="362" t="s">
        <v>195</v>
      </c>
      <c r="B9" s="617"/>
      <c r="C9" s="617" t="s">
        <v>1542</v>
      </c>
      <c r="D9" s="378" t="s">
        <v>285</v>
      </c>
      <c r="E9" s="362" t="s">
        <v>229</v>
      </c>
      <c r="F9" s="159"/>
    </row>
    <row r="10" spans="1:6">
      <c r="A10" s="23"/>
      <c r="B10" s="23"/>
      <c r="C10" s="23"/>
      <c r="D10" s="249"/>
      <c r="E10" s="23"/>
    </row>
    <row r="11" spans="1:6">
      <c r="A11" s="103">
        <f t="shared" ref="A11:A15" si="0">A10+1</f>
        <v>1</v>
      </c>
      <c r="B11" s="23"/>
      <c r="C11" s="23" t="s">
        <v>1543</v>
      </c>
      <c r="D11" s="248" t="s">
        <v>1547</v>
      </c>
      <c r="E11" s="149">
        <v>64547</v>
      </c>
    </row>
    <row r="12" spans="1:6">
      <c r="A12" s="103">
        <f t="shared" si="0"/>
        <v>2</v>
      </c>
      <c r="B12" s="23"/>
      <c r="C12" s="41" t="s">
        <v>1544</v>
      </c>
      <c r="D12" s="1561" t="s">
        <v>1548</v>
      </c>
      <c r="E12" s="207">
        <v>596941</v>
      </c>
    </row>
    <row r="13" spans="1:6">
      <c r="A13" s="103">
        <f t="shared" si="0"/>
        <v>3</v>
      </c>
      <c r="B13" s="23"/>
      <c r="C13" s="41" t="s">
        <v>1545</v>
      </c>
      <c r="D13" s="1561" t="s">
        <v>1549</v>
      </c>
      <c r="E13" s="787">
        <v>-207515</v>
      </c>
    </row>
    <row r="14" spans="1:6">
      <c r="A14" s="103">
        <f t="shared" si="0"/>
        <v>4</v>
      </c>
      <c r="B14" s="879" t="s">
        <v>1546</v>
      </c>
      <c r="C14" s="41"/>
      <c r="D14" s="248"/>
      <c r="E14" s="149">
        <f>SUM(E11:E13)</f>
        <v>453973</v>
      </c>
    </row>
    <row r="15" spans="1:6">
      <c r="A15" s="103">
        <f t="shared" si="0"/>
        <v>5</v>
      </c>
      <c r="B15" s="23"/>
      <c r="C15" s="41"/>
      <c r="D15" s="248"/>
      <c r="E15" s="23"/>
    </row>
  </sheetData>
  <printOptions horizontalCentered="1"/>
  <pageMargins left="0.5" right="0.5" top="0.75" bottom="1" header="1" footer="0.5"/>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56">
    <pageSetUpPr fitToPage="1"/>
  </sheetPr>
  <dimension ref="A1:AE52"/>
  <sheetViews>
    <sheetView workbookViewId="0"/>
  </sheetViews>
  <sheetFormatPr defaultColWidth="9.33203125" defaultRowHeight="12.75"/>
  <cols>
    <col min="1" max="1" width="6.83203125" style="8" customWidth="1"/>
    <col min="2" max="3" width="3.33203125" style="8" customWidth="1"/>
    <col min="4" max="4" width="28.33203125" style="8" bestFit="1" customWidth="1"/>
    <col min="5" max="5" width="4" style="8" customWidth="1"/>
    <col min="6" max="6" width="7.83203125" style="8" customWidth="1"/>
    <col min="7" max="7" width="74.6640625" style="8" customWidth="1"/>
    <col min="8" max="8" width="3.33203125" style="126" customWidth="1"/>
    <col min="9" max="9" width="17.33203125" style="8" customWidth="1"/>
    <col min="10" max="10" width="3.33203125" style="8" customWidth="1"/>
    <col min="11" max="11" width="17.33203125" style="8" customWidth="1"/>
    <col min="12" max="12" width="3.33203125" style="8" customWidth="1"/>
    <col min="13" max="13" width="17.33203125" style="8" customWidth="1"/>
    <col min="14" max="14" width="6.33203125" style="66" customWidth="1"/>
    <col min="15" max="15" width="3.33203125" style="66" bestFit="1" customWidth="1"/>
    <col min="16" max="18" width="19.83203125" style="66" bestFit="1" customWidth="1"/>
    <col min="19" max="19" width="9.33203125" style="66"/>
    <col min="20" max="20" width="2.33203125" style="66" customWidth="1"/>
    <col min="21" max="21" width="2.6640625" style="66" customWidth="1"/>
    <col min="22" max="22" width="3.83203125" style="66" customWidth="1"/>
    <col min="23" max="25" width="14.83203125" style="66" customWidth="1"/>
    <col min="26" max="16384" width="9.33203125" style="66"/>
  </cols>
  <sheetData>
    <row r="1" spans="1:31" ht="12.75" customHeight="1">
      <c r="A1" s="69" t="str">
        <f>Company</f>
        <v>BLACK HILLS NEBRASKA GAS, LLC</v>
      </c>
      <c r="B1" s="85"/>
      <c r="C1" s="85"/>
      <c r="D1" s="85"/>
      <c r="E1" s="85"/>
      <c r="F1" s="85"/>
      <c r="G1" s="85"/>
      <c r="H1" s="85"/>
      <c r="I1" s="85"/>
      <c r="J1" s="85"/>
      <c r="K1" s="85"/>
      <c r="L1" s="85"/>
      <c r="M1" s="72" t="str">
        <f>Attach</f>
        <v>FINAL - BH January 15, 2021 Rev. Req. Model</v>
      </c>
    </row>
    <row r="2" spans="1:31" ht="12.75" customHeight="1">
      <c r="A2" s="30" t="s">
        <v>42</v>
      </c>
      <c r="B2" s="85"/>
      <c r="C2" s="85"/>
      <c r="D2" s="85"/>
      <c r="E2" s="85"/>
      <c r="F2" s="85"/>
      <c r="G2" s="85"/>
      <c r="H2" s="85"/>
      <c r="I2" s="85"/>
      <c r="J2" s="85"/>
      <c r="K2" s="471"/>
      <c r="L2" s="85"/>
      <c r="M2" s="56" t="s">
        <v>400</v>
      </c>
    </row>
    <row r="3" spans="1:31" ht="12.75" customHeight="1">
      <c r="A3" s="70" t="str">
        <f>TYEnded</f>
        <v>FOR THE TEST YEAR ENDING DECEMBER 31, 2020</v>
      </c>
      <c r="B3" s="85"/>
      <c r="C3" s="85"/>
      <c r="D3" s="85"/>
      <c r="E3" s="85"/>
      <c r="F3" s="85"/>
      <c r="G3" s="85"/>
      <c r="H3" s="85"/>
      <c r="I3" s="85"/>
      <c r="J3" s="85"/>
      <c r="K3" s="85"/>
      <c r="L3" s="85"/>
      <c r="M3" s="471"/>
    </row>
    <row r="4" spans="1:31">
      <c r="A4" s="1380"/>
      <c r="B4" s="7"/>
      <c r="C4" s="7"/>
      <c r="D4" s="7"/>
      <c r="E4" s="7"/>
      <c r="F4" s="7"/>
      <c r="G4" s="7"/>
      <c r="H4" s="142"/>
      <c r="I4" s="5" t="s">
        <v>199</v>
      </c>
      <c r="J4" s="7"/>
      <c r="K4" s="5" t="s">
        <v>200</v>
      </c>
      <c r="L4" s="7"/>
      <c r="M4" s="5" t="s">
        <v>41</v>
      </c>
    </row>
    <row r="5" spans="1:31">
      <c r="A5" s="7"/>
      <c r="B5" s="7"/>
      <c r="C5" s="7"/>
      <c r="D5" s="7"/>
      <c r="E5" s="7"/>
      <c r="F5" s="7"/>
      <c r="G5" s="7"/>
      <c r="H5" s="142"/>
      <c r="I5" s="5"/>
      <c r="J5" s="7"/>
      <c r="K5" s="7"/>
      <c r="L5" s="7"/>
      <c r="M5" s="5" t="s">
        <v>293</v>
      </c>
    </row>
    <row r="6" spans="1:31">
      <c r="K6" s="5" t="s">
        <v>230</v>
      </c>
      <c r="M6" s="1"/>
    </row>
    <row r="7" spans="1:31">
      <c r="I7" s="5" t="s">
        <v>810</v>
      </c>
      <c r="K7" s="5" t="s">
        <v>85</v>
      </c>
      <c r="M7" s="5" t="s">
        <v>230</v>
      </c>
      <c r="W7" s="66" t="s">
        <v>1220</v>
      </c>
    </row>
    <row r="8" spans="1:31">
      <c r="A8" s="5" t="s">
        <v>59</v>
      </c>
      <c r="I8" s="5" t="s">
        <v>84</v>
      </c>
      <c r="K8" s="5" t="s">
        <v>93</v>
      </c>
      <c r="M8" s="5" t="s">
        <v>85</v>
      </c>
      <c r="O8" s="75">
        <v>1</v>
      </c>
      <c r="P8" s="75" t="str">
        <f>References!$C$17</f>
        <v>Exhibit No. MCC-2 NEG</v>
      </c>
      <c r="Q8" s="75" t="str">
        <f>References!$D$17</f>
        <v>Exhibit No. MCC-2 NEGD</v>
      </c>
      <c r="R8" s="75" t="str">
        <f>References!$E$17</f>
        <v>FINAL - BH January 15, 2021 Rev. Req. Model</v>
      </c>
      <c r="V8" s="75">
        <v>1</v>
      </c>
      <c r="W8" s="75" t="str">
        <f>References!$C$17</f>
        <v>Exhibit No. MCC-2 NEG</v>
      </c>
      <c r="X8" s="75" t="str">
        <f>References!$D$17</f>
        <v>Exhibit No. MCC-2 NEGD</v>
      </c>
      <c r="Y8" s="75" t="str">
        <f>References!$E$17</f>
        <v>FINAL - BH January 15, 2021 Rev. Req. Model</v>
      </c>
    </row>
    <row r="9" spans="1:31">
      <c r="A9" s="125" t="s">
        <v>195</v>
      </c>
      <c r="B9" s="118"/>
      <c r="C9" s="363" t="s">
        <v>196</v>
      </c>
      <c r="D9" s="154"/>
      <c r="E9" s="154"/>
      <c r="F9" s="154"/>
      <c r="G9" s="362" t="s">
        <v>285</v>
      </c>
      <c r="H9" s="118"/>
      <c r="I9" s="125" t="s">
        <v>93</v>
      </c>
      <c r="J9" s="118"/>
      <c r="K9" s="125" t="s">
        <v>1053</v>
      </c>
      <c r="L9" s="118"/>
      <c r="M9" s="125" t="s">
        <v>12</v>
      </c>
      <c r="O9" s="75">
        <f>O8+1</f>
        <v>2</v>
      </c>
      <c r="P9" s="75" t="str">
        <f>References!$C$18</f>
        <v>NEG</v>
      </c>
      <c r="Q9" s="75" t="str">
        <f>References!$D$18</f>
        <v>NEGD</v>
      </c>
      <c r="R9" s="75" t="str">
        <f>References!$E$18</f>
        <v>Tot Co</v>
      </c>
      <c r="V9" s="75">
        <f>V8+1</f>
        <v>2</v>
      </c>
      <c r="W9" s="75" t="str">
        <f>References!$C$18</f>
        <v>NEG</v>
      </c>
      <c r="X9" s="75" t="str">
        <f>References!$D$18</f>
        <v>NEGD</v>
      </c>
      <c r="Y9" s="75" t="str">
        <f>References!$E$18</f>
        <v>Tot Co</v>
      </c>
    </row>
    <row r="10" spans="1:31">
      <c r="A10" s="142"/>
      <c r="B10" s="126"/>
      <c r="C10" s="155"/>
      <c r="D10" s="155"/>
      <c r="E10" s="155"/>
      <c r="F10" s="155"/>
      <c r="G10" s="155"/>
      <c r="I10" s="40"/>
      <c r="J10" s="23"/>
      <c r="K10" s="40"/>
      <c r="L10" s="23"/>
      <c r="M10" s="40"/>
      <c r="O10" s="75">
        <f t="shared" ref="O10:O33" si="0">O9+1</f>
        <v>3</v>
      </c>
      <c r="P10" s="75"/>
      <c r="Q10" s="75"/>
      <c r="R10" s="75"/>
      <c r="V10" s="75">
        <f t="shared" ref="V10:V33" si="1">V9+1</f>
        <v>3</v>
      </c>
      <c r="W10" s="75"/>
      <c r="X10" s="75"/>
      <c r="Y10" s="75"/>
    </row>
    <row r="11" spans="1:31">
      <c r="A11" s="142">
        <f>1+A10</f>
        <v>1</v>
      </c>
      <c r="B11" s="8" t="s">
        <v>84</v>
      </c>
      <c r="C11" s="155"/>
      <c r="D11" s="155"/>
      <c r="E11" s="155"/>
      <c r="F11" s="155"/>
      <c r="G11" s="155"/>
      <c r="I11" s="40"/>
      <c r="J11" s="23"/>
      <c r="K11" s="40"/>
      <c r="L11" s="23"/>
      <c r="M11" s="40"/>
      <c r="O11" s="75">
        <f t="shared" si="0"/>
        <v>4</v>
      </c>
      <c r="V11" s="75">
        <f t="shared" si="1"/>
        <v>4</v>
      </c>
    </row>
    <row r="12" spans="1:31">
      <c r="A12" s="142">
        <f t="shared" ref="A12:A39" si="2">1+A11</f>
        <v>2</v>
      </c>
      <c r="C12" s="66"/>
      <c r="I12" s="54"/>
      <c r="J12" s="54"/>
      <c r="K12" s="19"/>
      <c r="L12" s="54"/>
      <c r="M12" s="140"/>
      <c r="O12" s="75">
        <f t="shared" si="0"/>
        <v>5</v>
      </c>
      <c r="V12" s="75">
        <f t="shared" si="1"/>
        <v>5</v>
      </c>
    </row>
    <row r="13" spans="1:31">
      <c r="A13" s="142">
        <f t="shared" si="2"/>
        <v>3</v>
      </c>
      <c r="B13" s="23"/>
      <c r="C13" s="123" t="s">
        <v>397</v>
      </c>
      <c r="D13" s="23"/>
      <c r="E13" s="23"/>
      <c r="F13" s="23"/>
      <c r="G13" s="23" t="s">
        <v>1171</v>
      </c>
      <c r="H13" s="41"/>
      <c r="I13" s="361">
        <f>'Sched J-1'!M15</f>
        <v>75057</v>
      </c>
      <c r="J13" s="144"/>
      <c r="K13" s="361">
        <f>HLOOKUP(Attach,$W$8:$Y$72,V13,FALSE)</f>
        <v>33980.25</v>
      </c>
      <c r="L13" s="144"/>
      <c r="M13" s="353">
        <f>+I13-K13</f>
        <v>41076.75</v>
      </c>
      <c r="O13" s="75">
        <f t="shared" si="0"/>
        <v>6</v>
      </c>
      <c r="P13" s="972"/>
      <c r="Q13" s="955"/>
      <c r="R13" s="937">
        <f>+P13+Q13</f>
        <v>0</v>
      </c>
      <c r="V13" s="75">
        <f t="shared" si="1"/>
        <v>6</v>
      </c>
      <c r="W13" s="972">
        <v>32990.61</v>
      </c>
      <c r="X13" s="972">
        <v>989.64</v>
      </c>
      <c r="Y13" s="937">
        <f>+W13+X13</f>
        <v>33980.25</v>
      </c>
      <c r="AE13" s="890"/>
    </row>
    <row r="14" spans="1:31">
      <c r="A14" s="142">
        <f t="shared" si="2"/>
        <v>4</v>
      </c>
      <c r="C14" s="66"/>
      <c r="G14" s="23"/>
      <c r="I14" s="209"/>
      <c r="J14" s="209"/>
      <c r="K14" s="209"/>
      <c r="L14" s="209"/>
      <c r="M14" s="207"/>
      <c r="O14" s="75">
        <f t="shared" si="0"/>
        <v>7</v>
      </c>
      <c r="P14" s="881"/>
      <c r="Q14" s="488"/>
      <c r="R14" s="506"/>
      <c r="V14" s="75">
        <f t="shared" si="1"/>
        <v>7</v>
      </c>
      <c r="W14" s="881"/>
      <c r="X14" s="881"/>
      <c r="Y14" s="506"/>
      <c r="AE14" s="890"/>
    </row>
    <row r="15" spans="1:31">
      <c r="A15" s="142">
        <f t="shared" si="2"/>
        <v>5</v>
      </c>
      <c r="C15" s="66" t="s">
        <v>695</v>
      </c>
      <c r="G15" s="8" t="s">
        <v>22</v>
      </c>
      <c r="I15" s="209">
        <v>0</v>
      </c>
      <c r="J15" s="209"/>
      <c r="K15" s="209">
        <f>HLOOKUP(Attach,$W$8:$Y$72,V15,FALSE)</f>
        <v>0</v>
      </c>
      <c r="L15" s="209"/>
      <c r="M15" s="207">
        <f>+I15-K15</f>
        <v>0</v>
      </c>
      <c r="O15" s="75">
        <f t="shared" si="0"/>
        <v>8</v>
      </c>
      <c r="P15" s="972"/>
      <c r="Q15" s="955"/>
      <c r="R15" s="937">
        <f>+P15+Q15</f>
        <v>0</v>
      </c>
      <c r="V15" s="75">
        <f t="shared" si="1"/>
        <v>8</v>
      </c>
      <c r="W15" s="972">
        <v>0</v>
      </c>
      <c r="X15" s="972">
        <v>0</v>
      </c>
      <c r="Y15" s="937">
        <f>+W15+X15</f>
        <v>0</v>
      </c>
      <c r="AE15" s="890"/>
    </row>
    <row r="16" spans="1:31">
      <c r="A16" s="142">
        <f t="shared" si="2"/>
        <v>6</v>
      </c>
      <c r="C16" s="66"/>
      <c r="G16" s="23"/>
      <c r="I16" s="209"/>
      <c r="J16" s="209"/>
      <c r="K16" s="209"/>
      <c r="L16" s="209"/>
      <c r="M16" s="207"/>
      <c r="O16" s="75">
        <f t="shared" si="0"/>
        <v>9</v>
      </c>
      <c r="P16" s="881"/>
      <c r="Q16" s="488"/>
      <c r="R16" s="506"/>
      <c r="V16" s="75">
        <f t="shared" si="1"/>
        <v>9</v>
      </c>
      <c r="W16" s="881"/>
      <c r="X16" s="881"/>
      <c r="Y16" s="506"/>
      <c r="AE16" s="890"/>
    </row>
    <row r="17" spans="1:31">
      <c r="A17" s="142">
        <f t="shared" si="2"/>
        <v>7</v>
      </c>
      <c r="C17" s="66" t="s">
        <v>694</v>
      </c>
      <c r="G17" s="8" t="s">
        <v>22</v>
      </c>
      <c r="I17" s="209">
        <v>0</v>
      </c>
      <c r="J17" s="209"/>
      <c r="K17" s="209">
        <f>HLOOKUP(Attach,$W$8:$Y$72,V17,FALSE)</f>
        <v>0</v>
      </c>
      <c r="L17" s="209"/>
      <c r="M17" s="207">
        <f t="shared" ref="M17" si="3">+I17-K17</f>
        <v>0</v>
      </c>
      <c r="O17" s="75">
        <f t="shared" si="0"/>
        <v>10</v>
      </c>
      <c r="P17" s="972"/>
      <c r="Q17" s="955"/>
      <c r="R17" s="937">
        <f>+P17+Q17</f>
        <v>0</v>
      </c>
      <c r="V17" s="75">
        <f t="shared" si="1"/>
        <v>10</v>
      </c>
      <c r="W17" s="972">
        <v>0</v>
      </c>
      <c r="X17" s="972">
        <v>0</v>
      </c>
      <c r="Y17" s="937">
        <f>+W17+X17</f>
        <v>0</v>
      </c>
      <c r="AE17" s="890"/>
    </row>
    <row r="18" spans="1:31">
      <c r="A18" s="142">
        <f t="shared" si="2"/>
        <v>8</v>
      </c>
      <c r="C18" s="66"/>
      <c r="G18" s="23"/>
      <c r="I18" s="209"/>
      <c r="J18" s="209"/>
      <c r="K18" s="209"/>
      <c r="L18" s="209"/>
      <c r="M18" s="207"/>
      <c r="O18" s="75">
        <f t="shared" si="0"/>
        <v>11</v>
      </c>
      <c r="P18" s="881"/>
      <c r="Q18" s="488"/>
      <c r="R18" s="506"/>
      <c r="V18" s="75">
        <f t="shared" si="1"/>
        <v>11</v>
      </c>
      <c r="W18" s="881"/>
      <c r="X18" s="881"/>
      <c r="Y18" s="506"/>
      <c r="AE18" s="890"/>
    </row>
    <row r="19" spans="1:31">
      <c r="A19" s="142">
        <f t="shared" si="2"/>
        <v>9</v>
      </c>
      <c r="C19" s="8" t="s">
        <v>86</v>
      </c>
      <c r="G19" s="23" t="s">
        <v>1446</v>
      </c>
      <c r="I19" s="209">
        <f>'Sched J-1'!M22</f>
        <v>40586</v>
      </c>
      <c r="J19" s="209"/>
      <c r="K19" s="209">
        <f>HLOOKUP(Attach,$W$8:$Y$72,V19,FALSE)</f>
        <v>49688.100000000006</v>
      </c>
      <c r="L19" s="209"/>
      <c r="M19" s="207">
        <f>+I19-K19</f>
        <v>-9102.1000000000058</v>
      </c>
      <c r="O19" s="75">
        <f t="shared" si="0"/>
        <v>12</v>
      </c>
      <c r="P19" s="972"/>
      <c r="Q19" s="955"/>
      <c r="R19" s="937">
        <f>+P19+Q19</f>
        <v>0</v>
      </c>
      <c r="V19" s="75">
        <f t="shared" si="1"/>
        <v>12</v>
      </c>
      <c r="W19" s="972">
        <v>49688.100000000006</v>
      </c>
      <c r="X19" s="972">
        <v>0</v>
      </c>
      <c r="Y19" s="937">
        <f>+W19+X19</f>
        <v>49688.100000000006</v>
      </c>
      <c r="AE19" s="890"/>
    </row>
    <row r="20" spans="1:31">
      <c r="A20" s="142">
        <f t="shared" si="2"/>
        <v>10</v>
      </c>
      <c r="G20" s="23"/>
      <c r="I20" s="209"/>
      <c r="J20" s="209"/>
      <c r="K20" s="209"/>
      <c r="L20" s="209"/>
      <c r="M20" s="207"/>
      <c r="O20" s="75">
        <f t="shared" si="0"/>
        <v>13</v>
      </c>
      <c r="P20" s="881"/>
      <c r="Q20" s="488"/>
      <c r="R20" s="506"/>
      <c r="V20" s="75">
        <f t="shared" si="1"/>
        <v>13</v>
      </c>
      <c r="W20" s="881"/>
      <c r="X20" s="881"/>
      <c r="Y20" s="506"/>
      <c r="AE20" s="890"/>
    </row>
    <row r="21" spans="1:31">
      <c r="A21" s="142">
        <f t="shared" si="2"/>
        <v>11</v>
      </c>
      <c r="C21" s="8" t="s">
        <v>454</v>
      </c>
      <c r="G21" s="23" t="s">
        <v>1447</v>
      </c>
      <c r="I21" s="209">
        <f>'Sched J-1'!M42</f>
        <v>16164555</v>
      </c>
      <c r="J21" s="209"/>
      <c r="K21" s="209">
        <f>HLOOKUP(Attach,$W$8:$Y$72,V21,FALSE)</f>
        <v>19753043.210000001</v>
      </c>
      <c r="L21" s="209"/>
      <c r="M21" s="207">
        <f>+I21-K21</f>
        <v>-3588488.2100000009</v>
      </c>
      <c r="O21" s="75">
        <f t="shared" si="0"/>
        <v>14</v>
      </c>
      <c r="P21" s="972"/>
      <c r="Q21" s="955"/>
      <c r="R21" s="937">
        <f>+P21+Q21</f>
        <v>0</v>
      </c>
      <c r="V21" s="75">
        <f t="shared" si="1"/>
        <v>14</v>
      </c>
      <c r="W21" s="972">
        <v>11042136.98</v>
      </c>
      <c r="X21" s="972">
        <v>8710906.2300000004</v>
      </c>
      <c r="Y21" s="937">
        <f>+W21+X21</f>
        <v>19753043.210000001</v>
      </c>
      <c r="AE21" s="890"/>
    </row>
    <row r="22" spans="1:31">
      <c r="A22" s="142">
        <f t="shared" si="2"/>
        <v>12</v>
      </c>
      <c r="G22" s="23"/>
      <c r="I22" s="209"/>
      <c r="J22" s="209"/>
      <c r="K22" s="209"/>
      <c r="L22" s="209"/>
      <c r="M22" s="207"/>
      <c r="O22" s="75">
        <f t="shared" si="0"/>
        <v>15</v>
      </c>
      <c r="P22" s="881"/>
      <c r="Q22" s="488"/>
      <c r="R22" s="506"/>
      <c r="V22" s="75">
        <f t="shared" si="1"/>
        <v>15</v>
      </c>
      <c r="W22" s="881"/>
      <c r="X22" s="881"/>
      <c r="Y22" s="506"/>
      <c r="AE22" s="890"/>
    </row>
    <row r="23" spans="1:31">
      <c r="A23" s="142">
        <f t="shared" si="2"/>
        <v>13</v>
      </c>
      <c r="C23" s="8" t="s">
        <v>396</v>
      </c>
      <c r="G23" s="23" t="s">
        <v>1448</v>
      </c>
      <c r="I23" s="209">
        <f>'Sched J-1'!M68-I32</f>
        <v>2237749.024647356</v>
      </c>
      <c r="J23" s="209"/>
      <c r="K23" s="209">
        <f>HLOOKUP(Attach,$W$8:$Y$72,V23,FALSE)</f>
        <v>868500.7699999999</v>
      </c>
      <c r="L23" s="209"/>
      <c r="M23" s="207">
        <f>+I23-K23</f>
        <v>1369248.254647356</v>
      </c>
      <c r="O23" s="75">
        <f t="shared" si="0"/>
        <v>16</v>
      </c>
      <c r="P23" s="972"/>
      <c r="Q23" s="955"/>
      <c r="R23" s="937">
        <f>+P23+Q23</f>
        <v>0</v>
      </c>
      <c r="V23" s="75">
        <f t="shared" si="1"/>
        <v>16</v>
      </c>
      <c r="W23" s="972">
        <v>235012.33</v>
      </c>
      <c r="X23" s="972">
        <v>633488.43999999994</v>
      </c>
      <c r="Y23" s="937">
        <f>+W23+X23</f>
        <v>868500.7699999999</v>
      </c>
      <c r="AE23" s="890"/>
    </row>
    <row r="24" spans="1:31">
      <c r="A24" s="142">
        <f t="shared" si="2"/>
        <v>14</v>
      </c>
      <c r="C24" s="66"/>
      <c r="D24" s="8" t="s">
        <v>859</v>
      </c>
      <c r="G24" s="82" t="s">
        <v>1474</v>
      </c>
      <c r="I24" s="209">
        <f>HLOOKUP(Attach,$P$8:$AE$72,O24,FALSE)</f>
        <v>212172.4</v>
      </c>
      <c r="J24" s="209"/>
      <c r="K24" s="209">
        <f>HLOOKUP(Attach,$W$8:$Y$72,V24,FALSE)</f>
        <v>0</v>
      </c>
      <c r="L24" s="209"/>
      <c r="M24" s="207">
        <f>I24-K24</f>
        <v>212172.4</v>
      </c>
      <c r="O24" s="75">
        <f t="shared" si="0"/>
        <v>17</v>
      </c>
      <c r="P24" s="972">
        <f>345810.65/5</f>
        <v>69162.13</v>
      </c>
      <c r="Q24" s="972">
        <f>715051.35/5</f>
        <v>143010.26999999999</v>
      </c>
      <c r="R24" s="937">
        <f>+P24+Q24</f>
        <v>212172.4</v>
      </c>
      <c r="S24" s="1178"/>
      <c r="V24" s="75">
        <f t="shared" si="1"/>
        <v>17</v>
      </c>
      <c r="W24" s="972"/>
      <c r="X24" s="972"/>
      <c r="Y24" s="937">
        <f>+W24+X24</f>
        <v>0</v>
      </c>
      <c r="AE24" s="890"/>
    </row>
    <row r="25" spans="1:31">
      <c r="A25" s="142">
        <f t="shared" si="2"/>
        <v>15</v>
      </c>
      <c r="G25" s="977"/>
      <c r="I25" s="209"/>
      <c r="J25" s="209"/>
      <c r="K25" s="209"/>
      <c r="L25" s="209"/>
      <c r="M25" s="207"/>
      <c r="O25" s="75">
        <f t="shared" si="0"/>
        <v>18</v>
      </c>
      <c r="P25" s="881"/>
      <c r="Q25" s="488"/>
      <c r="R25" s="506"/>
      <c r="V25" s="75">
        <f t="shared" si="1"/>
        <v>18</v>
      </c>
      <c r="W25" s="881"/>
      <c r="X25" s="881"/>
      <c r="Y25" s="506"/>
      <c r="AE25" s="890"/>
    </row>
    <row r="26" spans="1:31">
      <c r="A26" s="142">
        <f t="shared" si="2"/>
        <v>16</v>
      </c>
      <c r="C26" s="8" t="s">
        <v>1219</v>
      </c>
      <c r="G26" s="23" t="s">
        <v>1449</v>
      </c>
      <c r="I26" s="209">
        <f>'Sched J-1'!M78</f>
        <v>2954994</v>
      </c>
      <c r="J26" s="203"/>
      <c r="K26" s="209">
        <f>HLOOKUP(Attach,$W$8:$Y$72,V26,FALSE)</f>
        <v>3331474.41</v>
      </c>
      <c r="L26" s="203"/>
      <c r="M26" s="708">
        <f>+I26-K26</f>
        <v>-376480.41000000015</v>
      </c>
      <c r="O26" s="75">
        <f t="shared" si="0"/>
        <v>19</v>
      </c>
      <c r="P26" s="972"/>
      <c r="Q26" s="955"/>
      <c r="R26" s="937">
        <f t="shared" ref="R26" si="4">+P26+Q26</f>
        <v>0</v>
      </c>
      <c r="V26" s="75">
        <f t="shared" si="1"/>
        <v>19</v>
      </c>
      <c r="W26" s="972">
        <v>2159733.98</v>
      </c>
      <c r="X26" s="972">
        <v>1171740.4300000002</v>
      </c>
      <c r="Y26" s="937">
        <f t="shared" ref="Y26" si="5">+W26+X26</f>
        <v>3331474.41</v>
      </c>
      <c r="AE26" s="890"/>
    </row>
    <row r="27" spans="1:31">
      <c r="A27" s="142">
        <f t="shared" si="2"/>
        <v>17</v>
      </c>
      <c r="G27" s="23"/>
      <c r="H27" s="41"/>
      <c r="I27" s="361"/>
      <c r="J27" s="54"/>
      <c r="K27" s="361"/>
      <c r="L27" s="54"/>
      <c r="M27" s="353"/>
      <c r="O27" s="75">
        <f t="shared" si="0"/>
        <v>20</v>
      </c>
      <c r="P27" s="881"/>
      <c r="Q27" s="488"/>
      <c r="R27" s="506"/>
      <c r="V27" s="75">
        <f t="shared" si="1"/>
        <v>20</v>
      </c>
      <c r="W27" s="881"/>
      <c r="X27" s="488"/>
      <c r="Y27" s="506"/>
      <c r="AE27" s="890"/>
    </row>
    <row r="28" spans="1:31">
      <c r="A28" s="142">
        <f t="shared" si="2"/>
        <v>18</v>
      </c>
      <c r="C28" s="8" t="s">
        <v>370</v>
      </c>
      <c r="G28" s="108"/>
      <c r="I28" s="572">
        <f>SUM(I26:I27)</f>
        <v>2954994</v>
      </c>
      <c r="J28" s="58"/>
      <c r="K28" s="572">
        <f>SUM(K26:K27)</f>
        <v>3331474.41</v>
      </c>
      <c r="L28" s="58"/>
      <c r="M28" s="572">
        <f>SUM(M26:M27)</f>
        <v>-376480.41000000015</v>
      </c>
      <c r="O28" s="75">
        <f t="shared" si="0"/>
        <v>21</v>
      </c>
      <c r="P28" s="972"/>
      <c r="Q28" s="955"/>
      <c r="R28" s="937">
        <f t="shared" ref="R28" si="6">+P28+Q28</f>
        <v>0</v>
      </c>
      <c r="V28" s="75">
        <f t="shared" si="1"/>
        <v>21</v>
      </c>
      <c r="W28" s="937">
        <f>SUM(W26:W27)</f>
        <v>2159733.98</v>
      </c>
      <c r="X28" s="937">
        <f>SUM(X26:X27)</f>
        <v>1171740.4300000002</v>
      </c>
      <c r="Y28" s="937">
        <f t="shared" ref="Y28" si="7">+W28+X28</f>
        <v>3331474.41</v>
      </c>
      <c r="AE28" s="890"/>
    </row>
    <row r="29" spans="1:31">
      <c r="A29" s="142">
        <f t="shared" si="2"/>
        <v>19</v>
      </c>
      <c r="G29" s="108"/>
      <c r="I29" s="361"/>
      <c r="J29" s="54"/>
      <c r="K29" s="361"/>
      <c r="L29" s="54"/>
      <c r="M29" s="361"/>
      <c r="O29" s="75">
        <f t="shared" si="0"/>
        <v>22</v>
      </c>
      <c r="P29" s="881"/>
      <c r="Q29" s="488"/>
      <c r="R29" s="506"/>
      <c r="V29" s="75">
        <f t="shared" si="1"/>
        <v>22</v>
      </c>
      <c r="W29" s="881"/>
      <c r="X29" s="488"/>
      <c r="Y29" s="506"/>
      <c r="AE29" s="890"/>
    </row>
    <row r="30" spans="1:31">
      <c r="A30" s="142">
        <f t="shared" si="2"/>
        <v>20</v>
      </c>
      <c r="C30" s="8" t="s">
        <v>402</v>
      </c>
      <c r="G30" s="8" t="s">
        <v>21</v>
      </c>
      <c r="I30" s="572">
        <f>SUM(I13:I27)</f>
        <v>21685113.424647354</v>
      </c>
      <c r="J30" s="54"/>
      <c r="K30" s="572">
        <f>SUM(K13:K27)</f>
        <v>24036686.740000002</v>
      </c>
      <c r="L30" s="54"/>
      <c r="M30" s="572">
        <f>SUM(M13:M27)</f>
        <v>-2351573.3153526452</v>
      </c>
      <c r="O30" s="75">
        <f t="shared" si="0"/>
        <v>23</v>
      </c>
      <c r="P30" s="972"/>
      <c r="Q30" s="955"/>
      <c r="R30" s="937">
        <f t="shared" ref="R30" si="8">+P30+Q30</f>
        <v>0</v>
      </c>
      <c r="V30" s="75">
        <f t="shared" si="1"/>
        <v>23</v>
      </c>
      <c r="W30" s="937">
        <f>SUM(W13:W27)</f>
        <v>13519562.000000002</v>
      </c>
      <c r="X30" s="937">
        <f>SUM(X13:X27)</f>
        <v>10517124.74</v>
      </c>
      <c r="Y30" s="937">
        <f t="shared" ref="Y30" si="9">+W30+X30</f>
        <v>24036686.740000002</v>
      </c>
      <c r="AE30" s="890"/>
    </row>
    <row r="31" spans="1:31">
      <c r="A31" s="142">
        <f t="shared" si="2"/>
        <v>21</v>
      </c>
      <c r="G31" s="108"/>
      <c r="I31" s="361"/>
      <c r="J31" s="54"/>
      <c r="K31" s="361"/>
      <c r="L31" s="54"/>
      <c r="M31" s="361"/>
      <c r="O31" s="75">
        <f t="shared" si="0"/>
        <v>24</v>
      </c>
      <c r="V31" s="75">
        <f t="shared" si="1"/>
        <v>24</v>
      </c>
      <c r="AE31" s="890"/>
    </row>
    <row r="32" spans="1:31">
      <c r="A32" s="142">
        <f t="shared" si="2"/>
        <v>22</v>
      </c>
      <c r="C32" s="8" t="s">
        <v>388</v>
      </c>
      <c r="G32" s="23" t="s">
        <v>1450</v>
      </c>
      <c r="I32" s="361">
        <f>IF($I$45="Y",SUM('Sched J-1'!M55:M60)+'Sched J-1'!M64,SUM('Sched J-1'!M55:M60)+'Sched J-1'!M64+SUM('Sched J-1'!M81:M85))</f>
        <v>2301576.975352644</v>
      </c>
      <c r="J32" s="203"/>
      <c r="K32" s="574">
        <f>HLOOKUP(Attach,$W$8:$Y$72,V32,FALSE)</f>
        <v>2712861.4200000004</v>
      </c>
      <c r="L32" s="203"/>
      <c r="M32" s="353">
        <f>+I32-K32</f>
        <v>-411284.4446473564</v>
      </c>
      <c r="O32" s="75">
        <f t="shared" si="0"/>
        <v>25</v>
      </c>
      <c r="P32" s="972"/>
      <c r="Q32" s="955"/>
      <c r="R32" s="937">
        <f t="shared" ref="R32" si="10">+P32+Q32</f>
        <v>0</v>
      </c>
      <c r="V32" s="75">
        <f t="shared" si="1"/>
        <v>25</v>
      </c>
      <c r="W32" s="972">
        <v>996062.87000000011</v>
      </c>
      <c r="X32" s="972">
        <v>1716798.5500000003</v>
      </c>
      <c r="Y32" s="937">
        <f t="shared" ref="Y32:Y33" si="11">+W32+X32</f>
        <v>2712861.4200000004</v>
      </c>
      <c r="AE32" s="890"/>
    </row>
    <row r="33" spans="1:31">
      <c r="A33" s="142">
        <f t="shared" si="2"/>
        <v>23</v>
      </c>
      <c r="C33" s="8" t="s">
        <v>388</v>
      </c>
      <c r="G33" s="23" t="s">
        <v>1451</v>
      </c>
      <c r="I33" s="209">
        <f>'Sched J-1'!M86</f>
        <v>102895</v>
      </c>
      <c r="J33" s="203"/>
      <c r="K33" s="207">
        <f>HLOOKUP(Attach,$W$8:$Y$72,V33,FALSE)</f>
        <v>100342.87495160088</v>
      </c>
      <c r="L33" s="203"/>
      <c r="M33" s="207">
        <f>+I33-K33</f>
        <v>2552.1250483991171</v>
      </c>
      <c r="O33" s="75">
        <f t="shared" si="0"/>
        <v>26</v>
      </c>
      <c r="P33" s="972"/>
      <c r="Q33" s="955"/>
      <c r="R33" s="937"/>
      <c r="V33" s="75">
        <f t="shared" si="1"/>
        <v>26</v>
      </c>
      <c r="W33" s="972">
        <v>56980.846687956699</v>
      </c>
      <c r="X33" s="972">
        <v>43362.028263644177</v>
      </c>
      <c r="Y33" s="937">
        <f t="shared" si="11"/>
        <v>100342.87495160088</v>
      </c>
      <c r="AE33" s="890"/>
    </row>
    <row r="34" spans="1:31">
      <c r="A34" s="142">
        <f t="shared" si="2"/>
        <v>24</v>
      </c>
      <c r="D34" s="927"/>
      <c r="G34" s="927"/>
      <c r="I34" s="361"/>
      <c r="J34" s="54"/>
      <c r="K34" s="573"/>
      <c r="L34" s="54"/>
      <c r="M34" s="361"/>
      <c r="AE34" s="890"/>
    </row>
    <row r="35" spans="1:31" ht="13.5" thickBot="1">
      <c r="A35" s="142">
        <f t="shared" si="2"/>
        <v>25</v>
      </c>
      <c r="B35" s="8" t="s">
        <v>1523</v>
      </c>
      <c r="G35" s="23" t="s">
        <v>1452</v>
      </c>
      <c r="I35" s="355">
        <f>SUM(I13:I27)+I32+I33</f>
        <v>24089585.399999999</v>
      </c>
      <c r="J35" s="55"/>
      <c r="K35" s="355">
        <f>SUM(K13:K27)+K32+K33</f>
        <v>26849891.034951605</v>
      </c>
      <c r="L35" s="55"/>
      <c r="M35" s="355">
        <f>SUM(M13:M27)+M32+M33</f>
        <v>-2760305.6349516027</v>
      </c>
      <c r="Z35" s="66" t="s">
        <v>1294</v>
      </c>
      <c r="AE35" s="890"/>
    </row>
    <row r="36" spans="1:31" ht="13.5" thickTop="1">
      <c r="A36" s="142">
        <f t="shared" si="2"/>
        <v>26</v>
      </c>
      <c r="I36" s="23"/>
      <c r="J36" s="23"/>
      <c r="K36" s="160"/>
      <c r="L36" s="23"/>
      <c r="M36" s="23"/>
      <c r="W36" s="881">
        <v>1448789.88</v>
      </c>
      <c r="X36" s="881">
        <v>595358</v>
      </c>
      <c r="Z36" s="66" t="s">
        <v>1292</v>
      </c>
    </row>
    <row r="37" spans="1:31">
      <c r="A37" s="142">
        <f t="shared" si="2"/>
        <v>27</v>
      </c>
      <c r="B37" s="75"/>
      <c r="C37" s="126"/>
      <c r="I37" s="574"/>
      <c r="J37" s="23"/>
      <c r="K37" s="160"/>
      <c r="L37" s="23"/>
      <c r="M37" s="23"/>
      <c r="Q37" s="890"/>
      <c r="W37" s="881">
        <v>710944.1</v>
      </c>
      <c r="X37" s="881">
        <v>576382.43000000005</v>
      </c>
      <c r="Z37" s="66" t="s">
        <v>1293</v>
      </c>
    </row>
    <row r="38" spans="1:31">
      <c r="A38" s="142">
        <f t="shared" si="2"/>
        <v>28</v>
      </c>
      <c r="B38" s="75"/>
      <c r="C38" s="126" t="s">
        <v>690</v>
      </c>
      <c r="I38" s="23"/>
      <c r="J38" s="23"/>
      <c r="K38" s="160"/>
      <c r="L38" s="23"/>
      <c r="M38" s="23"/>
      <c r="W38" s="1374">
        <f>W26-SUM(W36:W37)</f>
        <v>0</v>
      </c>
      <c r="X38" s="1374">
        <f>X26-SUM(X36:X37)</f>
        <v>0</v>
      </c>
    </row>
    <row r="39" spans="1:31">
      <c r="A39" s="142">
        <f t="shared" si="2"/>
        <v>29</v>
      </c>
      <c r="C39" s="23" t="s">
        <v>1409</v>
      </c>
      <c r="I39" s="23"/>
      <c r="J39" s="23"/>
      <c r="K39" s="160"/>
      <c r="L39" s="23"/>
      <c r="M39" s="23"/>
    </row>
    <row r="40" spans="1:31">
      <c r="A40" s="142"/>
      <c r="B40" s="158"/>
      <c r="G40" s="927"/>
      <c r="I40" s="23"/>
      <c r="J40" s="23"/>
      <c r="K40" s="659"/>
      <c r="L40" s="23"/>
      <c r="M40" s="23"/>
    </row>
    <row r="41" spans="1:31">
      <c r="A41" s="142"/>
      <c r="B41" s="158"/>
      <c r="C41" s="126"/>
      <c r="I41" s="98"/>
      <c r="J41" s="98"/>
      <c r="K41" s="23"/>
      <c r="L41" s="23"/>
      <c r="M41" s="98"/>
      <c r="N41" s="23"/>
      <c r="O41" s="23"/>
    </row>
    <row r="42" spans="1:31">
      <c r="A42" s="142"/>
      <c r="C42" s="126"/>
      <c r="F42" s="499"/>
      <c r="I42" s="474"/>
      <c r="J42" s="98"/>
      <c r="K42" s="160"/>
      <c r="L42" s="23"/>
      <c r="M42" s="756"/>
      <c r="N42" s="23"/>
      <c r="O42" s="23"/>
    </row>
    <row r="43" spans="1:31">
      <c r="A43" s="142"/>
      <c r="C43" s="126"/>
      <c r="F43" s="500"/>
      <c r="I43" s="972">
        <f>I35-'Sched J-1'!M88-(I24)</f>
        <v>-1.4842953532934189E-9</v>
      </c>
      <c r="J43" s="98"/>
      <c r="K43" s="127"/>
      <c r="L43" s="23"/>
      <c r="M43" s="23"/>
      <c r="N43" s="23"/>
      <c r="O43" s="23"/>
    </row>
    <row r="44" spans="1:31">
      <c r="A44" s="142"/>
      <c r="C44" s="126"/>
      <c r="F44" s="324"/>
      <c r="I44" s="98"/>
      <c r="J44" s="98"/>
      <c r="K44" s="106"/>
      <c r="L44" s="23"/>
      <c r="M44" s="23"/>
      <c r="N44" s="23"/>
      <c r="O44" s="23"/>
    </row>
    <row r="45" spans="1:31">
      <c r="A45" s="142"/>
      <c r="G45" s="8" t="s">
        <v>1553</v>
      </c>
      <c r="I45" s="23" t="str">
        <f>'Stmt N'!Y1</f>
        <v>Y</v>
      </c>
      <c r="J45" s="41"/>
      <c r="K45" s="502"/>
      <c r="L45" s="23"/>
      <c r="M45" s="502"/>
      <c r="N45" s="23"/>
      <c r="O45" s="23"/>
    </row>
    <row r="46" spans="1:31">
      <c r="A46" s="142"/>
      <c r="C46" s="66"/>
      <c r="E46" s="325"/>
      <c r="I46" s="123"/>
      <c r="J46" s="41"/>
      <c r="K46" s="23"/>
      <c r="L46" s="23"/>
      <c r="M46" s="23"/>
      <c r="N46" s="23"/>
      <c r="O46" s="23"/>
    </row>
    <row r="47" spans="1:31">
      <c r="A47" s="142"/>
      <c r="I47" s="23"/>
      <c r="J47" s="41"/>
      <c r="K47" s="23"/>
      <c r="L47" s="23"/>
      <c r="M47" s="23"/>
      <c r="N47" s="23"/>
      <c r="O47" s="23"/>
    </row>
    <row r="48" spans="1:31">
      <c r="E48" s="66"/>
      <c r="F48" s="66"/>
      <c r="I48" s="23"/>
      <c r="J48" s="41"/>
      <c r="K48" s="160"/>
      <c r="L48" s="23"/>
      <c r="M48" s="160"/>
      <c r="N48" s="23"/>
      <c r="O48" s="23"/>
    </row>
    <row r="49" spans="9:15">
      <c r="I49" s="23"/>
      <c r="J49" s="41"/>
      <c r="K49" s="23"/>
      <c r="L49" s="23"/>
      <c r="M49" s="23"/>
      <c r="N49" s="23"/>
      <c r="O49" s="23"/>
    </row>
    <row r="50" spans="9:15">
      <c r="I50" s="23"/>
      <c r="J50" s="41"/>
      <c r="K50" s="23"/>
      <c r="L50" s="23"/>
      <c r="M50" s="23"/>
      <c r="N50" s="23"/>
      <c r="O50" s="23"/>
    </row>
    <row r="51" spans="9:15">
      <c r="I51" s="23"/>
      <c r="J51" s="41"/>
      <c r="K51" s="160"/>
      <c r="L51" s="23"/>
      <c r="M51" s="160"/>
      <c r="N51" s="23"/>
      <c r="O51" s="23"/>
    </row>
    <row r="52" spans="9:15">
      <c r="I52" s="23"/>
      <c r="J52" s="41"/>
      <c r="K52" s="23"/>
      <c r="L52" s="23"/>
      <c r="M52" s="23"/>
      <c r="N52" s="23"/>
      <c r="O52" s="23"/>
    </row>
  </sheetData>
  <phoneticPr fontId="12" type="noConversion"/>
  <printOptions horizontalCentered="1"/>
  <pageMargins left="0.25" right="0.25" top="1" bottom="1" header="1" footer="0.5"/>
  <pageSetup scale="7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ransitionEvaluation="1"/>
  <dimension ref="A1:R108"/>
  <sheetViews>
    <sheetView workbookViewId="0"/>
  </sheetViews>
  <sheetFormatPr defaultColWidth="9.33203125" defaultRowHeight="12.75"/>
  <cols>
    <col min="1" max="1" width="6.83203125" style="75" customWidth="1"/>
    <col min="2" max="2" width="8.1640625" style="75" bestFit="1" customWidth="1"/>
    <col min="3" max="3" width="54.1640625" style="75" customWidth="1"/>
    <col min="4" max="4" width="3.33203125" style="75" customWidth="1"/>
    <col min="5" max="5" width="19.33203125" style="75" bestFit="1" customWidth="1"/>
    <col min="6" max="6" width="3.33203125" style="75" customWidth="1"/>
    <col min="7" max="7" width="17.33203125" style="82" bestFit="1" customWidth="1"/>
    <col min="8" max="8" width="3.83203125" style="82" customWidth="1"/>
    <col min="9" max="9" width="18.33203125" style="75" bestFit="1" customWidth="1"/>
    <col min="10" max="10" width="4.1640625" style="75" customWidth="1"/>
    <col min="11" max="11" width="13.33203125" style="82" customWidth="1"/>
    <col min="12" max="12" width="5.33203125" style="82" customWidth="1"/>
    <col min="13" max="13" width="18.33203125" style="75" bestFit="1" customWidth="1"/>
    <col min="14" max="14" width="9.83203125" style="75" customWidth="1"/>
    <col min="15" max="17" width="9.33203125" style="75"/>
    <col min="18" max="18" width="10.33203125" style="75" customWidth="1"/>
    <col min="19" max="16384" width="9.33203125" style="75"/>
  </cols>
  <sheetData>
    <row r="1" spans="1:14">
      <c r="A1" s="69" t="str">
        <f>Company</f>
        <v>BLACK HILLS NEBRASKA GAS, LLC</v>
      </c>
      <c r="E1" s="977"/>
      <c r="F1" s="82"/>
      <c r="I1" s="82"/>
      <c r="J1" s="82"/>
      <c r="M1" s="72" t="str">
        <f>Attach</f>
        <v>FINAL - BH January 15, 2021 Rev. Req. Model</v>
      </c>
    </row>
    <row r="2" spans="1:14">
      <c r="A2" s="74" t="s">
        <v>81</v>
      </c>
      <c r="B2" s="74"/>
      <c r="C2" s="74"/>
      <c r="D2" s="74"/>
      <c r="E2" s="1005"/>
      <c r="F2" s="342"/>
      <c r="H2" s="615"/>
      <c r="I2" s="1005"/>
      <c r="J2" s="82"/>
      <c r="M2" s="84" t="s">
        <v>741</v>
      </c>
    </row>
    <row r="3" spans="1:14">
      <c r="A3" s="70" t="str">
        <f>TYEnded</f>
        <v>FOR THE TEST YEAR ENDING DECEMBER 31, 2020</v>
      </c>
      <c r="B3" s="74"/>
      <c r="C3" s="74"/>
      <c r="D3" s="74"/>
      <c r="E3" s="15" t="s">
        <v>199</v>
      </c>
      <c r="F3" s="74"/>
      <c r="G3" s="15" t="s">
        <v>200</v>
      </c>
      <c r="H3" s="15"/>
      <c r="I3" s="15" t="s">
        <v>41</v>
      </c>
      <c r="J3" s="15"/>
      <c r="K3" s="15" t="s">
        <v>202</v>
      </c>
      <c r="L3" s="15"/>
      <c r="M3" s="5" t="s">
        <v>203</v>
      </c>
    </row>
    <row r="4" spans="1:14">
      <c r="B4" s="74"/>
      <c r="C4" s="74"/>
      <c r="D4" s="74"/>
      <c r="E4" s="103"/>
      <c r="F4" s="74"/>
      <c r="G4" s="23"/>
      <c r="H4" s="803"/>
      <c r="I4" s="15" t="s">
        <v>105</v>
      </c>
      <c r="J4" s="15"/>
      <c r="M4" s="5" t="s">
        <v>294</v>
      </c>
      <c r="N4" s="84"/>
    </row>
    <row r="5" spans="1:14">
      <c r="A5" s="76"/>
      <c r="B5" s="76"/>
      <c r="E5" s="364" t="s">
        <v>212</v>
      </c>
      <c r="F5" s="364"/>
      <c r="G5" s="23"/>
      <c r="H5" s="364"/>
      <c r="I5" s="23"/>
      <c r="J5" s="23"/>
      <c r="K5" s="15" t="s">
        <v>843</v>
      </c>
      <c r="L5" s="15"/>
      <c r="M5" s="15" t="s">
        <v>850</v>
      </c>
    </row>
    <row r="6" spans="1:14">
      <c r="A6" s="423"/>
      <c r="B6" s="423"/>
      <c r="C6" s="80"/>
      <c r="D6" s="80"/>
      <c r="E6" s="364" t="s">
        <v>471</v>
      </c>
      <c r="F6" s="80"/>
      <c r="G6" s="15" t="s">
        <v>855</v>
      </c>
      <c r="H6" s="424"/>
      <c r="I6" s="23"/>
      <c r="J6" s="23"/>
      <c r="K6" s="15" t="s">
        <v>799</v>
      </c>
      <c r="L6" s="15"/>
      <c r="M6" s="5" t="s">
        <v>212</v>
      </c>
      <c r="N6" s="423"/>
    </row>
    <row r="7" spans="1:14">
      <c r="A7" s="423" t="s">
        <v>365</v>
      </c>
      <c r="B7" s="423" t="s">
        <v>241</v>
      </c>
      <c r="C7" s="423"/>
      <c r="D7" s="423"/>
      <c r="E7" s="364" t="s">
        <v>332</v>
      </c>
      <c r="F7" s="423"/>
      <c r="G7" s="15" t="s">
        <v>89</v>
      </c>
      <c r="H7" s="424"/>
      <c r="I7" s="364" t="s">
        <v>89</v>
      </c>
      <c r="J7" s="364"/>
      <c r="K7" s="15" t="s">
        <v>84</v>
      </c>
      <c r="L7" s="15"/>
      <c r="M7" s="5" t="s">
        <v>84</v>
      </c>
      <c r="N7" s="423"/>
    </row>
    <row r="8" spans="1:14">
      <c r="A8" s="425" t="s">
        <v>195</v>
      </c>
      <c r="B8" s="425" t="s">
        <v>515</v>
      </c>
      <c r="C8" s="425" t="s">
        <v>196</v>
      </c>
      <c r="D8" s="425"/>
      <c r="E8" s="425" t="s">
        <v>742</v>
      </c>
      <c r="F8" s="425"/>
      <c r="G8" s="362" t="s">
        <v>90</v>
      </c>
      <c r="H8" s="426"/>
      <c r="I8" s="362" t="s">
        <v>91</v>
      </c>
      <c r="J8" s="362"/>
      <c r="K8" s="362" t="s">
        <v>92</v>
      </c>
      <c r="L8" s="362"/>
      <c r="M8" s="125" t="s">
        <v>93</v>
      </c>
      <c r="N8" s="466"/>
    </row>
    <row r="9" spans="1:14">
      <c r="A9" s="469"/>
      <c r="B9" s="469"/>
      <c r="C9" s="82"/>
      <c r="D9" s="82"/>
      <c r="E9" s="82"/>
      <c r="F9" s="82"/>
      <c r="I9" s="82"/>
      <c r="J9" s="82"/>
      <c r="M9" s="82"/>
    </row>
    <row r="10" spans="1:14">
      <c r="A10" s="469">
        <f>1+A9</f>
        <v>1</v>
      </c>
      <c r="B10" s="469"/>
      <c r="C10" s="342" t="str">
        <f>'Sched D-1'!C10</f>
        <v>INTANGIBLE PLANT</v>
      </c>
      <c r="D10" s="82"/>
      <c r="E10" s="82"/>
      <c r="F10" s="82"/>
      <c r="I10" s="82"/>
      <c r="J10" s="82"/>
      <c r="M10" s="82"/>
    </row>
    <row r="11" spans="1:14">
      <c r="A11" s="469">
        <f t="shared" ref="A11:A38" si="0">1+A10</f>
        <v>2</v>
      </c>
      <c r="B11" s="469">
        <f>'Sched D-1'!B11</f>
        <v>301</v>
      </c>
      <c r="C11" s="1335" t="str">
        <f>'Sched D-1'!C11</f>
        <v>Intangibles Organization</v>
      </c>
      <c r="D11" s="82"/>
      <c r="E11" s="574">
        <f>VLOOKUP(B11,'Sched D-1'!B:O,14,FALSE)</f>
        <v>256</v>
      </c>
      <c r="F11" s="574"/>
      <c r="G11" s="574">
        <f>-E11</f>
        <v>-256</v>
      </c>
      <c r="H11" s="574"/>
      <c r="I11" s="574">
        <f>SUM(E11:G11)</f>
        <v>0</v>
      </c>
      <c r="J11" s="574"/>
      <c r="K11" s="834"/>
      <c r="L11" s="829"/>
      <c r="M11" s="574">
        <f>(K11*I11)</f>
        <v>0</v>
      </c>
      <c r="N11" s="998"/>
    </row>
    <row r="12" spans="1:14">
      <c r="A12" s="469">
        <f t="shared" si="0"/>
        <v>3</v>
      </c>
      <c r="B12" s="469">
        <f>'Sched D-1'!B12</f>
        <v>302</v>
      </c>
      <c r="C12" s="1335" t="str">
        <f>'Sched D-1'!C12</f>
        <v>Intangibles Franchises &amp; Consents</v>
      </c>
      <c r="D12" s="82"/>
      <c r="E12" s="790">
        <f>VLOOKUP(B12,'Sched D-1'!B:O,14,FALSE)</f>
        <v>121062.49</v>
      </c>
      <c r="F12" s="680"/>
      <c r="G12" s="790">
        <v>0</v>
      </c>
      <c r="H12" s="680"/>
      <c r="I12" s="680">
        <f>SUM(E12:G12)</f>
        <v>121062.49</v>
      </c>
      <c r="J12" s="680"/>
      <c r="K12" s="829">
        <v>5.7999999999999996E-3</v>
      </c>
      <c r="L12" s="829"/>
      <c r="M12" s="790">
        <f>(K12*I12)</f>
        <v>702.16244199999994</v>
      </c>
      <c r="N12" s="998"/>
    </row>
    <row r="13" spans="1:14">
      <c r="A13" s="469">
        <f t="shared" si="0"/>
        <v>4</v>
      </c>
      <c r="B13" s="469">
        <f>'Sched D-1'!B13</f>
        <v>303</v>
      </c>
      <c r="C13" s="1335" t="str">
        <f>'Sched D-1'!C13</f>
        <v>Intangibles Miscellaneous</v>
      </c>
      <c r="D13" s="82"/>
      <c r="E13" s="790">
        <f>VLOOKUP(B13,'Sched D-1'!B:O,14,FALSE)</f>
        <v>742880.94</v>
      </c>
      <c r="F13" s="680"/>
      <c r="G13" s="790">
        <v>0</v>
      </c>
      <c r="H13" s="680"/>
      <c r="I13" s="680">
        <f t="shared" ref="I13:I14" si="1">SUM(E13:G13)</f>
        <v>742880.94</v>
      </c>
      <c r="J13" s="680"/>
      <c r="K13" s="829">
        <v>6.6100000000000006E-2</v>
      </c>
      <c r="L13" s="829"/>
      <c r="M13" s="790">
        <f>(K13*I13)</f>
        <v>49104.430134000002</v>
      </c>
      <c r="N13" s="998"/>
    </row>
    <row r="14" spans="1:14">
      <c r="A14" s="469">
        <f t="shared" si="0"/>
        <v>5</v>
      </c>
      <c r="B14" s="469">
        <f>'Sched D-1'!B14</f>
        <v>303.01</v>
      </c>
      <c r="C14" s="1335" t="str">
        <f>'Sched D-1'!C14</f>
        <v>Intangibles Miscellaneous - Easements</v>
      </c>
      <c r="D14" s="82"/>
      <c r="E14" s="790">
        <f>VLOOKUP(B14,'Sched D-1'!B:O,14,FALSE)</f>
        <v>500000</v>
      </c>
      <c r="F14" s="680"/>
      <c r="G14" s="680">
        <v>0</v>
      </c>
      <c r="H14" s="680"/>
      <c r="I14" s="680">
        <f t="shared" si="1"/>
        <v>500000</v>
      </c>
      <c r="J14" s="680"/>
      <c r="K14" s="829">
        <v>5.0500000000000003E-2</v>
      </c>
      <c r="L14" s="830"/>
      <c r="M14" s="680">
        <f>K14*I14</f>
        <v>25250</v>
      </c>
      <c r="N14" s="998"/>
    </row>
    <row r="15" spans="1:14">
      <c r="A15" s="469">
        <f t="shared" si="0"/>
        <v>6</v>
      </c>
      <c r="B15" s="469"/>
      <c r="C15" s="809" t="s">
        <v>367</v>
      </c>
      <c r="D15" s="82"/>
      <c r="E15" s="681">
        <f>ROUND(SUM(E11:E14),0)</f>
        <v>1364199</v>
      </c>
      <c r="F15" s="574"/>
      <c r="G15" s="681">
        <f>ROUND(SUM(G11:G14),0)</f>
        <v>-256</v>
      </c>
      <c r="H15" s="683"/>
      <c r="I15" s="681">
        <f>ROUND(SUM(I11:I14),0)</f>
        <v>1363943</v>
      </c>
      <c r="J15" s="681"/>
      <c r="K15" s="683"/>
      <c r="L15" s="683"/>
      <c r="M15" s="681">
        <f>ROUND(SUM(M11:M14),0)</f>
        <v>75057</v>
      </c>
      <c r="N15" s="998"/>
    </row>
    <row r="16" spans="1:14">
      <c r="A16" s="469">
        <f t="shared" si="0"/>
        <v>7</v>
      </c>
      <c r="B16" s="469"/>
      <c r="C16" s="811"/>
      <c r="E16" s="683"/>
      <c r="F16" s="574"/>
      <c r="G16" s="683"/>
      <c r="H16" s="683"/>
      <c r="I16" s="683"/>
      <c r="J16" s="683"/>
      <c r="K16" s="683"/>
      <c r="L16" s="683"/>
      <c r="M16" s="683"/>
      <c r="N16" s="998"/>
    </row>
    <row r="17" spans="1:14">
      <c r="A17" s="76">
        <f t="shared" si="0"/>
        <v>8</v>
      </c>
      <c r="B17" s="469"/>
      <c r="C17" s="20" t="s">
        <v>299</v>
      </c>
      <c r="E17" s="574"/>
      <c r="F17" s="574"/>
      <c r="G17" s="574"/>
      <c r="H17" s="574"/>
      <c r="I17" s="574"/>
      <c r="J17" s="574"/>
      <c r="K17" s="574"/>
      <c r="L17" s="574"/>
      <c r="M17" s="574"/>
      <c r="N17" s="998"/>
    </row>
    <row r="18" spans="1:14">
      <c r="A18" s="76">
        <f t="shared" si="0"/>
        <v>9</v>
      </c>
      <c r="B18" s="469">
        <f>'Sched D-1'!B18</f>
        <v>365.03</v>
      </c>
      <c r="C18" s="1335" t="str">
        <f>'Sched D-1'!C18</f>
        <v xml:space="preserve">Right-of-Way </v>
      </c>
      <c r="E18" s="574">
        <f>VLOOKUP(B18,'Sched D-1'!B:O,14,FALSE)</f>
        <v>170272.49</v>
      </c>
      <c r="F18" s="574"/>
      <c r="G18" s="574">
        <v>0</v>
      </c>
      <c r="H18" s="683"/>
      <c r="I18" s="574">
        <f t="shared" ref="I18:I21" si="2">SUM(E18:G18)</f>
        <v>170272.49</v>
      </c>
      <c r="J18" s="574"/>
      <c r="K18" s="829">
        <v>7.6E-3</v>
      </c>
      <c r="L18" s="834"/>
      <c r="M18" s="574">
        <f t="shared" ref="M18:M21" si="3">K18*I18</f>
        <v>1294.0709239999999</v>
      </c>
      <c r="N18" s="998"/>
    </row>
    <row r="19" spans="1:14">
      <c r="A19" s="76">
        <f t="shared" si="0"/>
        <v>10</v>
      </c>
      <c r="B19" s="469">
        <f>'Sched D-1'!B19</f>
        <v>366.01</v>
      </c>
      <c r="C19" s="1335" t="str">
        <f>'Sched D-1'!C19</f>
        <v>Structures and Improvements</v>
      </c>
      <c r="E19" s="790">
        <f>VLOOKUP(B19,'Sched D-1'!B:O,14,FALSE)</f>
        <v>8173.65</v>
      </c>
      <c r="F19" s="790"/>
      <c r="G19" s="805">
        <v>0</v>
      </c>
      <c r="H19" s="683"/>
      <c r="I19" s="790">
        <f>SUM(E19:G19)</f>
        <v>8173.65</v>
      </c>
      <c r="J19" s="790"/>
      <c r="K19" s="829">
        <v>4.8999999999999998E-3</v>
      </c>
      <c r="L19" s="829"/>
      <c r="M19" s="680">
        <f t="shared" si="3"/>
        <v>40.050884999999994</v>
      </c>
      <c r="N19" s="998"/>
    </row>
    <row r="20" spans="1:14">
      <c r="A20" s="76">
        <f t="shared" si="0"/>
        <v>11</v>
      </c>
      <c r="B20" s="469">
        <f>'Sched D-1'!B20</f>
        <v>367</v>
      </c>
      <c r="C20" s="1335" t="str">
        <f>'Sched D-1'!C20</f>
        <v xml:space="preserve">Transmission Plant - Mains </v>
      </c>
      <c r="E20" s="790">
        <f>VLOOKUP(B20,'Sched D-1'!B:O,14,FALSE)</f>
        <v>5361146.8400000008</v>
      </c>
      <c r="F20" s="790"/>
      <c r="G20" s="831">
        <v>0</v>
      </c>
      <c r="H20" s="683"/>
      <c r="I20" s="790">
        <f t="shared" si="2"/>
        <v>5361146.8400000008</v>
      </c>
      <c r="J20" s="790"/>
      <c r="K20" s="829">
        <v>4.8999999999999998E-3</v>
      </c>
      <c r="L20" s="829"/>
      <c r="M20" s="680">
        <f t="shared" si="3"/>
        <v>26269.619516000002</v>
      </c>
      <c r="N20" s="998"/>
    </row>
    <row r="21" spans="1:14">
      <c r="A21" s="76">
        <f t="shared" si="0"/>
        <v>12</v>
      </c>
      <c r="B21" s="469">
        <f>'Sched D-1'!B21</f>
        <v>369.03</v>
      </c>
      <c r="C21" s="1335" t="str">
        <f>'Sched D-1'!C21</f>
        <v xml:space="preserve">Transmission Plant - Meas. &amp; Reg. Sta. Equip. </v>
      </c>
      <c r="E21" s="790">
        <f>VLOOKUP(B21,'Sched D-1'!B:O,14,FALSE)</f>
        <v>624131.56999999995</v>
      </c>
      <c r="F21" s="790"/>
      <c r="G21" s="831">
        <v>0</v>
      </c>
      <c r="H21" s="683"/>
      <c r="I21" s="790">
        <f t="shared" si="2"/>
        <v>624131.56999999995</v>
      </c>
      <c r="J21" s="790"/>
      <c r="K21" s="829">
        <v>2.0799999999999999E-2</v>
      </c>
      <c r="L21" s="829"/>
      <c r="M21" s="680">
        <f t="shared" si="3"/>
        <v>12981.936655999998</v>
      </c>
      <c r="N21" s="998"/>
    </row>
    <row r="22" spans="1:14">
      <c r="A22" s="76">
        <f t="shared" si="0"/>
        <v>13</v>
      </c>
      <c r="B22" s="469"/>
      <c r="C22" s="809" t="s">
        <v>118</v>
      </c>
      <c r="E22" s="682">
        <f>ROUND(SUM(E18:E21),0)</f>
        <v>6163725</v>
      </c>
      <c r="F22" s="574"/>
      <c r="G22" s="682">
        <f>ROUND(SUM(G18:G21),0)</f>
        <v>0</v>
      </c>
      <c r="H22" s="683"/>
      <c r="I22" s="682">
        <f>ROUND(SUM(I18:I21),0)</f>
        <v>6163725</v>
      </c>
      <c r="J22" s="683"/>
      <c r="K22" s="683"/>
      <c r="L22" s="683"/>
      <c r="M22" s="682">
        <f>ROUND(SUM(M18:M21),0)</f>
        <v>40586</v>
      </c>
      <c r="N22" s="998"/>
    </row>
    <row r="23" spans="1:14">
      <c r="A23" s="76">
        <f t="shared" si="0"/>
        <v>14</v>
      </c>
      <c r="B23" s="469"/>
      <c r="C23" s="1336"/>
      <c r="E23" s="683"/>
      <c r="F23" s="574"/>
      <c r="G23" s="683"/>
      <c r="H23" s="683"/>
      <c r="I23" s="683"/>
      <c r="J23" s="683"/>
      <c r="K23" s="683"/>
      <c r="L23" s="683"/>
      <c r="M23" s="683"/>
      <c r="N23" s="998"/>
    </row>
    <row r="24" spans="1:14">
      <c r="A24" s="76">
        <f t="shared" si="0"/>
        <v>15</v>
      </c>
      <c r="B24" s="469"/>
      <c r="C24" s="20" t="s">
        <v>432</v>
      </c>
      <c r="E24" s="683"/>
      <c r="F24" s="574"/>
      <c r="G24" s="683"/>
      <c r="H24" s="683"/>
      <c r="I24" s="683"/>
      <c r="J24" s="683"/>
      <c r="K24" s="683"/>
      <c r="L24" s="683"/>
      <c r="M24" s="683"/>
      <c r="N24" s="998"/>
    </row>
    <row r="25" spans="1:14">
      <c r="A25" s="76">
        <f t="shared" si="0"/>
        <v>16</v>
      </c>
      <c r="B25" s="469">
        <f>'Sched D-1'!B25</f>
        <v>374.01</v>
      </c>
      <c r="C25" s="811" t="str">
        <f>'Sched D-1'!C25</f>
        <v>Distribution Plant - Land</v>
      </c>
      <c r="E25" s="574">
        <f>VLOOKUP(B25,'Sched D-1'!B:O,14,FALSE)</f>
        <v>608493.55000000005</v>
      </c>
      <c r="F25" s="574"/>
      <c r="G25" s="683">
        <f>-E25</f>
        <v>-608493.55000000005</v>
      </c>
      <c r="H25" s="683"/>
      <c r="I25" s="574">
        <f t="shared" ref="I25:I41" si="4">SUM(E25:G25)</f>
        <v>0</v>
      </c>
      <c r="J25" s="574"/>
      <c r="K25" s="834"/>
      <c r="L25" s="574"/>
      <c r="M25" s="574">
        <f t="shared" ref="M25:M41" si="5">K25*I25</f>
        <v>0</v>
      </c>
      <c r="N25" s="998"/>
    </row>
    <row r="26" spans="1:14">
      <c r="A26" s="76">
        <f t="shared" si="0"/>
        <v>17</v>
      </c>
      <c r="B26" s="469">
        <f>'Sched D-1'!B26</f>
        <v>374.02</v>
      </c>
      <c r="C26" s="811" t="str">
        <f>'Sched D-1'!C26</f>
        <v>Land Rights (Non-Depreciable)</v>
      </c>
      <c r="E26" s="790">
        <f>VLOOKUP(B26,'Sched D-1'!B:O,14,FALSE)</f>
        <v>1693103.5573682757</v>
      </c>
      <c r="F26" s="680"/>
      <c r="G26" s="842">
        <f>-E26</f>
        <v>-1693103.5573682757</v>
      </c>
      <c r="H26" s="683"/>
      <c r="I26" s="680">
        <f>SUM(E26:G26)</f>
        <v>0</v>
      </c>
      <c r="J26" s="680"/>
      <c r="K26" s="834"/>
      <c r="L26" s="829"/>
      <c r="M26" s="680">
        <f t="shared" si="5"/>
        <v>0</v>
      </c>
      <c r="N26" s="998"/>
    </row>
    <row r="27" spans="1:14">
      <c r="A27" s="76">
        <f t="shared" si="0"/>
        <v>18</v>
      </c>
      <c r="B27" s="469">
        <f>'Sched D-1'!B27</f>
        <v>374.03</v>
      </c>
      <c r="C27" s="811" t="str">
        <f>'Sched D-1'!C27</f>
        <v>Land Rights - Right of Way (Depreciable)</v>
      </c>
      <c r="E27" s="790">
        <f>VLOOKUP(B27,'Sched D-1'!B:O,14,FALSE)</f>
        <v>6797135.5700000003</v>
      </c>
      <c r="F27" s="680"/>
      <c r="G27" s="842">
        <v>0</v>
      </c>
      <c r="H27" s="683"/>
      <c r="I27" s="680">
        <f t="shared" si="4"/>
        <v>6797135.5700000003</v>
      </c>
      <c r="J27" s="680"/>
      <c r="K27" s="829">
        <v>9.4999999999999998E-3</v>
      </c>
      <c r="L27" s="829"/>
      <c r="M27" s="680">
        <f t="shared" si="5"/>
        <v>64572.787915000001</v>
      </c>
      <c r="N27" s="998"/>
    </row>
    <row r="28" spans="1:14">
      <c r="A28" s="76">
        <f t="shared" si="0"/>
        <v>19</v>
      </c>
      <c r="B28" s="469">
        <f>'Sched D-1'!B28</f>
        <v>375.01</v>
      </c>
      <c r="C28" s="811" t="str">
        <f>'Sched D-1'!C28</f>
        <v>Structures and Improvements</v>
      </c>
      <c r="E28" s="790">
        <f>VLOOKUP(B28,'Sched D-1'!B:O,14,FALSE)</f>
        <v>3462086.8492294252</v>
      </c>
      <c r="F28" s="680"/>
      <c r="G28" s="842">
        <v>0</v>
      </c>
      <c r="H28" s="683"/>
      <c r="I28" s="680">
        <f t="shared" si="4"/>
        <v>3462086.8492294252</v>
      </c>
      <c r="J28" s="680"/>
      <c r="K28" s="829">
        <v>7.6E-3</v>
      </c>
      <c r="L28" s="829"/>
      <c r="M28" s="680">
        <f t="shared" si="5"/>
        <v>26311.860054143632</v>
      </c>
      <c r="N28" s="998"/>
    </row>
    <row r="29" spans="1:14">
      <c r="A29" s="76">
        <f t="shared" si="0"/>
        <v>20</v>
      </c>
      <c r="B29" s="1337">
        <f>'Sched D-1'!B29</f>
        <v>375.2</v>
      </c>
      <c r="C29" s="811" t="str">
        <f>'Sched D-1'!C29</f>
        <v>Structures and Improvements - Other</v>
      </c>
      <c r="E29" s="790">
        <f>VLOOKUP(B29,'Sched D-1'!B:O,14,FALSE)</f>
        <v>12119.44</v>
      </c>
      <c r="F29" s="680"/>
      <c r="G29" s="842">
        <v>0</v>
      </c>
      <c r="H29" s="683"/>
      <c r="I29" s="680">
        <f t="shared" si="4"/>
        <v>12119.44</v>
      </c>
      <c r="J29" s="680"/>
      <c r="K29" s="829">
        <v>2.1399999999999999E-2</v>
      </c>
      <c r="L29" s="829"/>
      <c r="M29" s="680">
        <f t="shared" si="5"/>
        <v>259.35601600000001</v>
      </c>
      <c r="N29" s="998"/>
    </row>
    <row r="30" spans="1:14">
      <c r="A30" s="76">
        <f t="shared" si="0"/>
        <v>21</v>
      </c>
      <c r="B30" s="469">
        <f>'Sched D-1'!B30</f>
        <v>376</v>
      </c>
      <c r="C30" s="811" t="str">
        <f>'Sched D-1'!C30</f>
        <v>Distribution Plant - Mains</v>
      </c>
      <c r="E30" s="790">
        <f>VLOOKUP(B30,'Sched D-1'!B:O,14,FALSE)</f>
        <v>444565701.90557998</v>
      </c>
      <c r="F30" s="680"/>
      <c r="G30" s="842">
        <v>0</v>
      </c>
      <c r="H30" s="683"/>
      <c r="I30" s="680">
        <f t="shared" si="4"/>
        <v>444565701.90557998</v>
      </c>
      <c r="J30" s="680"/>
      <c r="K30" s="1747">
        <f>IF($E$103="Y",G105,E105)</f>
        <v>1.37E-2</v>
      </c>
      <c r="L30" s="829"/>
      <c r="M30" s="680">
        <f t="shared" si="5"/>
        <v>6090550.1161064459</v>
      </c>
      <c r="N30" s="998"/>
    </row>
    <row r="31" spans="1:14">
      <c r="A31" s="76">
        <f t="shared" si="0"/>
        <v>22</v>
      </c>
      <c r="B31" s="469">
        <f>'Sched D-1'!B31</f>
        <v>378</v>
      </c>
      <c r="C31" s="811" t="str">
        <f>'Sched D-1'!C31</f>
        <v>Distribution Plant - Meas. &amp; Reg. Sta. Equip. - General</v>
      </c>
      <c r="E31" s="790">
        <f>VLOOKUP(B31,'Sched D-1'!B:O,14,FALSE)</f>
        <v>25439135.747249428</v>
      </c>
      <c r="F31" s="680"/>
      <c r="G31" s="842">
        <v>0</v>
      </c>
      <c r="H31" s="683"/>
      <c r="I31" s="680">
        <f>SUM(E31:G31)</f>
        <v>25439135.747249428</v>
      </c>
      <c r="J31" s="680"/>
      <c r="K31" s="829">
        <v>2.7099999999999999E-2</v>
      </c>
      <c r="L31" s="829"/>
      <c r="M31" s="680">
        <f t="shared" si="5"/>
        <v>689400.57875045948</v>
      </c>
      <c r="N31" s="998"/>
    </row>
    <row r="32" spans="1:14">
      <c r="A32" s="76">
        <f t="shared" si="0"/>
        <v>23</v>
      </c>
      <c r="B32" s="469">
        <f>'Sched D-1'!B32</f>
        <v>379</v>
      </c>
      <c r="C32" s="811" t="str">
        <f>'Sched D-1'!C32</f>
        <v>Measuring &amp; Regulating Station Equip.- City Gate Check Stn.</v>
      </c>
      <c r="E32" s="790">
        <f>VLOOKUP(B32,'Sched D-1'!B:O,14,FALSE)</f>
        <v>5022045.0347600002</v>
      </c>
      <c r="F32" s="680"/>
      <c r="G32" s="842">
        <v>0</v>
      </c>
      <c r="H32" s="683"/>
      <c r="I32" s="680">
        <f t="shared" si="4"/>
        <v>5022045.0347600002</v>
      </c>
      <c r="J32" s="680"/>
      <c r="K32" s="829">
        <v>1.41E-2</v>
      </c>
      <c r="L32" s="829"/>
      <c r="M32" s="680">
        <f t="shared" si="5"/>
        <v>70810.834990115996</v>
      </c>
      <c r="N32" s="998"/>
    </row>
    <row r="33" spans="1:14">
      <c r="A33" s="76">
        <f t="shared" si="0"/>
        <v>24</v>
      </c>
      <c r="B33" s="469">
        <f>'Sched D-1'!B33</f>
        <v>380</v>
      </c>
      <c r="C33" s="811" t="str">
        <f>'Sched D-1'!C33</f>
        <v>Distribution Plant - Services</v>
      </c>
      <c r="E33" s="790">
        <f>VLOOKUP(B33,'Sched D-1'!B:O,14,FALSE)</f>
        <v>159737814.73044708</v>
      </c>
      <c r="F33" s="680"/>
      <c r="G33" s="842">
        <v>0</v>
      </c>
      <c r="H33" s="683"/>
      <c r="I33" s="680">
        <f t="shared" si="4"/>
        <v>159737814.73044708</v>
      </c>
      <c r="J33" s="680"/>
      <c r="K33" s="1747">
        <f>IF($E$103="Y",G106,E106)</f>
        <v>2.6800000000000001E-2</v>
      </c>
      <c r="L33" s="829"/>
      <c r="M33" s="680">
        <f t="shared" si="5"/>
        <v>4280973.4347759821</v>
      </c>
      <c r="N33" s="998"/>
    </row>
    <row r="34" spans="1:14">
      <c r="A34" s="76">
        <f t="shared" si="0"/>
        <v>25</v>
      </c>
      <c r="B34" s="469">
        <f>'Sched D-1'!B34</f>
        <v>381</v>
      </c>
      <c r="C34" s="811" t="str">
        <f>'Sched D-1'!C34</f>
        <v>Meters</v>
      </c>
      <c r="E34" s="790">
        <f>VLOOKUP(B34,'Sched D-1'!B:O,14,FALSE)</f>
        <v>46888273.993909426</v>
      </c>
      <c r="F34" s="680"/>
      <c r="G34" s="842">
        <v>0</v>
      </c>
      <c r="H34" s="683"/>
      <c r="I34" s="680">
        <f t="shared" si="4"/>
        <v>46888273.993909426</v>
      </c>
      <c r="J34" s="680"/>
      <c r="K34" s="829">
        <v>4.7899999999999998E-2</v>
      </c>
      <c r="L34" s="829"/>
      <c r="M34" s="680">
        <f t="shared" si="5"/>
        <v>2245948.3243082613</v>
      </c>
      <c r="N34" s="998"/>
    </row>
    <row r="35" spans="1:14">
      <c r="A35" s="76">
        <f t="shared" si="0"/>
        <v>26</v>
      </c>
      <c r="B35" s="469">
        <f>'Sched D-1'!B35</f>
        <v>382.01</v>
      </c>
      <c r="C35" s="811" t="str">
        <f>'Sched D-1'!C35</f>
        <v>Meter Installations</v>
      </c>
      <c r="E35" s="790">
        <f>VLOOKUP(B35,'Sched D-1'!B:O,14,FALSE)</f>
        <v>12370833.00282</v>
      </c>
      <c r="F35" s="680"/>
      <c r="G35" s="842">
        <v>0</v>
      </c>
      <c r="H35" s="683"/>
      <c r="I35" s="680">
        <f t="shared" si="4"/>
        <v>12370833.00282</v>
      </c>
      <c r="J35" s="680"/>
      <c r="K35" s="829">
        <v>2.6700000000000002E-2</v>
      </c>
      <c r="L35" s="829"/>
      <c r="M35" s="680">
        <f t="shared" si="5"/>
        <v>330301.24117529404</v>
      </c>
      <c r="N35" s="998"/>
    </row>
    <row r="36" spans="1:14">
      <c r="A36" s="76">
        <f t="shared" si="0"/>
        <v>27</v>
      </c>
      <c r="B36" s="469">
        <f>'Sched D-1'!B36</f>
        <v>383.01</v>
      </c>
      <c r="C36" s="811" t="str">
        <f>'Sched D-1'!C36</f>
        <v>Distribution Plant - House Regulators</v>
      </c>
      <c r="E36" s="790">
        <f>VLOOKUP(B36,'Sched D-1'!B:O,14,FALSE)</f>
        <v>74300459.074189425</v>
      </c>
      <c r="F36" s="680"/>
      <c r="G36" s="842">
        <v>0</v>
      </c>
      <c r="H36" s="683"/>
      <c r="I36" s="680">
        <f t="shared" si="4"/>
        <v>74300459.074189425</v>
      </c>
      <c r="J36" s="680"/>
      <c r="K36" s="1747">
        <f>IF($E$103="Y",G107,E107)</f>
        <v>2.6800000000000001E-2</v>
      </c>
      <c r="L36" s="829"/>
      <c r="M36" s="680">
        <f t="shared" si="5"/>
        <v>1991252.3031882767</v>
      </c>
      <c r="N36" s="998"/>
    </row>
    <row r="37" spans="1:14">
      <c r="A37" s="76">
        <f t="shared" si="0"/>
        <v>28</v>
      </c>
      <c r="B37" s="469">
        <f>'Sched D-1'!B37</f>
        <v>383.71</v>
      </c>
      <c r="C37" s="811" t="str">
        <f>'Sched D-1'!C37</f>
        <v>Distribution Plant - House Regulators - Farm Taps</v>
      </c>
      <c r="E37" s="790">
        <f>VLOOKUP(B37,'Sched D-1'!B:O,14,FALSE)</f>
        <v>1056720.0860000001</v>
      </c>
      <c r="F37" s="680"/>
      <c r="G37" s="842">
        <v>0</v>
      </c>
      <c r="H37" s="683"/>
      <c r="I37" s="680">
        <f t="shared" si="4"/>
        <v>1056720.0860000001</v>
      </c>
      <c r="J37" s="680"/>
      <c r="K37" s="1747">
        <f>IF($E$103="Y",G108,E108)</f>
        <v>2.2100000000000002E-2</v>
      </c>
      <c r="L37" s="829"/>
      <c r="M37" s="680">
        <f t="shared" si="5"/>
        <v>23353.513900600003</v>
      </c>
      <c r="N37" s="998"/>
    </row>
    <row r="38" spans="1:14">
      <c r="A38" s="76">
        <f t="shared" si="0"/>
        <v>29</v>
      </c>
      <c r="B38" s="469">
        <f>'Sched D-1'!B38</f>
        <v>384.01</v>
      </c>
      <c r="C38" s="811" t="str">
        <f>'Sched D-1'!C38</f>
        <v>House regulator installations</v>
      </c>
      <c r="E38" s="790">
        <f>VLOOKUP(B38,'Sched D-1'!B:O,14,FALSE)</f>
        <v>1557089.8189999999</v>
      </c>
      <c r="F38" s="680"/>
      <c r="G38" s="842">
        <v>0</v>
      </c>
      <c r="H38" s="683"/>
      <c r="I38" s="680">
        <f t="shared" si="4"/>
        <v>1557089.8189999999</v>
      </c>
      <c r="J38" s="680"/>
      <c r="K38" s="829">
        <v>1.21E-2</v>
      </c>
      <c r="L38" s="829"/>
      <c r="M38" s="680">
        <f t="shared" si="5"/>
        <v>18840.786809899997</v>
      </c>
      <c r="N38" s="998"/>
    </row>
    <row r="39" spans="1:14">
      <c r="A39" s="76">
        <f t="shared" ref="A39" si="6">1+A38</f>
        <v>30</v>
      </c>
      <c r="B39" s="469">
        <f>'Sched D-1'!B39</f>
        <v>385</v>
      </c>
      <c r="C39" s="811" t="str">
        <f>'Sched D-1'!C39</f>
        <v>Industrial Measuring &amp; Regulating Station Equipment</v>
      </c>
      <c r="E39" s="790">
        <f>VLOOKUP(B39,'Sched D-1'!B:O,14,FALSE)</f>
        <v>12527682.052389422</v>
      </c>
      <c r="F39" s="680"/>
      <c r="G39" s="842">
        <v>0</v>
      </c>
      <c r="H39" s="683"/>
      <c r="I39" s="680">
        <f t="shared" si="4"/>
        <v>12527682.052389422</v>
      </c>
      <c r="J39" s="680"/>
      <c r="K39" s="829">
        <v>2.58E-2</v>
      </c>
      <c r="L39" s="829"/>
      <c r="M39" s="680">
        <f t="shared" si="5"/>
        <v>323214.19695164711</v>
      </c>
      <c r="N39" s="998"/>
    </row>
    <row r="40" spans="1:14">
      <c r="A40" s="76">
        <f t="shared" ref="A40:A98" si="7">1+A39</f>
        <v>31</v>
      </c>
      <c r="B40" s="469">
        <f>'Sched D-1'!B40</f>
        <v>386</v>
      </c>
      <c r="C40" s="811" t="str">
        <f>'Sched D-1'!C40</f>
        <v>Other Property on Customers' Premises</v>
      </c>
      <c r="E40" s="790">
        <f>VLOOKUP(B40,'Sched D-1'!B:O,14,FALSE)</f>
        <v>35278.870000000003</v>
      </c>
      <c r="F40" s="680"/>
      <c r="G40" s="842">
        <v>0</v>
      </c>
      <c r="H40" s="683"/>
      <c r="I40" s="680">
        <f t="shared" si="4"/>
        <v>35278.870000000003</v>
      </c>
      <c r="J40" s="680"/>
      <c r="K40" s="829">
        <v>1.04E-2</v>
      </c>
      <c r="L40" s="829"/>
      <c r="M40" s="680">
        <f t="shared" si="5"/>
        <v>366.90024800000003</v>
      </c>
      <c r="N40" s="998"/>
    </row>
    <row r="41" spans="1:14">
      <c r="A41" s="76">
        <f t="shared" si="7"/>
        <v>32</v>
      </c>
      <c r="B41" s="469">
        <f>'Sched D-1'!B41</f>
        <v>387</v>
      </c>
      <c r="C41" s="811" t="str">
        <f>'Sched D-1'!C41</f>
        <v>Other Equipment</v>
      </c>
      <c r="E41" s="790">
        <f>VLOOKUP(B41,'Sched D-1'!B:O,14,FALSE)</f>
        <v>407724.66000000003</v>
      </c>
      <c r="F41" s="680"/>
      <c r="G41" s="842">
        <v>0</v>
      </c>
      <c r="H41" s="683"/>
      <c r="I41" s="680">
        <f t="shared" si="4"/>
        <v>407724.66000000003</v>
      </c>
      <c r="J41" s="668"/>
      <c r="K41" s="829">
        <v>2.06E-2</v>
      </c>
      <c r="L41" s="829"/>
      <c r="M41" s="680">
        <f t="shared" si="5"/>
        <v>8399.1279960000011</v>
      </c>
      <c r="N41" s="998"/>
    </row>
    <row r="42" spans="1:14">
      <c r="A42" s="76">
        <f t="shared" si="7"/>
        <v>33</v>
      </c>
      <c r="B42" s="469"/>
      <c r="C42" s="1336" t="s">
        <v>436</v>
      </c>
      <c r="E42" s="682">
        <f>ROUND(SUM(E25:E41),0)</f>
        <v>796481698</v>
      </c>
      <c r="F42" s="574"/>
      <c r="G42" s="682">
        <f>ROUND(SUM(G25:G41),0)</f>
        <v>-2301597</v>
      </c>
      <c r="H42" s="683"/>
      <c r="I42" s="682">
        <f>ROUND(SUM(I25:I41),0)</f>
        <v>794180101</v>
      </c>
      <c r="J42" s="683"/>
      <c r="K42" s="683"/>
      <c r="L42" s="683"/>
      <c r="M42" s="682">
        <f>ROUND(SUM(M25:M41),0)</f>
        <v>16164555</v>
      </c>
      <c r="N42" s="1746">
        <f>(M42+M22)/(E22+E42)</f>
        <v>2.0189663499769313E-2</v>
      </c>
    </row>
    <row r="43" spans="1:14">
      <c r="A43" s="76">
        <f t="shared" si="7"/>
        <v>34</v>
      </c>
      <c r="B43" s="469"/>
      <c r="C43" s="1336"/>
      <c r="E43" s="574"/>
      <c r="F43" s="574"/>
      <c r="G43" s="574"/>
      <c r="H43" s="574"/>
      <c r="I43" s="574"/>
      <c r="J43" s="574"/>
      <c r="K43" s="574"/>
      <c r="L43" s="574"/>
      <c r="M43" s="574"/>
      <c r="N43" s="998"/>
    </row>
    <row r="44" spans="1:14">
      <c r="A44" s="76">
        <f t="shared" si="7"/>
        <v>35</v>
      </c>
      <c r="B44" s="469"/>
      <c r="C44" s="1030" t="s">
        <v>300</v>
      </c>
      <c r="E44" s="574"/>
      <c r="F44" s="574"/>
      <c r="G44" s="574"/>
      <c r="H44" s="574"/>
      <c r="I44" s="574"/>
      <c r="J44" s="574"/>
      <c r="K44" s="574"/>
      <c r="L44" s="574"/>
      <c r="M44" s="574"/>
      <c r="N44" s="998"/>
    </row>
    <row r="45" spans="1:14">
      <c r="A45" s="76">
        <f t="shared" si="7"/>
        <v>36</v>
      </c>
      <c r="B45" s="469">
        <f>'Sched D-1'!B45</f>
        <v>389.01</v>
      </c>
      <c r="C45" s="811" t="str">
        <f>'Sched D-1'!C45</f>
        <v>Land</v>
      </c>
      <c r="E45" s="574">
        <f>VLOOKUP(B45,'Sched D-1'!B:O,14,FALSE)</f>
        <v>6105836.9821000006</v>
      </c>
      <c r="F45" s="574"/>
      <c r="G45" s="574">
        <f>-E45</f>
        <v>-6105836.9821000006</v>
      </c>
      <c r="H45" s="683"/>
      <c r="I45" s="574">
        <f t="shared" ref="I45:I67" si="8">SUM(E45:G45)</f>
        <v>0</v>
      </c>
      <c r="J45" s="574"/>
      <c r="K45" s="834"/>
      <c r="L45" s="574"/>
      <c r="M45" s="574">
        <f>K45*I45</f>
        <v>0</v>
      </c>
      <c r="N45" s="998"/>
    </row>
    <row r="46" spans="1:14">
      <c r="A46" s="76">
        <f t="shared" si="7"/>
        <v>37</v>
      </c>
      <c r="B46" s="469">
        <f>'Sched D-1'!B46</f>
        <v>389.02</v>
      </c>
      <c r="C46" s="811" t="str">
        <f>'Sched D-1'!C46</f>
        <v>Land Rights - Right of Way</v>
      </c>
      <c r="E46" s="790">
        <f>VLOOKUP(B46,'Sched D-1'!B:O,14,FALSE)</f>
        <v>1428870.5133</v>
      </c>
      <c r="F46" s="574"/>
      <c r="G46" s="831">
        <f>-E46</f>
        <v>-1428870.5133</v>
      </c>
      <c r="H46" s="683"/>
      <c r="I46" s="790">
        <f t="shared" si="8"/>
        <v>0</v>
      </c>
      <c r="J46" s="574"/>
      <c r="K46" s="834"/>
      <c r="L46" s="574"/>
      <c r="M46" s="680">
        <f>K46*I46</f>
        <v>0</v>
      </c>
      <c r="N46" s="998"/>
    </row>
    <row r="47" spans="1:14">
      <c r="A47" s="76">
        <f t="shared" si="7"/>
        <v>38</v>
      </c>
      <c r="B47" s="469">
        <f>'Sched D-1'!B47</f>
        <v>390.01</v>
      </c>
      <c r="C47" s="811" t="str">
        <f>'Sched D-1'!C47</f>
        <v xml:space="preserve">Structures and Improvements </v>
      </c>
      <c r="E47" s="790">
        <f>VLOOKUP(B47,'Sched D-1'!B:O,14,FALSE)</f>
        <v>44604435.312399998</v>
      </c>
      <c r="F47" s="790"/>
      <c r="G47" s="831">
        <v>0</v>
      </c>
      <c r="H47" s="683"/>
      <c r="I47" s="790">
        <f t="shared" si="8"/>
        <v>44604435.312399998</v>
      </c>
      <c r="J47" s="790"/>
      <c r="K47" s="829">
        <v>2.98E-2</v>
      </c>
      <c r="L47" s="829"/>
      <c r="M47" s="680">
        <f>K47*I47</f>
        <v>1329212.17230952</v>
      </c>
      <c r="N47" s="998"/>
    </row>
    <row r="48" spans="1:14">
      <c r="A48" s="76">
        <f t="shared" si="7"/>
        <v>39</v>
      </c>
      <c r="B48" s="469">
        <f>'Sched D-1'!B48</f>
        <v>390.51</v>
      </c>
      <c r="C48" s="811" t="str">
        <f>'Sched D-1'!C48</f>
        <v>Leasehold Improvements</v>
      </c>
      <c r="E48" s="790">
        <f>VLOOKUP(B48,'Sched D-1'!B:O,14,FALSE)</f>
        <v>93091.32</v>
      </c>
      <c r="F48" s="790"/>
      <c r="G48" s="831">
        <v>0</v>
      </c>
      <c r="H48" s="683"/>
      <c r="I48" s="790">
        <f t="shared" si="8"/>
        <v>93091.32</v>
      </c>
      <c r="J48" s="790"/>
      <c r="K48" s="829">
        <v>9.2799999999999994E-2</v>
      </c>
      <c r="L48" s="829"/>
      <c r="M48" s="680">
        <f t="shared" ref="M48:M67" si="9">K48*I48</f>
        <v>8638.8744960000004</v>
      </c>
      <c r="N48" s="998"/>
    </row>
    <row r="49" spans="1:15" s="82" customFormat="1">
      <c r="A49" s="76">
        <f t="shared" si="7"/>
        <v>40</v>
      </c>
      <c r="B49" s="469">
        <f>'Sched D-1'!B49</f>
        <v>391.01</v>
      </c>
      <c r="C49" s="811" t="str">
        <f>'Sched D-1'!C49</f>
        <v>Office Machines</v>
      </c>
      <c r="E49" s="790">
        <f>VLOOKUP(B49,'Sched D-1'!B:O,14,FALSE)</f>
        <v>507770.86109999998</v>
      </c>
      <c r="F49" s="790"/>
      <c r="G49" s="831">
        <v>0</v>
      </c>
      <c r="H49" s="683"/>
      <c r="I49" s="790">
        <f t="shared" si="8"/>
        <v>507770.86109999998</v>
      </c>
      <c r="J49" s="790"/>
      <c r="K49" s="829">
        <v>4.9799999999999997E-2</v>
      </c>
      <c r="L49" s="829"/>
      <c r="M49" s="680">
        <f t="shared" si="9"/>
        <v>25286.988882779999</v>
      </c>
      <c r="N49" s="998"/>
    </row>
    <row r="50" spans="1:15">
      <c r="A50" s="76">
        <f t="shared" si="7"/>
        <v>41</v>
      </c>
      <c r="B50" s="469">
        <f>'Sched D-1'!B50</f>
        <v>391.02</v>
      </c>
      <c r="C50" s="811" t="str">
        <f>'Sched D-1'!C50</f>
        <v>Office Furniture</v>
      </c>
      <c r="E50" s="790">
        <f>VLOOKUP(B50,'Sched D-1'!B:O,14,FALSE)</f>
        <v>0</v>
      </c>
      <c r="F50" s="790"/>
      <c r="G50" s="831">
        <v>0</v>
      </c>
      <c r="H50" s="683"/>
      <c r="I50" s="790">
        <f t="shared" si="8"/>
        <v>0</v>
      </c>
      <c r="J50" s="790"/>
      <c r="K50" s="834"/>
      <c r="L50" s="829"/>
      <c r="M50" s="680">
        <f t="shared" si="9"/>
        <v>0</v>
      </c>
      <c r="N50" s="998"/>
      <c r="O50" s="927"/>
    </row>
    <row r="51" spans="1:15">
      <c r="A51" s="76">
        <f t="shared" si="7"/>
        <v>42</v>
      </c>
      <c r="B51" s="469">
        <f>'Sched D-1'!B51</f>
        <v>391.03</v>
      </c>
      <c r="C51" s="811" t="str">
        <f>'Sched D-1'!C51</f>
        <v>Computer Hardware</v>
      </c>
      <c r="E51" s="790">
        <f>VLOOKUP(B51,'Sched D-1'!B:O,14,FALSE)</f>
        <v>639902.31109999993</v>
      </c>
      <c r="F51" s="790"/>
      <c r="G51" s="831">
        <v>0</v>
      </c>
      <c r="H51" s="683"/>
      <c r="I51" s="790">
        <f t="shared" si="8"/>
        <v>639902.31109999993</v>
      </c>
      <c r="J51" s="790"/>
      <c r="K51" s="829">
        <v>0.19769999999999999</v>
      </c>
      <c r="L51" s="829"/>
      <c r="M51" s="680">
        <f t="shared" si="9"/>
        <v>126508.68690446999</v>
      </c>
      <c r="N51" s="998"/>
    </row>
    <row r="52" spans="1:15">
      <c r="A52" s="76">
        <f t="shared" si="7"/>
        <v>43</v>
      </c>
      <c r="B52" s="469">
        <f>'Sched D-1'!B52</f>
        <v>391.04</v>
      </c>
      <c r="C52" s="811" t="str">
        <f>'Sched D-1'!C52</f>
        <v>Software</v>
      </c>
      <c r="E52" s="790">
        <f>VLOOKUP(B52,'Sched D-1'!B:O,14,FALSE)</f>
        <v>723580.82000000007</v>
      </c>
      <c r="F52" s="790"/>
      <c r="G52" s="831">
        <v>0</v>
      </c>
      <c r="H52" s="683"/>
      <c r="I52" s="790">
        <f t="shared" si="8"/>
        <v>723580.82000000007</v>
      </c>
      <c r="J52" s="790"/>
      <c r="K52" s="829">
        <v>1.8E-3</v>
      </c>
      <c r="L52" s="829"/>
      <c r="M52" s="680">
        <f t="shared" si="9"/>
        <v>1302.4454760000001</v>
      </c>
      <c r="N52" s="998"/>
    </row>
    <row r="53" spans="1:15">
      <c r="A53" s="76">
        <f t="shared" si="7"/>
        <v>44</v>
      </c>
      <c r="B53" s="469">
        <f>'Sched D-1'!B53</f>
        <v>391.05</v>
      </c>
      <c r="C53" s="811" t="str">
        <f>'Sched D-1'!C53</f>
        <v>System Development</v>
      </c>
      <c r="E53" s="790">
        <f>VLOOKUP(B53,'Sched D-1'!B:O,14,FALSE)</f>
        <v>0</v>
      </c>
      <c r="F53" s="790"/>
      <c r="G53" s="831">
        <v>0</v>
      </c>
      <c r="H53" s="683"/>
      <c r="I53" s="790">
        <f t="shared" si="8"/>
        <v>0</v>
      </c>
      <c r="J53" s="790"/>
      <c r="K53" s="834"/>
      <c r="L53" s="829"/>
      <c r="M53" s="680">
        <f t="shared" si="9"/>
        <v>0</v>
      </c>
      <c r="N53" s="998"/>
      <c r="O53" s="927"/>
    </row>
    <row r="54" spans="1:15">
      <c r="A54" s="76">
        <f t="shared" si="7"/>
        <v>45</v>
      </c>
      <c r="B54" s="469">
        <f>'Sched D-1'!B54</f>
        <v>391.07</v>
      </c>
      <c r="C54" s="811" t="str">
        <f>'Sched D-1'!C54</f>
        <v>Ipad Hardware</v>
      </c>
      <c r="E54" s="790">
        <f>VLOOKUP(B54,'Sched D-1'!B:O,14,FALSE)</f>
        <v>611478.77</v>
      </c>
      <c r="F54" s="790"/>
      <c r="G54" s="831">
        <v>0</v>
      </c>
      <c r="H54" s="683"/>
      <c r="I54" s="790">
        <f>SUM(E54:G54)</f>
        <v>611478.77</v>
      </c>
      <c r="J54" s="790"/>
      <c r="K54" s="829">
        <v>0.2</v>
      </c>
      <c r="L54" s="829"/>
      <c r="M54" s="680">
        <f t="shared" si="9"/>
        <v>122295.75400000002</v>
      </c>
      <c r="N54" s="998"/>
    </row>
    <row r="55" spans="1:15">
      <c r="A55" s="76">
        <f t="shared" si="7"/>
        <v>46</v>
      </c>
      <c r="B55" s="469">
        <f>'Sched D-1'!B55</f>
        <v>392.01</v>
      </c>
      <c r="C55" s="811" t="str">
        <f>'Sched D-1'!C55</f>
        <v>Transportation Equipment</v>
      </c>
      <c r="E55" s="790">
        <f>VLOOKUP(B55,'Sched D-1'!B:O,14,FALSE)</f>
        <v>0</v>
      </c>
      <c r="F55" s="790"/>
      <c r="G55" s="831">
        <v>0</v>
      </c>
      <c r="H55" s="683"/>
      <c r="I55" s="790">
        <f>SUM(E55:G55)</f>
        <v>0</v>
      </c>
      <c r="J55" s="790"/>
      <c r="K55" s="834"/>
      <c r="L55" s="829"/>
      <c r="M55" s="680">
        <f t="shared" si="9"/>
        <v>0</v>
      </c>
      <c r="N55" s="998"/>
      <c r="O55" s="927"/>
    </row>
    <row r="56" spans="1:15">
      <c r="A56" s="76">
        <f t="shared" si="7"/>
        <v>47</v>
      </c>
      <c r="B56" s="469">
        <f>'Sched D-1'!B56</f>
        <v>392.02</v>
      </c>
      <c r="C56" s="811" t="str">
        <f>'Sched D-1'!C56</f>
        <v>Cars</v>
      </c>
      <c r="E56" s="790">
        <f>VLOOKUP(B56,'Sched D-1'!B:O,14,FALSE)</f>
        <v>2919324.9899999998</v>
      </c>
      <c r="F56" s="790"/>
      <c r="G56" s="831">
        <v>0</v>
      </c>
      <c r="H56" s="683"/>
      <c r="I56" s="790">
        <f t="shared" si="8"/>
        <v>2919324.9899999998</v>
      </c>
      <c r="J56" s="790"/>
      <c r="K56" s="829">
        <v>9.8699999999999996E-2</v>
      </c>
      <c r="L56" s="829"/>
      <c r="M56" s="680">
        <f t="shared" si="9"/>
        <v>288137.37651299994</v>
      </c>
      <c r="N56" s="998"/>
    </row>
    <row r="57" spans="1:15">
      <c r="A57" s="76">
        <f t="shared" si="7"/>
        <v>48</v>
      </c>
      <c r="B57" s="469">
        <f>'Sched D-1'!B57</f>
        <v>392.03</v>
      </c>
      <c r="C57" s="811" t="str">
        <f>'Sched D-1'!C57</f>
        <v>Light Trucks</v>
      </c>
      <c r="E57" s="790">
        <f>VLOOKUP(B57,'Sched D-1'!B:O,14,FALSE)</f>
        <v>20011029.188882001</v>
      </c>
      <c r="F57" s="790"/>
      <c r="G57" s="831">
        <v>0</v>
      </c>
      <c r="H57" s="683"/>
      <c r="I57" s="790">
        <f t="shared" si="8"/>
        <v>20011029.188882001</v>
      </c>
      <c r="J57" s="790"/>
      <c r="K57" s="829">
        <v>7.0000000000000007E-2</v>
      </c>
      <c r="L57" s="829"/>
      <c r="M57" s="680">
        <f t="shared" si="9"/>
        <v>1400772.0432217403</v>
      </c>
      <c r="N57" s="998"/>
    </row>
    <row r="58" spans="1:15">
      <c r="A58" s="76">
        <f t="shared" si="7"/>
        <v>49</v>
      </c>
      <c r="B58" s="469">
        <f>'Sched D-1'!B58</f>
        <v>392.04</v>
      </c>
      <c r="C58" s="811" t="str">
        <f>'Sched D-1'!C58</f>
        <v>Medium Trucks</v>
      </c>
      <c r="E58" s="790">
        <f>VLOOKUP(B58,'Sched D-1'!B:O,14,FALSE)</f>
        <v>1425880.7286699999</v>
      </c>
      <c r="F58" s="790"/>
      <c r="G58" s="831">
        <v>0</v>
      </c>
      <c r="H58" s="683"/>
      <c r="I58" s="790">
        <f t="shared" si="8"/>
        <v>1425880.7286699999</v>
      </c>
      <c r="J58" s="790"/>
      <c r="K58" s="829">
        <v>0.12559999999999999</v>
      </c>
      <c r="L58" s="829"/>
      <c r="M58" s="680">
        <f t="shared" si="9"/>
        <v>179090.61952095196</v>
      </c>
      <c r="N58" s="998"/>
    </row>
    <row r="59" spans="1:15">
      <c r="A59" s="76">
        <f t="shared" si="7"/>
        <v>50</v>
      </c>
      <c r="B59" s="469">
        <f>'Sched D-1'!B59</f>
        <v>392.05</v>
      </c>
      <c r="C59" s="811" t="str">
        <f>'Sched D-1'!C59</f>
        <v>Heavy Trucks</v>
      </c>
      <c r="E59" s="790">
        <f>VLOOKUP(B59,'Sched D-1'!B:O,14,FALSE)</f>
        <v>3262358.4424480004</v>
      </c>
      <c r="F59" s="790"/>
      <c r="G59" s="831">
        <v>0</v>
      </c>
      <c r="H59" s="683"/>
      <c r="I59" s="790">
        <f t="shared" si="8"/>
        <v>3262358.4424480004</v>
      </c>
      <c r="J59" s="790"/>
      <c r="K59" s="829">
        <v>4.7600000000000003E-2</v>
      </c>
      <c r="L59" s="829"/>
      <c r="M59" s="680">
        <f t="shared" si="9"/>
        <v>155288.26186052483</v>
      </c>
      <c r="N59" s="998"/>
    </row>
    <row r="60" spans="1:15">
      <c r="A60" s="76">
        <f t="shared" si="7"/>
        <v>51</v>
      </c>
      <c r="B60" s="469">
        <f>'Sched D-1'!B60</f>
        <v>392.06</v>
      </c>
      <c r="C60" s="811" t="str">
        <f>'Sched D-1'!C60</f>
        <v>Trailers</v>
      </c>
      <c r="E60" s="790">
        <f>VLOOKUP(B60,'Sched D-1'!B:O,14,FALSE)</f>
        <v>1027857.551008</v>
      </c>
      <c r="F60" s="790"/>
      <c r="G60" s="831">
        <v>0</v>
      </c>
      <c r="H60" s="683"/>
      <c r="I60" s="790">
        <f t="shared" si="8"/>
        <v>1027857.551008</v>
      </c>
      <c r="J60" s="790"/>
      <c r="K60" s="829">
        <v>6.59E-2</v>
      </c>
      <c r="L60" s="829"/>
      <c r="M60" s="680">
        <f t="shared" si="9"/>
        <v>67735.812611427202</v>
      </c>
      <c r="N60" s="998"/>
    </row>
    <row r="61" spans="1:15">
      <c r="A61" s="76">
        <f t="shared" si="7"/>
        <v>52</v>
      </c>
      <c r="B61" s="469">
        <f>'Sched D-1'!B61</f>
        <v>393</v>
      </c>
      <c r="C61" s="811" t="str">
        <f>'Sched D-1'!C61</f>
        <v>Stores Equipment</v>
      </c>
      <c r="E61" s="790">
        <f>VLOOKUP(B61,'Sched D-1'!B:O,14,FALSE)</f>
        <v>28177.52</v>
      </c>
      <c r="F61" s="790"/>
      <c r="G61" s="831">
        <v>0</v>
      </c>
      <c r="H61" s="683"/>
      <c r="I61" s="790">
        <f t="shared" si="8"/>
        <v>28177.52</v>
      </c>
      <c r="J61" s="790"/>
      <c r="K61" s="829">
        <v>0.04</v>
      </c>
      <c r="L61" s="829"/>
      <c r="M61" s="680">
        <f t="shared" si="9"/>
        <v>1127.1007999999999</v>
      </c>
      <c r="N61" s="998"/>
    </row>
    <row r="62" spans="1:15">
      <c r="A62" s="76">
        <f t="shared" si="7"/>
        <v>53</v>
      </c>
      <c r="B62" s="469">
        <f>'Sched D-1'!B62</f>
        <v>394</v>
      </c>
      <c r="C62" s="811" t="str">
        <f>'Sched D-1'!C62</f>
        <v>Tools, Shop, and Garage Equipment</v>
      </c>
      <c r="E62" s="790">
        <f>VLOOKUP(B62,'Sched D-1'!B:O,14,FALSE)</f>
        <v>14026733.278991999</v>
      </c>
      <c r="F62" s="790"/>
      <c r="G62" s="831">
        <v>0</v>
      </c>
      <c r="H62" s="683"/>
      <c r="I62" s="790">
        <f t="shared" si="8"/>
        <v>14026733.278991999</v>
      </c>
      <c r="J62" s="790"/>
      <c r="K62" s="829">
        <v>3.95E-2</v>
      </c>
      <c r="L62" s="829"/>
      <c r="M62" s="680">
        <f t="shared" si="9"/>
        <v>554055.96452018397</v>
      </c>
      <c r="N62" s="998"/>
    </row>
    <row r="63" spans="1:15">
      <c r="A63" s="76">
        <f t="shared" si="7"/>
        <v>54</v>
      </c>
      <c r="B63" s="469">
        <f>'Sched D-1'!B63</f>
        <v>395</v>
      </c>
      <c r="C63" s="811" t="str">
        <f>'Sched D-1'!C63</f>
        <v>Laboratory Equipment</v>
      </c>
      <c r="E63" s="790">
        <f>VLOOKUP(B63,'Sched D-1'!B:O,14,FALSE)</f>
        <v>88802.52</v>
      </c>
      <c r="F63" s="790"/>
      <c r="G63" s="831">
        <v>0</v>
      </c>
      <c r="H63" s="683"/>
      <c r="I63" s="790">
        <f t="shared" si="8"/>
        <v>88802.52</v>
      </c>
      <c r="J63" s="790"/>
      <c r="K63" s="829">
        <v>4.6100000000000002E-2</v>
      </c>
      <c r="L63" s="829"/>
      <c r="M63" s="680">
        <f t="shared" si="9"/>
        <v>4093.7961720000003</v>
      </c>
      <c r="N63" s="998"/>
    </row>
    <row r="64" spans="1:15">
      <c r="A64" s="76">
        <f t="shared" si="7"/>
        <v>55</v>
      </c>
      <c r="B64" s="469">
        <f>'Sched D-1'!B64</f>
        <v>396</v>
      </c>
      <c r="C64" s="811" t="str">
        <f>'Sched D-1'!C64</f>
        <v xml:space="preserve">Power Operated Equipment </v>
      </c>
      <c r="E64" s="790">
        <f>VLOOKUP(B64,'Sched D-1'!B:O,14,FALSE)</f>
        <v>5497463.7499999991</v>
      </c>
      <c r="F64" s="790"/>
      <c r="G64" s="831">
        <v>0</v>
      </c>
      <c r="H64" s="683"/>
      <c r="I64" s="790">
        <f t="shared" si="8"/>
        <v>5497463.7499999991</v>
      </c>
      <c r="J64" s="790"/>
      <c r="K64" s="829">
        <v>3.8300000000000001E-2</v>
      </c>
      <c r="L64" s="829"/>
      <c r="M64" s="680">
        <f t="shared" si="9"/>
        <v>210552.86162499996</v>
      </c>
      <c r="N64" s="998"/>
    </row>
    <row r="65" spans="1:18">
      <c r="A65" s="76">
        <f t="shared" si="7"/>
        <v>56</v>
      </c>
      <c r="B65" s="469">
        <f>'Sched D-1'!B65</f>
        <v>397</v>
      </c>
      <c r="C65" s="811" t="str">
        <f>'Sched D-1'!C65</f>
        <v>Communication Equipment</v>
      </c>
      <c r="E65" s="790">
        <f>VLOOKUP(B65,'Sched D-1'!B:O,14,FALSE)</f>
        <v>846080.4</v>
      </c>
      <c r="F65" s="790"/>
      <c r="G65" s="831">
        <v>0</v>
      </c>
      <c r="H65" s="683"/>
      <c r="I65" s="790">
        <f t="shared" si="8"/>
        <v>846080.4</v>
      </c>
      <c r="J65" s="790"/>
      <c r="K65" s="829">
        <v>6.6600000000000006E-2</v>
      </c>
      <c r="L65" s="829"/>
      <c r="M65" s="680">
        <f t="shared" si="9"/>
        <v>56348.954640000004</v>
      </c>
      <c r="N65" s="998"/>
    </row>
    <row r="66" spans="1:18">
      <c r="A66" s="76">
        <f t="shared" si="7"/>
        <v>57</v>
      </c>
      <c r="B66" s="469">
        <f>'Sched D-1'!B66</f>
        <v>398</v>
      </c>
      <c r="C66" s="811" t="str">
        <f>'Sched D-1'!C66</f>
        <v>Miscellaneous Equipment</v>
      </c>
      <c r="E66" s="790">
        <f>VLOOKUP(B66,'Sched D-1'!B:O,14,FALSE)</f>
        <v>177567.56999999998</v>
      </c>
      <c r="F66" s="790"/>
      <c r="G66" s="831">
        <v>0</v>
      </c>
      <c r="H66" s="683"/>
      <c r="I66" s="790">
        <f t="shared" si="8"/>
        <v>177567.56999999998</v>
      </c>
      <c r="J66" s="790"/>
      <c r="K66" s="829">
        <v>0.05</v>
      </c>
      <c r="L66" s="829"/>
      <c r="M66" s="680">
        <f t="shared" si="9"/>
        <v>8878.3784999999989</v>
      </c>
      <c r="N66" s="998"/>
    </row>
    <row r="67" spans="1:18">
      <c r="A67" s="76">
        <f t="shared" si="7"/>
        <v>58</v>
      </c>
      <c r="B67" s="469">
        <f>'Sched D-1'!B67</f>
        <v>399</v>
      </c>
      <c r="C67" s="811" t="str">
        <f>'Sched D-1'!C67</f>
        <v>Other Tangible Property</v>
      </c>
      <c r="E67" s="790">
        <f>VLOOKUP(B67,'Sched D-1'!B:O,14,FALSE)</f>
        <v>0</v>
      </c>
      <c r="F67" s="790"/>
      <c r="G67" s="831">
        <v>0</v>
      </c>
      <c r="H67" s="683"/>
      <c r="I67" s="790">
        <f t="shared" si="8"/>
        <v>0</v>
      </c>
      <c r="J67" s="790"/>
      <c r="K67" s="834"/>
      <c r="L67" s="829"/>
      <c r="M67" s="680">
        <f t="shared" si="9"/>
        <v>0</v>
      </c>
      <c r="N67" s="998"/>
      <c r="O67" s="927"/>
    </row>
    <row r="68" spans="1:18">
      <c r="A68" s="76">
        <f t="shared" si="7"/>
        <v>59</v>
      </c>
      <c r="B68" s="469"/>
      <c r="C68" s="1336" t="s">
        <v>79</v>
      </c>
      <c r="E68" s="682">
        <f>ROUND(SUM(E45:E67),0)</f>
        <v>104026243</v>
      </c>
      <c r="F68" s="574"/>
      <c r="G68" s="682">
        <f>SUM(G45:G67)</f>
        <v>-7534707.4954000004</v>
      </c>
      <c r="H68" s="683"/>
      <c r="I68" s="682">
        <f>ROUND(SUM(I45:I67),0)</f>
        <v>96491535</v>
      </c>
      <c r="J68" s="683"/>
      <c r="K68" s="683"/>
      <c r="L68" s="683"/>
      <c r="M68" s="682">
        <f>ROUND(SUM(M45:M67),0)</f>
        <v>4539326</v>
      </c>
      <c r="N68" s="998"/>
    </row>
    <row r="69" spans="1:18">
      <c r="A69" s="76">
        <f t="shared" si="7"/>
        <v>60</v>
      </c>
      <c r="B69" s="469"/>
      <c r="C69" s="82"/>
      <c r="E69" s="683"/>
      <c r="F69" s="574"/>
      <c r="G69" s="683"/>
      <c r="H69" s="683"/>
      <c r="I69" s="683"/>
      <c r="J69" s="683"/>
      <c r="K69" s="683"/>
      <c r="L69" s="683"/>
      <c r="M69" s="683"/>
      <c r="N69" s="998"/>
    </row>
    <row r="70" spans="1:18">
      <c r="A70" s="76">
        <f t="shared" si="7"/>
        <v>61</v>
      </c>
      <c r="B70" s="469"/>
      <c r="C70" s="1030" t="s">
        <v>1214</v>
      </c>
      <c r="E70" s="683"/>
      <c r="F70" s="574"/>
      <c r="G70" s="683"/>
      <c r="H70" s="683"/>
      <c r="I70" s="683"/>
      <c r="J70" s="683"/>
      <c r="K70" s="683"/>
      <c r="L70" s="683"/>
      <c r="M70" s="683"/>
      <c r="N70" s="998"/>
    </row>
    <row r="71" spans="1:18">
      <c r="A71" s="76">
        <f t="shared" si="7"/>
        <v>62</v>
      </c>
      <c r="B71" s="469">
        <f>'Sched D-1'!B70</f>
        <v>118</v>
      </c>
      <c r="C71" s="811" t="str">
        <f>'Sched D-1'!C70</f>
        <v>Other Utility Plant (Corporate Shared Assets - Note 1a)</v>
      </c>
      <c r="E71" s="574">
        <f>'Sched D-1'!O70-E81</f>
        <v>7192131.1745860614</v>
      </c>
      <c r="F71" s="574"/>
      <c r="G71" s="683">
        <v>0</v>
      </c>
      <c r="H71" s="683"/>
      <c r="I71" s="574">
        <f t="shared" ref="I71:I77" si="10">SUM(E71:G71)</f>
        <v>7192131.1745860614</v>
      </c>
      <c r="J71" s="683"/>
      <c r="K71" s="829">
        <v>5.7465446689640674E-2</v>
      </c>
      <c r="L71" s="683"/>
      <c r="M71" s="574">
        <f t="shared" ref="M71:M77" si="11">K71*I71</f>
        <v>413299.0305980781</v>
      </c>
      <c r="N71" s="998"/>
      <c r="O71" s="927"/>
    </row>
    <row r="72" spans="1:18">
      <c r="A72" s="76">
        <f t="shared" si="7"/>
        <v>63</v>
      </c>
      <c r="B72" s="469">
        <f>'Sched D-1'!B71</f>
        <v>118</v>
      </c>
      <c r="C72" s="811" t="str">
        <f>'Sched D-1'!C71</f>
        <v>Other Utility Plant (Corporate Shared Assets - Note 1b)</v>
      </c>
      <c r="E72" s="790">
        <f>'Sched D-1'!O71-E82</f>
        <v>5722069.1151859313</v>
      </c>
      <c r="F72" s="574"/>
      <c r="G72" s="831">
        <v>0</v>
      </c>
      <c r="H72" s="683"/>
      <c r="I72" s="790">
        <f t="shared" si="10"/>
        <v>5722069.1151859313</v>
      </c>
      <c r="J72" s="683"/>
      <c r="K72" s="829">
        <v>8.2676839226465001E-2</v>
      </c>
      <c r="L72" s="683"/>
      <c r="M72" s="680">
        <f t="shared" si="11"/>
        <v>473082.5882789481</v>
      </c>
      <c r="N72" s="998"/>
      <c r="O72" s="927"/>
    </row>
    <row r="73" spans="1:18" s="82" customFormat="1">
      <c r="A73" s="469">
        <f t="shared" si="7"/>
        <v>64</v>
      </c>
      <c r="B73" s="469">
        <v>119</v>
      </c>
      <c r="C73" s="82" t="str">
        <f>'Stmt E'!B25</f>
        <v>Other Utility Plant (Corporate Unrecovered Reserve - Note 1c)</v>
      </c>
      <c r="E73" s="790">
        <f>-'Stmt E'!E25+-'Stmt E'!F25</f>
        <v>1671161.2792000002</v>
      </c>
      <c r="F73" s="790"/>
      <c r="G73" s="790">
        <v>0</v>
      </c>
      <c r="H73" s="790"/>
      <c r="I73" s="790">
        <f>SUM(E73:G73)</f>
        <v>1671161.2792000002</v>
      </c>
      <c r="J73" s="790"/>
      <c r="K73" s="829">
        <v>0.1</v>
      </c>
      <c r="L73" s="790"/>
      <c r="M73" s="790">
        <f>K73*I73</f>
        <v>167116.12792000003</v>
      </c>
      <c r="N73" s="1199"/>
    </row>
    <row r="74" spans="1:18">
      <c r="A74" s="76">
        <f t="shared" si="7"/>
        <v>65</v>
      </c>
      <c r="B74" s="469">
        <f>'Sched D-1'!B72</f>
        <v>118</v>
      </c>
      <c r="C74" s="811" t="str">
        <f>'Sched D-1'!C72</f>
        <v>Other Utility Plant (Corporate Shared Assets - Note 2a)</v>
      </c>
      <c r="D74" s="82"/>
      <c r="E74" s="790">
        <f>'Sched D-1'!O72-E83</f>
        <v>8252662.2129299939</v>
      </c>
      <c r="F74" s="574"/>
      <c r="G74" s="831">
        <v>0</v>
      </c>
      <c r="H74" s="683"/>
      <c r="I74" s="790">
        <f t="shared" si="10"/>
        <v>8252662.2129299939</v>
      </c>
      <c r="J74" s="683"/>
      <c r="K74" s="829">
        <v>7.7209475591929311E-2</v>
      </c>
      <c r="L74" s="683"/>
      <c r="M74" s="680">
        <f t="shared" si="11"/>
        <v>637183.72169765574</v>
      </c>
      <c r="N74" s="998"/>
      <c r="O74" s="927"/>
    </row>
    <row r="75" spans="1:18">
      <c r="A75" s="76">
        <f t="shared" si="7"/>
        <v>66</v>
      </c>
      <c r="B75" s="469">
        <f>'Sched D-1'!B73</f>
        <v>118</v>
      </c>
      <c r="C75" s="811" t="str">
        <f>'Sched D-1'!C73</f>
        <v>Other Utility Plant (Corporate Shared Assets - Note 2b)</v>
      </c>
      <c r="D75" s="82"/>
      <c r="E75" s="790">
        <f>'Sched D-1'!O73-E84</f>
        <v>1366146.3144677435</v>
      </c>
      <c r="F75" s="574"/>
      <c r="G75" s="831">
        <v>0</v>
      </c>
      <c r="H75" s="683"/>
      <c r="I75" s="790">
        <f t="shared" si="10"/>
        <v>1366146.3144677435</v>
      </c>
      <c r="J75" s="683"/>
      <c r="K75" s="829">
        <v>5.2082738484275144E-2</v>
      </c>
      <c r="L75" s="683"/>
      <c r="M75" s="680">
        <f t="shared" si="11"/>
        <v>71152.641227679793</v>
      </c>
      <c r="N75" s="998"/>
    </row>
    <row r="76" spans="1:18">
      <c r="A76" s="76">
        <f t="shared" si="7"/>
        <v>67</v>
      </c>
      <c r="B76" s="469">
        <f>'Sched D-1'!B74</f>
        <v>118</v>
      </c>
      <c r="C76" s="811" t="str">
        <f>'Sched D-1'!C74</f>
        <v>Other Utility Plant (Corporate Shared Assets - Note 2c)</v>
      </c>
      <c r="D76" s="82"/>
      <c r="E76" s="790">
        <f>'Sched D-1'!O74-E85</f>
        <v>5288183.6540131755</v>
      </c>
      <c r="F76" s="574"/>
      <c r="G76" s="831">
        <v>0</v>
      </c>
      <c r="H76" s="683"/>
      <c r="I76" s="805">
        <f t="shared" si="10"/>
        <v>5288183.6540131755</v>
      </c>
      <c r="J76" s="683"/>
      <c r="K76" s="1350">
        <v>0.13549971528226756</v>
      </c>
      <c r="L76" s="683"/>
      <c r="M76" s="668">
        <f t="shared" si="11"/>
        <v>716547.37947912666</v>
      </c>
      <c r="N76" s="1351"/>
    </row>
    <row r="77" spans="1:18" s="82" customFormat="1">
      <c r="A77" s="469">
        <f t="shared" si="7"/>
        <v>68</v>
      </c>
      <c r="B77" s="469">
        <v>119</v>
      </c>
      <c r="C77" s="82" t="str">
        <f>'Stmt E'!B29</f>
        <v>Other Utility Plant (Corporate Unrecovered Reserve - Note 2d)</v>
      </c>
      <c r="E77" s="790">
        <f>-'Stmt E'!E29+-'Stmt E'!F29</f>
        <v>4766124.6527999993</v>
      </c>
      <c r="F77" s="574"/>
      <c r="G77" s="831">
        <v>0</v>
      </c>
      <c r="H77" s="683"/>
      <c r="I77" s="805">
        <f t="shared" si="10"/>
        <v>4766124.6527999993</v>
      </c>
      <c r="J77" s="683"/>
      <c r="K77" s="829">
        <v>0.1</v>
      </c>
      <c r="L77" s="683"/>
      <c r="M77" s="668">
        <f t="shared" si="11"/>
        <v>476612.46527999995</v>
      </c>
      <c r="N77" s="1199"/>
    </row>
    <row r="78" spans="1:18">
      <c r="A78" s="76">
        <f t="shared" si="7"/>
        <v>69</v>
      </c>
      <c r="B78" s="469"/>
      <c r="C78" s="1336" t="s">
        <v>1215</v>
      </c>
      <c r="E78" s="682">
        <f>ROUND(SUM(E71:E77),0)</f>
        <v>34258478</v>
      </c>
      <c r="F78" s="574"/>
      <c r="G78" s="682">
        <f>ROUND(SUM(G71:G77),0)</f>
        <v>0</v>
      </c>
      <c r="H78" s="683"/>
      <c r="I78" s="682">
        <f>SUM(E78:G78)</f>
        <v>34258478</v>
      </c>
      <c r="J78" s="574"/>
      <c r="K78" s="574"/>
      <c r="L78" s="829"/>
      <c r="M78" s="682">
        <f>ROUND(SUM(M71:M77),0)</f>
        <v>2954994</v>
      </c>
      <c r="N78" s="998"/>
      <c r="O78" s="993" t="s">
        <v>1218</v>
      </c>
      <c r="P78" s="994"/>
      <c r="Q78" s="995"/>
      <c r="R78" s="995"/>
    </row>
    <row r="79" spans="1:18">
      <c r="A79" s="76">
        <f t="shared" si="7"/>
        <v>70</v>
      </c>
      <c r="B79" s="469"/>
      <c r="C79" s="1336"/>
      <c r="E79" s="683"/>
      <c r="F79" s="574"/>
      <c r="G79" s="683"/>
      <c r="H79" s="683"/>
      <c r="I79" s="574"/>
      <c r="J79" s="574"/>
      <c r="K79" s="574"/>
      <c r="L79" s="829"/>
      <c r="M79" s="683"/>
      <c r="N79" s="998"/>
      <c r="O79" s="75">
        <f>1+O78</f>
        <v>1</v>
      </c>
      <c r="P79" s="75" t="str">
        <f>References!$C$17</f>
        <v>Exhibit No. MCC-2 NEG</v>
      </c>
      <c r="Q79" s="75" t="str">
        <f>References!$D$17</f>
        <v>Exhibit No. MCC-2 NEGD</v>
      </c>
      <c r="R79" s="75" t="str">
        <f>References!$E$17</f>
        <v>FINAL - BH January 15, 2021 Rev. Req. Model</v>
      </c>
    </row>
    <row r="80" spans="1:18">
      <c r="A80" s="76">
        <f t="shared" si="7"/>
        <v>71</v>
      </c>
      <c r="B80" s="469"/>
      <c r="C80" s="1030" t="s">
        <v>1216</v>
      </c>
      <c r="E80" s="683"/>
      <c r="F80" s="574"/>
      <c r="G80" s="683"/>
      <c r="H80" s="683"/>
      <c r="I80" s="574"/>
      <c r="J80" s="574"/>
      <c r="K80" s="574"/>
      <c r="L80" s="829"/>
      <c r="M80" s="683"/>
      <c r="N80" s="998"/>
      <c r="O80" s="75">
        <f t="shared" ref="O80:O86" si="12">1+O79</f>
        <v>2</v>
      </c>
      <c r="P80" s="75" t="str">
        <f>References!$C$18</f>
        <v>NEG</v>
      </c>
      <c r="Q80" s="75" t="str">
        <f>References!$D$18</f>
        <v>NEGD</v>
      </c>
      <c r="R80" s="75" t="str">
        <f>References!$E$18</f>
        <v>Tot Co</v>
      </c>
    </row>
    <row r="81" spans="1:18">
      <c r="A81" s="76">
        <f t="shared" si="7"/>
        <v>72</v>
      </c>
      <c r="B81" s="469">
        <f>B71</f>
        <v>118</v>
      </c>
      <c r="C81" s="811" t="str">
        <f>C71</f>
        <v>Other Utility Plant (Corporate Shared Assets - Note 1a)</v>
      </c>
      <c r="E81" s="574">
        <f>HLOOKUP(Attach,$P$79:$R$86,O81,FALSE)</f>
        <v>23191.381821445902</v>
      </c>
      <c r="F81" s="574"/>
      <c r="G81" s="683">
        <v>0</v>
      </c>
      <c r="H81" s="683"/>
      <c r="I81" s="574">
        <f t="shared" ref="I81:I85" si="13">SUM(E81:G81)</f>
        <v>23191.381821445902</v>
      </c>
      <c r="J81" s="574"/>
      <c r="K81" s="829">
        <v>9.2999999999999999E-2</v>
      </c>
      <c r="L81" s="829"/>
      <c r="M81" s="574">
        <f t="shared" ref="M81:M85" si="14">K81*I81</f>
        <v>2156.798509394469</v>
      </c>
      <c r="N81" s="998"/>
      <c r="O81" s="75">
        <f t="shared" si="12"/>
        <v>3</v>
      </c>
      <c r="P81" s="938">
        <v>16333.596892494739</v>
      </c>
      <c r="Q81" s="938">
        <v>6857.7849289511614</v>
      </c>
      <c r="R81" s="937">
        <f>P81+Q81</f>
        <v>23191.381821445902</v>
      </c>
    </row>
    <row r="82" spans="1:18">
      <c r="A82" s="76">
        <f t="shared" si="7"/>
        <v>73</v>
      </c>
      <c r="B82" s="469">
        <f>B72</f>
        <v>118</v>
      </c>
      <c r="C82" s="811" t="str">
        <f>C72</f>
        <v>Other Utility Plant (Corporate Shared Assets - Note 1b)</v>
      </c>
      <c r="E82" s="790">
        <f>HLOOKUP(Attach,$P$79:$R$86,O82,FALSE)</f>
        <v>28252.003336068687</v>
      </c>
      <c r="F82" s="574"/>
      <c r="G82" s="831">
        <v>0</v>
      </c>
      <c r="H82" s="683"/>
      <c r="I82" s="790">
        <f t="shared" si="13"/>
        <v>28252.003336068687</v>
      </c>
      <c r="J82" s="574"/>
      <c r="K82" s="829">
        <v>7.1423471035868033E-2</v>
      </c>
      <c r="L82" s="829"/>
      <c r="M82" s="680">
        <f t="shared" si="14"/>
        <v>2017.8561419789489</v>
      </c>
      <c r="N82" s="998"/>
      <c r="O82" s="75">
        <f t="shared" si="12"/>
        <v>4</v>
      </c>
      <c r="P82" s="948">
        <v>20019.832986088713</v>
      </c>
      <c r="Q82" s="948">
        <v>8232.1703499799714</v>
      </c>
      <c r="R82" s="947">
        <f t="shared" ref="R82" si="15">P82+Q82</f>
        <v>28252.003336068687</v>
      </c>
    </row>
    <row r="83" spans="1:18">
      <c r="A83" s="76">
        <f t="shared" si="7"/>
        <v>74</v>
      </c>
      <c r="B83" s="469">
        <f>B74</f>
        <v>118</v>
      </c>
      <c r="C83" s="811" t="str">
        <f>C74</f>
        <v>Other Utility Plant (Corporate Shared Assets - Note 2a)</v>
      </c>
      <c r="E83" s="790">
        <f>HLOOKUP(Attach,$P$79:$R$86,O83,FALSE)</f>
        <v>580355.03910827986</v>
      </c>
      <c r="F83" s="574"/>
      <c r="G83" s="831">
        <v>0</v>
      </c>
      <c r="H83" s="683"/>
      <c r="I83" s="790">
        <f t="shared" si="13"/>
        <v>580355.03910827986</v>
      </c>
      <c r="J83" s="574"/>
      <c r="K83" s="829">
        <v>9.6958541107837568E-2</v>
      </c>
      <c r="L83" s="829"/>
      <c r="M83" s="680">
        <f t="shared" si="14"/>
        <v>56270.377916520833</v>
      </c>
      <c r="N83" s="998"/>
      <c r="O83" s="75">
        <f t="shared" si="12"/>
        <v>5</v>
      </c>
      <c r="P83" s="948">
        <v>325868.67412339989</v>
      </c>
      <c r="Q83" s="948">
        <v>254486.36498487997</v>
      </c>
      <c r="R83" s="947">
        <f t="shared" ref="R83:R85" si="16">P83+Q83</f>
        <v>580355.03910827986</v>
      </c>
    </row>
    <row r="84" spans="1:18">
      <c r="A84" s="76">
        <f t="shared" si="7"/>
        <v>75</v>
      </c>
      <c r="B84" s="469">
        <f t="shared" ref="B84:C84" si="17">B75</f>
        <v>118</v>
      </c>
      <c r="C84" s="811" t="str">
        <f t="shared" si="17"/>
        <v>Other Utility Plant (Corporate Shared Assets - Note 2b)</v>
      </c>
      <c r="E84" s="790">
        <f>HLOOKUP(Attach,$P$79:$R$86,O84,FALSE)</f>
        <v>80962.964267939999</v>
      </c>
      <c r="F84" s="574"/>
      <c r="G84" s="831">
        <v>0</v>
      </c>
      <c r="H84" s="683"/>
      <c r="I84" s="790">
        <f t="shared" si="13"/>
        <v>80962.964267939999</v>
      </c>
      <c r="J84" s="574"/>
      <c r="K84" s="829">
        <v>9.6091830124343469E-2</v>
      </c>
      <c r="L84" s="829"/>
      <c r="M84" s="680">
        <f t="shared" si="14"/>
        <v>7779.8794087981805</v>
      </c>
      <c r="N84" s="998"/>
      <c r="O84" s="75">
        <f t="shared" si="12"/>
        <v>6</v>
      </c>
      <c r="P84" s="948">
        <v>45290.451205799996</v>
      </c>
      <c r="Q84" s="948">
        <v>35672.513062139995</v>
      </c>
      <c r="R84" s="947">
        <f t="shared" si="16"/>
        <v>80962.964267939999</v>
      </c>
    </row>
    <row r="85" spans="1:18">
      <c r="A85" s="76">
        <f t="shared" si="7"/>
        <v>76</v>
      </c>
      <c r="B85" s="469">
        <f t="shared" ref="B85:C85" si="18">B76</f>
        <v>118</v>
      </c>
      <c r="C85" s="811" t="str">
        <f t="shared" si="18"/>
        <v>Other Utility Plant (Corporate Shared Assets - Note 2c)</v>
      </c>
      <c r="E85" s="790">
        <f>HLOOKUP(Attach,$P$79:$R$86,O85,FALSE)</f>
        <v>370763.35644778999</v>
      </c>
      <c r="F85" s="574"/>
      <c r="G85" s="832">
        <v>0</v>
      </c>
      <c r="H85" s="683"/>
      <c r="I85" s="791">
        <f t="shared" si="13"/>
        <v>370763.35644778999</v>
      </c>
      <c r="J85" s="574"/>
      <c r="K85" s="829">
        <v>9.3511191318042045E-2</v>
      </c>
      <c r="L85" s="829"/>
      <c r="M85" s="733">
        <f t="shared" si="14"/>
        <v>34670.523158508709</v>
      </c>
      <c r="N85" s="998"/>
      <c r="O85" s="75">
        <f>1+O84</f>
        <v>7</v>
      </c>
      <c r="P85" s="949">
        <v>208353.03952815</v>
      </c>
      <c r="Q85" s="949">
        <v>162410.31691964</v>
      </c>
      <c r="R85" s="946">
        <f t="shared" si="16"/>
        <v>370763.35644778999</v>
      </c>
    </row>
    <row r="86" spans="1:18">
      <c r="A86" s="76">
        <f t="shared" si="7"/>
        <v>77</v>
      </c>
      <c r="B86" s="76"/>
      <c r="C86" s="83" t="s">
        <v>1217</v>
      </c>
      <c r="E86" s="682">
        <f>ROUND(SUM(E81:E85),0)</f>
        <v>1083525</v>
      </c>
      <c r="F86" s="574"/>
      <c r="G86" s="683">
        <v>0</v>
      </c>
      <c r="H86" s="683"/>
      <c r="I86" s="574">
        <f>SUM(E86:G86)</f>
        <v>1083525</v>
      </c>
      <c r="J86" s="574"/>
      <c r="K86" s="574"/>
      <c r="L86" s="829"/>
      <c r="M86" s="682">
        <f>ROUND(SUM(M81:M85),0)</f>
        <v>102895</v>
      </c>
      <c r="N86" s="998"/>
      <c r="O86" s="75">
        <f t="shared" si="12"/>
        <v>8</v>
      </c>
      <c r="P86" s="947">
        <f>SUM(P81:P85)</f>
        <v>615865.59473593335</v>
      </c>
      <c r="Q86" s="947">
        <f>SUM(Q81:Q85)</f>
        <v>467659.15024559107</v>
      </c>
      <c r="R86" s="947">
        <f>SUM(R81:R85)</f>
        <v>1083524.7449815245</v>
      </c>
    </row>
    <row r="87" spans="1:18">
      <c r="A87" s="76">
        <f t="shared" si="7"/>
        <v>78</v>
      </c>
      <c r="E87" s="574"/>
      <c r="F87" s="574"/>
      <c r="G87" s="574"/>
      <c r="H87" s="574"/>
      <c r="I87" s="574"/>
      <c r="J87" s="574"/>
      <c r="K87" s="574"/>
      <c r="L87" s="574"/>
      <c r="M87" s="574"/>
      <c r="N87" s="998"/>
      <c r="O87" s="927"/>
      <c r="Q87" s="926"/>
      <c r="R87" s="926"/>
    </row>
    <row r="88" spans="1:18" ht="13.5" thickBot="1">
      <c r="A88" s="76">
        <f t="shared" si="7"/>
        <v>79</v>
      </c>
      <c r="C88" s="75" t="s">
        <v>82</v>
      </c>
      <c r="E88" s="684">
        <f>E15+E22+E42+E68+E78+E86</f>
        <v>943377868</v>
      </c>
      <c r="F88" s="574"/>
      <c r="G88" s="684">
        <f>G15+G22+G42+G68+G78+G86</f>
        <v>-9836560.4954000004</v>
      </c>
      <c r="H88" s="683"/>
      <c r="I88" s="684">
        <f>I15+I22+I42+I68+I78+I86</f>
        <v>933541307</v>
      </c>
      <c r="J88" s="683"/>
      <c r="K88" s="683"/>
      <c r="L88" s="683"/>
      <c r="M88" s="684">
        <f>M15+M22+M42+M68+M78+M86</f>
        <v>23877413</v>
      </c>
      <c r="N88" s="998"/>
    </row>
    <row r="89" spans="1:18" ht="13.5" thickTop="1">
      <c r="A89" s="76">
        <f t="shared" si="7"/>
        <v>80</v>
      </c>
      <c r="E89" s="82"/>
      <c r="F89" s="82"/>
      <c r="I89" s="82"/>
      <c r="J89" s="82"/>
      <c r="M89" s="82"/>
      <c r="N89" s="467"/>
    </row>
    <row r="90" spans="1:18">
      <c r="A90" s="76">
        <f t="shared" si="7"/>
        <v>81</v>
      </c>
      <c r="B90" s="75" t="str">
        <f>'Sched D-1'!B79</f>
        <v xml:space="preserve">(Note 1a) Figure represents Other Utility Plant, Corporate Shared Assets allocated on customer count of all regulated utilities per CAM.  </v>
      </c>
      <c r="E90" s="82"/>
      <c r="F90" s="82"/>
      <c r="I90" s="82"/>
      <c r="J90" s="82"/>
      <c r="M90" s="82"/>
      <c r="N90" s="467"/>
    </row>
    <row r="91" spans="1:18">
      <c r="A91" s="76">
        <f t="shared" si="7"/>
        <v>82</v>
      </c>
      <c r="B91" s="75" t="str">
        <f>'Sched D-1'!B80</f>
        <v xml:space="preserve">(Note 1b) Figure represents Other Utility Plant, Corporate Shared Assets allocated on customer count of all regulated gas utilities per CAM.  </v>
      </c>
      <c r="E91" s="82"/>
      <c r="F91" s="82"/>
      <c r="I91" s="82"/>
      <c r="J91" s="82"/>
      <c r="M91" s="82"/>
      <c r="N91" s="467"/>
    </row>
    <row r="92" spans="1:18" s="82" customFormat="1">
      <c r="A92" s="469">
        <f t="shared" si="7"/>
        <v>83</v>
      </c>
      <c r="B92" s="82" t="str">
        <f>'Stmt E'!B35</f>
        <v>(Note 1c) Figure represents Other Utility Plant, Corporate Unrecovered Reserve allocated on customer count per CAM.</v>
      </c>
      <c r="J92" s="804"/>
      <c r="K92" s="804"/>
      <c r="L92" s="804"/>
      <c r="M92" s="804"/>
      <c r="N92" s="683"/>
    </row>
    <row r="93" spans="1:18">
      <c r="A93" s="76">
        <f t="shared" si="7"/>
        <v>84</v>
      </c>
      <c r="B93" s="75" t="str">
        <f>'Sched D-1'!B81</f>
        <v xml:space="preserve">(Note 2a) Figure represents Other Utility Plant, Corporate Shared Assets allocated on the blended ratio to all entities per CAM.  </v>
      </c>
      <c r="E93" s="82"/>
      <c r="F93" s="82"/>
      <c r="I93" s="82"/>
      <c r="J93" s="82"/>
      <c r="M93" s="82"/>
      <c r="N93" s="467"/>
    </row>
    <row r="94" spans="1:18">
      <c r="A94" s="76">
        <f t="shared" si="7"/>
        <v>85</v>
      </c>
      <c r="B94" s="75" t="str">
        <f>'Sched D-1'!B82</f>
        <v xml:space="preserve">(Note 2b) Figure represents Other Utility Plant, Corporate Shared Assets allocated on the blended ratio to all regulated utilities per CAM.  </v>
      </c>
      <c r="E94" s="82"/>
      <c r="F94" s="82"/>
      <c r="I94" s="82"/>
      <c r="J94" s="82"/>
      <c r="M94" s="82"/>
      <c r="N94" s="467"/>
    </row>
    <row r="95" spans="1:18">
      <c r="A95" s="76">
        <f t="shared" si="7"/>
        <v>86</v>
      </c>
      <c r="B95" s="75" t="str">
        <f>'Sched D-1'!B83</f>
        <v xml:space="preserve">(Note 2c) Figure represents Other Utility Plant, Corporate Shared Assets allocated on the blended ratio to all regulated gas utilities per CAM.  </v>
      </c>
    </row>
    <row r="96" spans="1:18" s="82" customFormat="1">
      <c r="A96" s="469">
        <f t="shared" si="7"/>
        <v>87</v>
      </c>
      <c r="B96" s="82" t="str">
        <f>'Stmt E'!B39</f>
        <v>(Note 2d) Figure represents Other Utility Plant, Corporate Unrecovered Reserve allocated on general ratio per CAM.</v>
      </c>
      <c r="J96" s="804"/>
      <c r="K96" s="804"/>
      <c r="L96" s="804"/>
      <c r="M96" s="804"/>
    </row>
    <row r="97" spans="1:14">
      <c r="A97" s="76">
        <f t="shared" si="7"/>
        <v>88</v>
      </c>
      <c r="B97" s="75" t="s">
        <v>1475</v>
      </c>
      <c r="E97" s="77"/>
      <c r="G97" s="804"/>
      <c r="H97" s="804"/>
      <c r="I97" s="77"/>
      <c r="J97" s="77"/>
      <c r="K97" s="804"/>
      <c r="L97" s="804"/>
      <c r="M97" s="77"/>
      <c r="N97" s="77"/>
    </row>
    <row r="98" spans="1:14">
      <c r="A98" s="76">
        <f t="shared" si="7"/>
        <v>89</v>
      </c>
      <c r="B98" s="75" t="s">
        <v>1242</v>
      </c>
    </row>
    <row r="99" spans="1:14">
      <c r="E99" s="489"/>
    </row>
    <row r="100" spans="1:14">
      <c r="C100" s="927"/>
    </row>
    <row r="101" spans="1:14">
      <c r="E101" s="871"/>
    </row>
    <row r="102" spans="1:14">
      <c r="C102" s="75" t="s">
        <v>1520</v>
      </c>
      <c r="E102" s="1205">
        <f>E88-'Sched D-1'!O77-E73-E77</f>
        <v>6.7999999970197678E-2</v>
      </c>
    </row>
    <row r="103" spans="1:14">
      <c r="C103" s="75" t="s">
        <v>1627</v>
      </c>
      <c r="E103" s="75" t="str">
        <f>'MCC Testimony Table'!F25</f>
        <v>Y</v>
      </c>
      <c r="G103" s="927"/>
    </row>
    <row r="104" spans="1:14">
      <c r="E104" s="75" t="s">
        <v>1630</v>
      </c>
      <c r="G104" s="82" t="s">
        <v>1631</v>
      </c>
    </row>
    <row r="105" spans="1:14">
      <c r="C105" s="75">
        <v>376</v>
      </c>
      <c r="E105" s="1746">
        <v>1.4500000000000001E-2</v>
      </c>
      <c r="G105" s="1746">
        <v>1.37E-2</v>
      </c>
    </row>
    <row r="106" spans="1:14">
      <c r="C106" s="75">
        <v>380</v>
      </c>
      <c r="E106" s="1746">
        <v>3.5400000000000001E-2</v>
      </c>
      <c r="G106" s="1746">
        <v>2.6800000000000001E-2</v>
      </c>
    </row>
    <row r="107" spans="1:14">
      <c r="C107" s="75">
        <v>383.01</v>
      </c>
      <c r="E107" s="1746">
        <v>3.2599999999999997E-2</v>
      </c>
      <c r="G107" s="1746">
        <v>2.6800000000000001E-2</v>
      </c>
    </row>
    <row r="108" spans="1:14">
      <c r="C108" s="75">
        <v>383.71</v>
      </c>
      <c r="E108" s="1746">
        <v>2.4899999999999999E-2</v>
      </c>
      <c r="G108" s="1746">
        <v>2.2100000000000002E-2</v>
      </c>
    </row>
  </sheetData>
  <printOptions horizontalCentered="1"/>
  <pageMargins left="0.25" right="0.25" top="0.5" bottom="0.25" header="1" footer="0.25"/>
  <pageSetup scale="60" fitToHeight="2" orientation="landscape" verticalDpi="300" r:id="rId1"/>
  <headerFooter alignWithMargins="0">
    <oddHeader xml:space="preserve">&amp;L </oddHeader>
  </headerFooter>
  <rowBreaks count="1" manualBreakCount="1">
    <brk id="68" max="1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3">
    <pageSetUpPr fitToPage="1"/>
  </sheetPr>
  <dimension ref="A1:R89"/>
  <sheetViews>
    <sheetView topLeftCell="A67" workbookViewId="0">
      <selection activeCell="E90" sqref="E90"/>
    </sheetView>
  </sheetViews>
  <sheetFormatPr defaultColWidth="9.33203125" defaultRowHeight="12.75"/>
  <cols>
    <col min="1" max="1" width="6.83203125" style="64" customWidth="1"/>
    <col min="2" max="2" width="3.33203125" style="64" customWidth="1"/>
    <col min="3" max="3" width="39.83203125" style="64" customWidth="1"/>
    <col min="4" max="4" width="13.83203125" style="64" customWidth="1"/>
    <col min="5" max="5" width="21.33203125" style="64" bestFit="1" customWidth="1"/>
    <col min="6" max="6" width="1.83203125" style="148" customWidth="1"/>
    <col min="7" max="7" width="18" style="64" customWidth="1"/>
    <col min="8" max="8" width="1.83203125" style="64" customWidth="1"/>
    <col min="9" max="9" width="16.1640625" style="64" customWidth="1"/>
    <col min="10" max="10" width="8.83203125" style="64" bestFit="1" customWidth="1"/>
    <col min="11" max="11" width="5.33203125" style="64" customWidth="1"/>
    <col min="12" max="14" width="18.83203125" style="64" customWidth="1"/>
    <col min="15" max="15" width="2.33203125" style="64" customWidth="1"/>
    <col min="16" max="18" width="18.83203125" style="64" customWidth="1"/>
    <col min="19" max="19" width="9.33203125" style="64" customWidth="1"/>
    <col min="20" max="16384" width="9.33203125" style="64"/>
  </cols>
  <sheetData>
    <row r="1" spans="1:18">
      <c r="A1" s="25" t="str">
        <f>Company</f>
        <v>BLACK HILLS NEBRASKA GAS, LLC</v>
      </c>
      <c r="B1" s="30"/>
      <c r="C1" s="30"/>
      <c r="D1" s="30"/>
      <c r="E1" s="30"/>
      <c r="F1" s="30"/>
      <c r="I1" s="615" t="str">
        <f>Attach</f>
        <v>FINAL - BH January 15, 2021 Rev. Req. Model</v>
      </c>
      <c r="J1" s="615"/>
    </row>
    <row r="2" spans="1:18">
      <c r="A2" s="30" t="s">
        <v>43</v>
      </c>
      <c r="B2" s="30"/>
      <c r="C2" s="30"/>
      <c r="D2" s="30"/>
      <c r="E2" s="30"/>
      <c r="F2" s="30"/>
      <c r="I2" s="343" t="s">
        <v>399</v>
      </c>
      <c r="J2" s="343"/>
    </row>
    <row r="3" spans="1:18" ht="12.75" customHeight="1">
      <c r="A3" s="70" t="str">
        <f>TYEnded</f>
        <v>FOR THE TEST YEAR ENDING DECEMBER 31, 2020</v>
      </c>
      <c r="B3" s="30"/>
      <c r="C3" s="30"/>
      <c r="D3" s="30"/>
      <c r="E3" s="30"/>
      <c r="F3" s="30"/>
    </row>
    <row r="4" spans="1:18" ht="12.75" customHeight="1">
      <c r="A4" s="1375"/>
      <c r="B4" s="30"/>
      <c r="C4" s="23"/>
      <c r="D4" s="30"/>
      <c r="E4" s="475"/>
      <c r="F4" s="30"/>
    </row>
    <row r="5" spans="1:18">
      <c r="A5" s="43"/>
      <c r="C5" s="23"/>
      <c r="M5" s="461"/>
      <c r="Q5" s="461"/>
    </row>
    <row r="6" spans="1:18">
      <c r="A6" s="15"/>
      <c r="B6" s="25"/>
      <c r="C6" s="23"/>
      <c r="D6" s="25"/>
      <c r="E6" s="665" t="s">
        <v>199</v>
      </c>
      <c r="F6" s="15"/>
      <c r="G6" s="665" t="s">
        <v>200</v>
      </c>
      <c r="H6" s="15"/>
      <c r="I6" s="665" t="s">
        <v>297</v>
      </c>
      <c r="J6" s="665"/>
      <c r="L6" s="64" t="s">
        <v>1128</v>
      </c>
      <c r="P6" s="64" t="s">
        <v>636</v>
      </c>
    </row>
    <row r="7" spans="1:18">
      <c r="A7" s="15"/>
      <c r="B7" s="20"/>
      <c r="C7" s="23"/>
      <c r="D7" s="20"/>
      <c r="E7" s="665"/>
      <c r="F7" s="15"/>
      <c r="G7" s="15"/>
      <c r="H7" s="15"/>
      <c r="I7" s="665" t="s">
        <v>105</v>
      </c>
      <c r="J7" s="665"/>
    </row>
    <row r="8" spans="1:18">
      <c r="A8" s="15" t="s">
        <v>59</v>
      </c>
      <c r="B8" s="20"/>
      <c r="C8" s="23"/>
      <c r="D8" s="20"/>
      <c r="E8" s="15" t="s">
        <v>347</v>
      </c>
      <c r="F8" s="20"/>
      <c r="G8" s="15" t="s">
        <v>527</v>
      </c>
      <c r="H8" s="31"/>
      <c r="I8" s="364"/>
      <c r="J8" s="364"/>
      <c r="K8" s="470">
        <f>1+K7</f>
        <v>1</v>
      </c>
      <c r="L8" s="75" t="str">
        <f>References!$C$17</f>
        <v>Exhibit No. MCC-2 NEG</v>
      </c>
      <c r="M8" s="75" t="str">
        <f>References!$D$17</f>
        <v>Exhibit No. MCC-2 NEGD</v>
      </c>
      <c r="N8" s="75" t="str">
        <f>References!$E$17</f>
        <v>FINAL - BH January 15, 2021 Rev. Req. Model</v>
      </c>
      <c r="O8" s="470"/>
      <c r="P8" s="75" t="str">
        <f>References!$C$17</f>
        <v>Exhibit No. MCC-2 NEG</v>
      </c>
      <c r="Q8" s="75" t="str">
        <f>References!$D$17</f>
        <v>Exhibit No. MCC-2 NEGD</v>
      </c>
      <c r="R8" s="75" t="str">
        <f>References!$E$17</f>
        <v>FINAL - BH January 15, 2021 Rev. Req. Model</v>
      </c>
    </row>
    <row r="9" spans="1:18">
      <c r="A9" s="362" t="s">
        <v>195</v>
      </c>
      <c r="B9" s="366"/>
      <c r="C9" s="362" t="s">
        <v>196</v>
      </c>
      <c r="D9" s="362" t="s">
        <v>285</v>
      </c>
      <c r="E9" s="362" t="s">
        <v>94</v>
      </c>
      <c r="F9" s="366"/>
      <c r="G9" s="362" t="s">
        <v>528</v>
      </c>
      <c r="H9" s="366"/>
      <c r="I9" s="362" t="s">
        <v>212</v>
      </c>
      <c r="J9" s="364"/>
      <c r="K9" s="470">
        <f t="shared" ref="K9:K80" si="0">1+K8</f>
        <v>2</v>
      </c>
      <c r="L9" s="75" t="str">
        <f>References!$C$18</f>
        <v>NEG</v>
      </c>
      <c r="M9" s="75" t="str">
        <f>References!$D$18</f>
        <v>NEGD</v>
      </c>
      <c r="N9" s="75" t="str">
        <f>References!$E$18</f>
        <v>Tot Co</v>
      </c>
      <c r="O9" s="470"/>
      <c r="P9" s="75" t="str">
        <f>References!$C$18</f>
        <v>NEG</v>
      </c>
      <c r="Q9" s="75" t="str">
        <f>References!$D$18</f>
        <v>NEGD</v>
      </c>
      <c r="R9" s="75" t="str">
        <f>References!$E$18</f>
        <v>Tot Co</v>
      </c>
    </row>
    <row r="10" spans="1:18" ht="12.75" customHeight="1">
      <c r="A10" s="40"/>
      <c r="B10" s="41"/>
      <c r="C10" s="364"/>
      <c r="D10" s="40"/>
      <c r="E10" s="40"/>
      <c r="F10" s="41"/>
      <c r="G10" s="40"/>
      <c r="H10" s="41"/>
      <c r="I10" s="40"/>
      <c r="J10" s="40"/>
      <c r="K10" s="470">
        <f t="shared" si="0"/>
        <v>3</v>
      </c>
      <c r="L10" s="75"/>
      <c r="M10" s="75"/>
      <c r="N10" s="75"/>
      <c r="O10" s="470"/>
      <c r="P10" s="75"/>
      <c r="Q10" s="75"/>
      <c r="R10" s="75"/>
    </row>
    <row r="11" spans="1:18" ht="12.75" customHeight="1">
      <c r="A11" s="469">
        <f t="shared" ref="A11:A61" si="1">1+A10</f>
        <v>1</v>
      </c>
      <c r="B11" s="82" t="s">
        <v>411</v>
      </c>
      <c r="C11" s="82"/>
      <c r="D11" s="469" t="s">
        <v>1127</v>
      </c>
      <c r="E11" s="659">
        <f>'Stmt M'!I23</f>
        <v>45924360</v>
      </c>
      <c r="F11" s="659"/>
      <c r="G11" s="659">
        <f ca="1">I11-E11</f>
        <v>-872831</v>
      </c>
      <c r="H11" s="1535"/>
      <c r="I11" s="659">
        <f ca="1">'Stmt M'!M23</f>
        <v>45051529</v>
      </c>
      <c r="J11" s="149"/>
      <c r="K11" s="470">
        <f t="shared" si="0"/>
        <v>4</v>
      </c>
      <c r="L11" s="928"/>
      <c r="M11" s="928"/>
      <c r="N11" s="937">
        <f>+L11+M11</f>
        <v>0</v>
      </c>
      <c r="O11" s="470"/>
      <c r="P11" s="928"/>
      <c r="Q11" s="928"/>
      <c r="R11" s="937">
        <f t="shared" ref="R11:R36" si="2">+P11+Q11</f>
        <v>0</v>
      </c>
    </row>
    <row r="12" spans="1:18" ht="12.75" customHeight="1">
      <c r="A12" s="469">
        <f t="shared" si="1"/>
        <v>2</v>
      </c>
      <c r="B12" s="82" t="s">
        <v>835</v>
      </c>
      <c r="C12" s="82"/>
      <c r="D12" s="82"/>
      <c r="E12" s="1187">
        <f ca="1">-E85</f>
        <v>-11043219.789000001</v>
      </c>
      <c r="F12" s="1186"/>
      <c r="G12" s="1187">
        <f ca="1">+I12-E12</f>
        <v>-444304.95059999824</v>
      </c>
      <c r="H12" s="1186"/>
      <c r="I12" s="1187">
        <f ca="1">-I85</f>
        <v>-11487524.739599999</v>
      </c>
      <c r="J12" s="693"/>
      <c r="K12" s="470">
        <f t="shared" si="0"/>
        <v>5</v>
      </c>
      <c r="L12" s="928"/>
      <c r="M12" s="928"/>
      <c r="N12" s="937">
        <f t="shared" ref="N12:N73" si="3">+L12+M12</f>
        <v>0</v>
      </c>
      <c r="O12" s="470"/>
      <c r="P12" s="928"/>
      <c r="Q12" s="928"/>
      <c r="R12" s="937">
        <f t="shared" si="2"/>
        <v>0</v>
      </c>
    </row>
    <row r="13" spans="1:18" ht="12.75" customHeight="1">
      <c r="A13" s="469">
        <f t="shared" si="1"/>
        <v>3</v>
      </c>
      <c r="B13" s="82" t="s">
        <v>360</v>
      </c>
      <c r="C13" s="82"/>
      <c r="D13" s="82"/>
      <c r="E13" s="1536">
        <f ca="1">+E11+E12</f>
        <v>34881140.210999995</v>
      </c>
      <c r="F13" s="1536"/>
      <c r="G13" s="1536">
        <f ca="1">+G11+G12</f>
        <v>-1317135.9505999982</v>
      </c>
      <c r="H13" s="1536"/>
      <c r="I13" s="1536">
        <f ca="1">+I11+I12</f>
        <v>33564004.260399997</v>
      </c>
      <c r="J13" s="454"/>
      <c r="K13" s="470">
        <f t="shared" si="0"/>
        <v>6</v>
      </c>
      <c r="L13" s="928"/>
      <c r="M13" s="928"/>
      <c r="N13" s="937">
        <f t="shared" si="3"/>
        <v>0</v>
      </c>
      <c r="O13" s="470"/>
      <c r="P13" s="928"/>
      <c r="Q13" s="928"/>
      <c r="R13" s="937">
        <f t="shared" si="2"/>
        <v>0</v>
      </c>
    </row>
    <row r="14" spans="1:18" ht="12.75" customHeight="1">
      <c r="A14" s="469">
        <f t="shared" si="1"/>
        <v>4</v>
      </c>
      <c r="B14" s="82" t="s">
        <v>348</v>
      </c>
      <c r="C14" s="82"/>
      <c r="D14" s="82"/>
      <c r="E14" s="1189"/>
      <c r="F14" s="1189"/>
      <c r="G14" s="1189"/>
      <c r="H14" s="1189"/>
      <c r="I14" s="1189"/>
      <c r="J14" s="151"/>
      <c r="K14" s="470">
        <f t="shared" si="0"/>
        <v>7</v>
      </c>
      <c r="L14" s="928"/>
      <c r="M14" s="928"/>
      <c r="N14" s="937">
        <f t="shared" si="3"/>
        <v>0</v>
      </c>
      <c r="O14" s="470"/>
      <c r="P14" s="928"/>
      <c r="Q14" s="928"/>
      <c r="R14" s="937">
        <f t="shared" si="2"/>
        <v>0</v>
      </c>
    </row>
    <row r="15" spans="1:18" ht="12.75" customHeight="1">
      <c r="A15" s="469">
        <f t="shared" si="1"/>
        <v>5</v>
      </c>
      <c r="B15" s="82"/>
      <c r="C15" s="82" t="s">
        <v>349</v>
      </c>
      <c r="D15" s="82"/>
      <c r="E15" s="1026">
        <f>HLOOKUP(Attach,$L$8:$AA$230,$K15,FALSE)</f>
        <v>454.2</v>
      </c>
      <c r="F15" s="1537"/>
      <c r="G15" s="1026">
        <f>-E15</f>
        <v>-454.2</v>
      </c>
      <c r="H15" s="1537"/>
      <c r="I15" s="1536">
        <f>E15+G15</f>
        <v>0</v>
      </c>
      <c r="J15" s="454"/>
      <c r="K15" s="470">
        <f t="shared" si="0"/>
        <v>8</v>
      </c>
      <c r="L15" s="938">
        <v>299.2</v>
      </c>
      <c r="M15" s="938">
        <v>155</v>
      </c>
      <c r="N15" s="937">
        <f t="shared" si="3"/>
        <v>454.2</v>
      </c>
      <c r="O15" s="470"/>
      <c r="P15" s="928"/>
      <c r="Q15" s="928"/>
      <c r="R15" s="937">
        <f t="shared" si="2"/>
        <v>0</v>
      </c>
    </row>
    <row r="16" spans="1:18" ht="12.75" customHeight="1">
      <c r="A16" s="469">
        <f t="shared" si="1"/>
        <v>6</v>
      </c>
      <c r="B16" s="82"/>
      <c r="C16" s="82" t="s">
        <v>1032</v>
      </c>
      <c r="D16" s="82"/>
      <c r="E16" s="1541">
        <f>HLOOKUP(Attach,$L$8:$AA$230,K16,FALSE)</f>
        <v>333209.64</v>
      </c>
      <c r="F16" s="1421"/>
      <c r="G16" s="1541">
        <f>HLOOKUP(Attach,$P$8:$R$230,$K16,FALSE)</f>
        <v>0</v>
      </c>
      <c r="H16" s="1191"/>
      <c r="I16" s="1186">
        <f>E16+G16</f>
        <v>333209.64</v>
      </c>
      <c r="J16" s="693"/>
      <c r="K16" s="470">
        <f t="shared" si="0"/>
        <v>9</v>
      </c>
      <c r="L16" s="938">
        <v>193276.64</v>
      </c>
      <c r="M16" s="938">
        <v>139933</v>
      </c>
      <c r="N16" s="937">
        <f t="shared" si="3"/>
        <v>333209.64</v>
      </c>
      <c r="O16" s="470"/>
      <c r="P16" s="928"/>
      <c r="Q16" s="928"/>
      <c r="R16" s="937">
        <f t="shared" si="2"/>
        <v>0</v>
      </c>
    </row>
    <row r="17" spans="1:18" ht="12.75" customHeight="1">
      <c r="A17" s="469">
        <f t="shared" si="1"/>
        <v>7</v>
      </c>
      <c r="B17" s="82"/>
      <c r="C17" s="82" t="s">
        <v>350</v>
      </c>
      <c r="D17" s="82"/>
      <c r="E17" s="1541">
        <f>HLOOKUP(Attach,$L$8:$AA$230,K17,FALSE)</f>
        <v>24532.440000000002</v>
      </c>
      <c r="F17" s="1421"/>
      <c r="G17" s="1541">
        <f>-E17</f>
        <v>-24532.440000000002</v>
      </c>
      <c r="H17" s="1191"/>
      <c r="I17" s="1186">
        <f t="shared" ref="I17:I20" si="4">E17+G17</f>
        <v>0</v>
      </c>
      <c r="J17" s="693"/>
      <c r="K17" s="470">
        <f t="shared" si="0"/>
        <v>10</v>
      </c>
      <c r="L17" s="938">
        <v>15723.44</v>
      </c>
      <c r="M17" s="938">
        <v>8809</v>
      </c>
      <c r="N17" s="937">
        <f t="shared" si="3"/>
        <v>24532.440000000002</v>
      </c>
      <c r="O17" s="470"/>
      <c r="P17" s="928"/>
      <c r="Q17" s="928"/>
      <c r="R17" s="937">
        <f t="shared" si="2"/>
        <v>0</v>
      </c>
    </row>
    <row r="18" spans="1:18" ht="12.75" customHeight="1">
      <c r="A18" s="469">
        <f t="shared" si="1"/>
        <v>8</v>
      </c>
      <c r="B18" s="82"/>
      <c r="C18" s="82" t="s">
        <v>351</v>
      </c>
      <c r="D18" s="82"/>
      <c r="E18" s="1541">
        <f>HLOOKUP(Attach,$L$8:$AA$230,K18,FALSE)</f>
        <v>20808.940000000002</v>
      </c>
      <c r="F18" s="1421"/>
      <c r="G18" s="1541">
        <f t="shared" ref="G18:G20" si="5">-E18</f>
        <v>-20808.940000000002</v>
      </c>
      <c r="H18" s="1191"/>
      <c r="I18" s="1186">
        <f t="shared" si="4"/>
        <v>0</v>
      </c>
      <c r="J18" s="693"/>
      <c r="K18" s="470">
        <f t="shared" si="0"/>
        <v>11</v>
      </c>
      <c r="L18" s="938">
        <v>15682.94</v>
      </c>
      <c r="M18" s="938">
        <v>5126</v>
      </c>
      <c r="N18" s="937">
        <f t="shared" si="3"/>
        <v>20808.940000000002</v>
      </c>
      <c r="O18" s="470"/>
      <c r="P18" s="928"/>
      <c r="Q18" s="928"/>
      <c r="R18" s="937">
        <f t="shared" si="2"/>
        <v>0</v>
      </c>
    </row>
    <row r="19" spans="1:18" ht="12.75" customHeight="1">
      <c r="A19" s="469">
        <f t="shared" si="1"/>
        <v>9</v>
      </c>
      <c r="B19" s="82"/>
      <c r="C19" s="82" t="s">
        <v>601</v>
      </c>
      <c r="D19" s="82"/>
      <c r="E19" s="1541">
        <f>HLOOKUP(Attach,$L$8:$AA$230,K19,FALSE)</f>
        <v>16172.43</v>
      </c>
      <c r="F19" s="1421"/>
      <c r="G19" s="1541">
        <f t="shared" si="5"/>
        <v>-16172.43</v>
      </c>
      <c r="H19" s="1191"/>
      <c r="I19" s="1186">
        <f t="shared" si="4"/>
        <v>0</v>
      </c>
      <c r="J19" s="693"/>
      <c r="K19" s="470">
        <f t="shared" si="0"/>
        <v>12</v>
      </c>
      <c r="L19" s="938">
        <v>14676.43</v>
      </c>
      <c r="M19" s="938">
        <v>1496</v>
      </c>
      <c r="N19" s="937">
        <f t="shared" si="3"/>
        <v>16172.43</v>
      </c>
      <c r="O19" s="470"/>
      <c r="P19" s="928"/>
      <c r="Q19" s="928"/>
      <c r="R19" s="937">
        <f t="shared" si="2"/>
        <v>0</v>
      </c>
    </row>
    <row r="20" spans="1:18" ht="12.75" customHeight="1">
      <c r="A20" s="469">
        <f t="shared" si="1"/>
        <v>10</v>
      </c>
      <c r="B20" s="82"/>
      <c r="C20" s="82" t="s">
        <v>352</v>
      </c>
      <c r="D20" s="82"/>
      <c r="E20" s="1542">
        <f>HLOOKUP(Attach,$L$8:$AA$230,K20,FALSE)</f>
        <v>-36847.949999999997</v>
      </c>
      <c r="F20" s="1421"/>
      <c r="G20" s="1542">
        <f t="shared" si="5"/>
        <v>36847.949999999997</v>
      </c>
      <c r="H20" s="1191"/>
      <c r="I20" s="1187">
        <f t="shared" si="4"/>
        <v>0</v>
      </c>
      <c r="J20" s="693"/>
      <c r="K20" s="470">
        <f t="shared" si="0"/>
        <v>13</v>
      </c>
      <c r="L20" s="949">
        <v>-20897.95</v>
      </c>
      <c r="M20" s="949">
        <v>-15950</v>
      </c>
      <c r="N20" s="937">
        <f t="shared" si="3"/>
        <v>-36847.949999999997</v>
      </c>
      <c r="O20" s="470"/>
      <c r="P20" s="928"/>
      <c r="Q20" s="928"/>
      <c r="R20" s="937">
        <f t="shared" si="2"/>
        <v>0</v>
      </c>
    </row>
    <row r="21" spans="1:18" ht="12.75" customHeight="1">
      <c r="A21" s="469">
        <f>1+A20</f>
        <v>11</v>
      </c>
      <c r="B21" s="82" t="s">
        <v>353</v>
      </c>
      <c r="C21" s="82"/>
      <c r="D21" s="82"/>
      <c r="E21" s="1537">
        <f>ROUND(SUM(E15:E20),0)</f>
        <v>358330</v>
      </c>
      <c r="F21" s="1537"/>
      <c r="G21" s="1537">
        <f>ROUND(SUM(G15:G20),0)</f>
        <v>-25120</v>
      </c>
      <c r="H21" s="1537"/>
      <c r="I21" s="1536">
        <f>ROUND(SUM(I15:I20),0)</f>
        <v>333210</v>
      </c>
      <c r="J21" s="454"/>
      <c r="K21" s="470">
        <f>1+K20</f>
        <v>14</v>
      </c>
      <c r="L21" s="937">
        <f>SUM(L15:L20)</f>
        <v>218760.7</v>
      </c>
      <c r="M21" s="937">
        <f>SUM(M15:M20)</f>
        <v>139569</v>
      </c>
      <c r="N21" s="937">
        <f t="shared" si="3"/>
        <v>358329.7</v>
      </c>
      <c r="O21" s="470"/>
      <c r="P21" s="937">
        <f>SUM(P15:P20)</f>
        <v>0</v>
      </c>
      <c r="Q21" s="937">
        <f>SUM(Q15:Q20)</f>
        <v>0</v>
      </c>
      <c r="R21" s="937">
        <f t="shared" si="2"/>
        <v>0</v>
      </c>
    </row>
    <row r="22" spans="1:18" ht="12.75" customHeight="1">
      <c r="A22" s="469">
        <f t="shared" si="1"/>
        <v>12</v>
      </c>
      <c r="B22" s="82"/>
      <c r="C22" s="82"/>
      <c r="D22" s="82"/>
      <c r="E22" s="1189"/>
      <c r="F22" s="1189"/>
      <c r="G22" s="1189"/>
      <c r="H22" s="1189"/>
      <c r="I22" s="1188"/>
      <c r="J22" s="454"/>
      <c r="K22" s="470">
        <f t="shared" si="0"/>
        <v>15</v>
      </c>
      <c r="L22" s="980"/>
      <c r="M22" s="980"/>
      <c r="N22" s="937">
        <f t="shared" si="3"/>
        <v>0</v>
      </c>
      <c r="O22" s="470"/>
      <c r="P22" s="928"/>
      <c r="Q22" s="928"/>
      <c r="R22" s="937">
        <f t="shared" si="2"/>
        <v>0</v>
      </c>
    </row>
    <row r="23" spans="1:18" ht="12.75" customHeight="1">
      <c r="A23" s="469">
        <f t="shared" si="1"/>
        <v>13</v>
      </c>
      <c r="B23" s="82" t="s">
        <v>354</v>
      </c>
      <c r="C23" s="82"/>
      <c r="D23" s="82"/>
      <c r="E23" s="1189"/>
      <c r="F23" s="1189"/>
      <c r="G23" s="1189"/>
      <c r="H23" s="1189"/>
      <c r="I23" s="1188"/>
      <c r="J23" s="454"/>
      <c r="K23" s="470">
        <f t="shared" si="0"/>
        <v>16</v>
      </c>
      <c r="L23" s="980"/>
      <c r="M23" s="980"/>
      <c r="N23" s="937">
        <f t="shared" si="3"/>
        <v>0</v>
      </c>
      <c r="O23" s="470"/>
      <c r="P23" s="928"/>
      <c r="Q23" s="928"/>
      <c r="R23" s="937">
        <f t="shared" si="2"/>
        <v>0</v>
      </c>
    </row>
    <row r="24" spans="1:18" ht="12.75" customHeight="1">
      <c r="A24" s="469">
        <f t="shared" si="1"/>
        <v>14</v>
      </c>
      <c r="B24" s="82"/>
      <c r="C24" s="82" t="s">
        <v>602</v>
      </c>
      <c r="D24" s="82"/>
      <c r="E24" s="1026">
        <f t="shared" ref="E24:E58" si="6">HLOOKUP(Attach,$L$8:$AA$230,K24,FALSE)</f>
        <v>102041.7</v>
      </c>
      <c r="F24" s="1537"/>
      <c r="G24" s="1026">
        <f>HLOOKUP(Attach,$P$8:$R$230,$K24,FALSE)</f>
        <v>0</v>
      </c>
      <c r="H24" s="1537"/>
      <c r="I24" s="1536">
        <f>E24+G24</f>
        <v>102041.7</v>
      </c>
      <c r="J24" s="454"/>
      <c r="K24" s="470">
        <f t="shared" si="0"/>
        <v>17</v>
      </c>
      <c r="L24" s="938">
        <v>-21279.3</v>
      </c>
      <c r="M24" s="938">
        <v>123321</v>
      </c>
      <c r="N24" s="937">
        <f t="shared" si="3"/>
        <v>102041.7</v>
      </c>
      <c r="O24" s="470"/>
      <c r="P24" s="928"/>
      <c r="Q24" s="928"/>
      <c r="R24" s="937">
        <f t="shared" si="2"/>
        <v>0</v>
      </c>
    </row>
    <row r="25" spans="1:18" ht="12.75" customHeight="1">
      <c r="A25" s="469">
        <f t="shared" si="1"/>
        <v>15</v>
      </c>
      <c r="B25" s="82"/>
      <c r="C25" s="82" t="s">
        <v>603</v>
      </c>
      <c r="D25" s="82"/>
      <c r="E25" s="1192">
        <f t="shared" si="6"/>
        <v>-4913706.87</v>
      </c>
      <c r="F25" s="1191"/>
      <c r="G25" s="1192">
        <f ca="1">'Sched M-2'!J88</f>
        <v>145507.70297257428</v>
      </c>
      <c r="H25" s="1191"/>
      <c r="I25" s="1192">
        <f t="shared" ref="I25:I58" ca="1" si="7">E25+G25</f>
        <v>-4768199.167027426</v>
      </c>
      <c r="J25" s="693"/>
      <c r="K25" s="470">
        <f t="shared" si="0"/>
        <v>18</v>
      </c>
      <c r="L25" s="938">
        <v>-4713451.87</v>
      </c>
      <c r="M25" s="938">
        <v>-200255</v>
      </c>
      <c r="N25" s="937">
        <f t="shared" si="3"/>
        <v>-4913706.87</v>
      </c>
      <c r="O25" s="470"/>
      <c r="P25" s="928"/>
      <c r="Q25" s="928"/>
      <c r="R25" s="937">
        <f t="shared" si="2"/>
        <v>0</v>
      </c>
    </row>
    <row r="26" spans="1:18" ht="12.75" customHeight="1">
      <c r="A26" s="469">
        <f t="shared" si="1"/>
        <v>16</v>
      </c>
      <c r="B26" s="82"/>
      <c r="C26" s="82" t="s">
        <v>604</v>
      </c>
      <c r="D26" s="82"/>
      <c r="E26" s="1192">
        <f t="shared" si="6"/>
        <v>74328.45</v>
      </c>
      <c r="F26" s="1191"/>
      <c r="G26" s="1192">
        <f t="shared" ref="G26:G35" si="8">HLOOKUP(Attach,$P$8:$R$230,$K26,FALSE)</f>
        <v>0</v>
      </c>
      <c r="H26" s="1191"/>
      <c r="I26" s="1192">
        <f t="shared" si="7"/>
        <v>74328.45</v>
      </c>
      <c r="J26" s="693"/>
      <c r="K26" s="470">
        <f t="shared" si="0"/>
        <v>19</v>
      </c>
      <c r="L26" s="938">
        <v>41749.449999999997</v>
      </c>
      <c r="M26" s="938">
        <v>32579</v>
      </c>
      <c r="N26" s="937">
        <f t="shared" si="3"/>
        <v>74328.45</v>
      </c>
      <c r="O26" s="470"/>
      <c r="P26" s="928"/>
      <c r="Q26" s="928"/>
      <c r="R26" s="937">
        <f t="shared" si="2"/>
        <v>0</v>
      </c>
    </row>
    <row r="27" spans="1:18" ht="12.75" customHeight="1">
      <c r="A27" s="469">
        <f t="shared" si="1"/>
        <v>17</v>
      </c>
      <c r="B27" s="82"/>
      <c r="C27" s="82" t="s">
        <v>605</v>
      </c>
      <c r="D27" s="82"/>
      <c r="E27" s="1192">
        <f t="shared" si="6"/>
        <v>-253020.94</v>
      </c>
      <c r="F27" s="1191"/>
      <c r="G27" s="1192">
        <f t="shared" si="8"/>
        <v>0</v>
      </c>
      <c r="H27" s="1191"/>
      <c r="I27" s="1192">
        <f t="shared" si="7"/>
        <v>-253020.94</v>
      </c>
      <c r="J27" s="693"/>
      <c r="K27" s="470">
        <f t="shared" si="0"/>
        <v>20</v>
      </c>
      <c r="L27" s="938">
        <v>-240882.94</v>
      </c>
      <c r="M27" s="938">
        <v>-12138</v>
      </c>
      <c r="N27" s="937">
        <f t="shared" si="3"/>
        <v>-253020.94</v>
      </c>
      <c r="O27" s="470"/>
      <c r="P27" s="928"/>
      <c r="Q27" s="928"/>
      <c r="R27" s="937">
        <f t="shared" si="2"/>
        <v>0</v>
      </c>
    </row>
    <row r="28" spans="1:18" ht="12.75" customHeight="1">
      <c r="A28" s="469">
        <f t="shared" si="1"/>
        <v>18</v>
      </c>
      <c r="B28" s="82"/>
      <c r="C28" s="82" t="s">
        <v>624</v>
      </c>
      <c r="D28" s="82"/>
      <c r="E28" s="1192">
        <f t="shared" si="6"/>
        <v>0</v>
      </c>
      <c r="F28" s="1191"/>
      <c r="G28" s="1192">
        <f t="shared" si="8"/>
        <v>0</v>
      </c>
      <c r="H28" s="1191"/>
      <c r="I28" s="1192">
        <f t="shared" si="7"/>
        <v>0</v>
      </c>
      <c r="J28" s="693"/>
      <c r="K28" s="470">
        <f t="shared" si="0"/>
        <v>21</v>
      </c>
      <c r="L28" s="938"/>
      <c r="M28" s="938"/>
      <c r="N28" s="937">
        <f t="shared" si="3"/>
        <v>0</v>
      </c>
      <c r="O28" s="470"/>
      <c r="P28" s="928"/>
      <c r="Q28" s="928"/>
      <c r="R28" s="937">
        <f t="shared" si="2"/>
        <v>0</v>
      </c>
    </row>
    <row r="29" spans="1:18" ht="12.75" customHeight="1">
      <c r="A29" s="469">
        <f t="shared" si="1"/>
        <v>19</v>
      </c>
      <c r="B29" s="82"/>
      <c r="C29" s="82" t="s">
        <v>606</v>
      </c>
      <c r="D29" s="82"/>
      <c r="E29" s="1192">
        <f t="shared" si="6"/>
        <v>0</v>
      </c>
      <c r="F29" s="1191"/>
      <c r="G29" s="1192">
        <f t="shared" si="8"/>
        <v>0</v>
      </c>
      <c r="H29" s="1191"/>
      <c r="I29" s="1192">
        <f t="shared" si="7"/>
        <v>0</v>
      </c>
      <c r="J29" s="693"/>
      <c r="K29" s="470">
        <f t="shared" si="0"/>
        <v>22</v>
      </c>
      <c r="L29" s="938"/>
      <c r="M29" s="938"/>
      <c r="N29" s="937">
        <f t="shared" si="3"/>
        <v>0</v>
      </c>
      <c r="O29" s="470"/>
      <c r="P29" s="928"/>
      <c r="Q29" s="928"/>
      <c r="R29" s="937">
        <f t="shared" si="2"/>
        <v>0</v>
      </c>
    </row>
    <row r="30" spans="1:18" ht="12.75" customHeight="1">
      <c r="A30" s="469">
        <f t="shared" si="1"/>
        <v>20</v>
      </c>
      <c r="B30" s="82"/>
      <c r="C30" s="82" t="s">
        <v>607</v>
      </c>
      <c r="D30" s="82"/>
      <c r="E30" s="1192">
        <f t="shared" si="6"/>
        <v>-3038.320000000007</v>
      </c>
      <c r="F30" s="1191"/>
      <c r="G30" s="1192">
        <f t="shared" si="8"/>
        <v>0</v>
      </c>
      <c r="H30" s="1191"/>
      <c r="I30" s="1192">
        <f t="shared" si="7"/>
        <v>-3038.320000000007</v>
      </c>
      <c r="J30" s="693"/>
      <c r="K30" s="470">
        <f t="shared" si="0"/>
        <v>23</v>
      </c>
      <c r="L30" s="938">
        <v>-125792.32000000001</v>
      </c>
      <c r="M30" s="938">
        <v>122754</v>
      </c>
      <c r="N30" s="937">
        <f t="shared" si="3"/>
        <v>-3038.320000000007</v>
      </c>
      <c r="O30" s="470"/>
      <c r="P30" s="928"/>
      <c r="Q30" s="928"/>
      <c r="R30" s="937">
        <f t="shared" si="2"/>
        <v>0</v>
      </c>
    </row>
    <row r="31" spans="1:18" ht="12.75" customHeight="1">
      <c r="A31" s="469">
        <f t="shared" si="1"/>
        <v>21</v>
      </c>
      <c r="B31" s="82"/>
      <c r="C31" s="82" t="s">
        <v>608</v>
      </c>
      <c r="D31" s="82"/>
      <c r="E31" s="1192">
        <f t="shared" si="6"/>
        <v>0</v>
      </c>
      <c r="F31" s="1191"/>
      <c r="G31" s="1192">
        <f t="shared" si="8"/>
        <v>0</v>
      </c>
      <c r="H31" s="1191"/>
      <c r="I31" s="1192">
        <f t="shared" si="7"/>
        <v>0</v>
      </c>
      <c r="J31" s="693"/>
      <c r="K31" s="470">
        <f t="shared" si="0"/>
        <v>24</v>
      </c>
      <c r="L31" s="938"/>
      <c r="M31" s="938"/>
      <c r="N31" s="937">
        <f t="shared" si="3"/>
        <v>0</v>
      </c>
      <c r="O31" s="470"/>
      <c r="P31" s="928"/>
      <c r="Q31" s="928"/>
      <c r="R31" s="937">
        <f t="shared" si="2"/>
        <v>0</v>
      </c>
    </row>
    <row r="32" spans="1:18" ht="12.75" customHeight="1">
      <c r="A32" s="469">
        <f t="shared" si="1"/>
        <v>22</v>
      </c>
      <c r="B32" s="82"/>
      <c r="C32" s="82" t="s">
        <v>609</v>
      </c>
      <c r="D32" s="82"/>
      <c r="E32" s="1192">
        <f t="shared" si="6"/>
        <v>276</v>
      </c>
      <c r="F32" s="1191"/>
      <c r="G32" s="1192">
        <f t="shared" si="8"/>
        <v>0</v>
      </c>
      <c r="H32" s="1191"/>
      <c r="I32" s="1192">
        <f t="shared" si="7"/>
        <v>276</v>
      </c>
      <c r="J32" s="693"/>
      <c r="K32" s="470">
        <f t="shared" si="0"/>
        <v>25</v>
      </c>
      <c r="L32" s="938">
        <v>276</v>
      </c>
      <c r="M32" s="938"/>
      <c r="N32" s="937">
        <f t="shared" si="3"/>
        <v>276</v>
      </c>
      <c r="O32" s="470"/>
      <c r="P32" s="928"/>
      <c r="Q32" s="928"/>
      <c r="R32" s="937">
        <f t="shared" si="2"/>
        <v>0</v>
      </c>
    </row>
    <row r="33" spans="1:18" ht="12.75" customHeight="1">
      <c r="A33" s="469">
        <f t="shared" si="1"/>
        <v>23</v>
      </c>
      <c r="B33" s="82"/>
      <c r="C33" s="82" t="s">
        <v>755</v>
      </c>
      <c r="D33" s="82"/>
      <c r="E33" s="1192">
        <f t="shared" si="6"/>
        <v>0</v>
      </c>
      <c r="F33" s="1191"/>
      <c r="G33" s="1192">
        <f t="shared" si="8"/>
        <v>0</v>
      </c>
      <c r="H33" s="1191"/>
      <c r="I33" s="1192">
        <f t="shared" si="7"/>
        <v>0</v>
      </c>
      <c r="J33" s="693"/>
      <c r="K33" s="470">
        <f t="shared" si="0"/>
        <v>26</v>
      </c>
      <c r="L33" s="938"/>
      <c r="M33" s="938"/>
      <c r="N33" s="937">
        <f t="shared" si="3"/>
        <v>0</v>
      </c>
      <c r="O33" s="470"/>
      <c r="P33" s="928"/>
      <c r="Q33" s="928"/>
      <c r="R33" s="937">
        <f t="shared" si="2"/>
        <v>0</v>
      </c>
    </row>
    <row r="34" spans="1:18" ht="12.75" customHeight="1">
      <c r="A34" s="469">
        <f t="shared" si="1"/>
        <v>24</v>
      </c>
      <c r="B34" s="82"/>
      <c r="C34" s="82" t="s">
        <v>637</v>
      </c>
      <c r="D34" s="82"/>
      <c r="E34" s="1192">
        <f t="shared" si="6"/>
        <v>-14391.81</v>
      </c>
      <c r="F34" s="1191"/>
      <c r="G34" s="1192">
        <f t="shared" si="8"/>
        <v>0</v>
      </c>
      <c r="H34" s="1191"/>
      <c r="I34" s="1192">
        <f t="shared" si="7"/>
        <v>-14391.81</v>
      </c>
      <c r="J34" s="693"/>
      <c r="K34" s="470">
        <f t="shared" si="0"/>
        <v>27</v>
      </c>
      <c r="L34" s="938">
        <v>-14391.81</v>
      </c>
      <c r="M34" s="938"/>
      <c r="N34" s="937">
        <f t="shared" si="3"/>
        <v>-14391.81</v>
      </c>
      <c r="O34" s="470"/>
      <c r="P34" s="928"/>
      <c r="Q34" s="928"/>
      <c r="R34" s="937">
        <f t="shared" si="2"/>
        <v>0</v>
      </c>
    </row>
    <row r="35" spans="1:18" ht="12.75" customHeight="1">
      <c r="A35" s="469">
        <f t="shared" si="1"/>
        <v>25</v>
      </c>
      <c r="B35" s="82"/>
      <c r="C35" s="82" t="s">
        <v>610</v>
      </c>
      <c r="D35" s="82"/>
      <c r="E35" s="1192">
        <f t="shared" si="6"/>
        <v>0</v>
      </c>
      <c r="F35" s="1191"/>
      <c r="G35" s="1192">
        <f t="shared" si="8"/>
        <v>0</v>
      </c>
      <c r="H35" s="1191"/>
      <c r="I35" s="1192">
        <f t="shared" si="7"/>
        <v>0</v>
      </c>
      <c r="J35" s="693"/>
      <c r="K35" s="470">
        <f t="shared" si="0"/>
        <v>28</v>
      </c>
      <c r="L35" s="938"/>
      <c r="M35" s="938"/>
      <c r="N35" s="937">
        <f t="shared" si="3"/>
        <v>0</v>
      </c>
      <c r="O35" s="470"/>
      <c r="P35" s="928"/>
      <c r="Q35" s="928"/>
      <c r="R35" s="937">
        <f t="shared" si="2"/>
        <v>0</v>
      </c>
    </row>
    <row r="36" spans="1:18" ht="12.75" customHeight="1">
      <c r="A36" s="469">
        <f t="shared" si="1"/>
        <v>26</v>
      </c>
      <c r="B36" s="82"/>
      <c r="C36" s="82" t="s">
        <v>619</v>
      </c>
      <c r="D36" s="82"/>
      <c r="E36" s="1192">
        <f t="shared" si="6"/>
        <v>-1233957</v>
      </c>
      <c r="F36" s="1191"/>
      <c r="G36" s="1192">
        <f>'Sched M-2'!J87</f>
        <v>429728.93984345905</v>
      </c>
      <c r="H36" s="1191"/>
      <c r="I36" s="1192">
        <f t="shared" si="7"/>
        <v>-804228.06015654095</v>
      </c>
      <c r="J36" s="693"/>
      <c r="K36" s="470">
        <f t="shared" si="0"/>
        <v>29</v>
      </c>
      <c r="L36" s="938">
        <v>-1087245</v>
      </c>
      <c r="M36" s="938">
        <v>-146712</v>
      </c>
      <c r="N36" s="937">
        <f t="shared" si="3"/>
        <v>-1233957</v>
      </c>
      <c r="O36" s="470"/>
      <c r="P36" s="928"/>
      <c r="Q36" s="928"/>
      <c r="R36" s="937">
        <f t="shared" si="2"/>
        <v>0</v>
      </c>
    </row>
    <row r="37" spans="1:18" ht="12.75" customHeight="1">
      <c r="A37" s="469">
        <f t="shared" si="1"/>
        <v>27</v>
      </c>
      <c r="B37" s="82"/>
      <c r="C37" s="82" t="s">
        <v>611</v>
      </c>
      <c r="D37" s="82"/>
      <c r="E37" s="1192">
        <f t="shared" si="6"/>
        <v>-436493.68</v>
      </c>
      <c r="F37" s="1191"/>
      <c r="G37" s="1192">
        <f>'Sched M-2'!J86</f>
        <v>420290.06130833318</v>
      </c>
      <c r="H37" s="1191"/>
      <c r="I37" s="1192">
        <f t="shared" si="7"/>
        <v>-16203.618691666808</v>
      </c>
      <c r="J37" s="693"/>
      <c r="K37" s="470">
        <f t="shared" si="0"/>
        <v>30</v>
      </c>
      <c r="L37" s="938">
        <v>-385131.68</v>
      </c>
      <c r="M37" s="938">
        <v>-51362</v>
      </c>
      <c r="N37" s="937">
        <f t="shared" si="3"/>
        <v>-436493.68</v>
      </c>
      <c r="O37" s="470"/>
      <c r="P37" s="928"/>
      <c r="Q37" s="928"/>
    </row>
    <row r="38" spans="1:18" ht="12.75" customHeight="1">
      <c r="A38" s="469">
        <f t="shared" si="1"/>
        <v>28</v>
      </c>
      <c r="B38" s="82"/>
      <c r="C38" s="82" t="s">
        <v>614</v>
      </c>
      <c r="D38" s="82"/>
      <c r="E38" s="1192">
        <f t="shared" si="6"/>
        <v>0</v>
      </c>
      <c r="F38" s="1191"/>
      <c r="G38" s="1192">
        <f t="shared" ref="G38:G58" si="9">HLOOKUP(Attach,$P$8:$R$230,$K38,FALSE)</f>
        <v>0</v>
      </c>
      <c r="H38" s="1191"/>
      <c r="I38" s="1192">
        <f t="shared" si="7"/>
        <v>0</v>
      </c>
      <c r="J38" s="693"/>
      <c r="K38" s="470">
        <f t="shared" si="0"/>
        <v>31</v>
      </c>
      <c r="L38" s="938"/>
      <c r="M38" s="938"/>
      <c r="N38" s="937">
        <f t="shared" si="3"/>
        <v>0</v>
      </c>
      <c r="O38" s="470"/>
      <c r="P38" s="928"/>
      <c r="Q38" s="928"/>
      <c r="R38" s="937">
        <f t="shared" ref="R38:R51" si="10">+P38+Q38</f>
        <v>0</v>
      </c>
    </row>
    <row r="39" spans="1:18" ht="12.75" customHeight="1">
      <c r="A39" s="469">
        <f t="shared" si="1"/>
        <v>29</v>
      </c>
      <c r="B39" s="82"/>
      <c r="C39" s="1383" t="s">
        <v>1033</v>
      </c>
      <c r="D39" s="82"/>
      <c r="E39" s="1192">
        <f t="shared" si="6"/>
        <v>-122612.45000000001</v>
      </c>
      <c r="F39" s="1191"/>
      <c r="G39" s="1192">
        <f t="shared" si="9"/>
        <v>122612</v>
      </c>
      <c r="H39" s="1191"/>
      <c r="I39" s="1192">
        <f t="shared" si="7"/>
        <v>-0.45000000001164153</v>
      </c>
      <c r="J39" s="693"/>
      <c r="K39" s="470">
        <f t="shared" si="0"/>
        <v>32</v>
      </c>
      <c r="L39" s="938">
        <v>-133321.45000000001</v>
      </c>
      <c r="M39" s="938">
        <v>10709</v>
      </c>
      <c r="N39" s="937">
        <f t="shared" si="3"/>
        <v>-122612.45000000001</v>
      </c>
      <c r="O39" s="470"/>
      <c r="P39" s="948">
        <v>133321</v>
      </c>
      <c r="Q39" s="948">
        <v>-10709</v>
      </c>
      <c r="R39" s="937">
        <f t="shared" si="10"/>
        <v>122612</v>
      </c>
    </row>
    <row r="40" spans="1:18" ht="12.75" customHeight="1">
      <c r="A40" s="469">
        <f t="shared" si="1"/>
        <v>30</v>
      </c>
      <c r="B40" s="82"/>
      <c r="C40" s="82" t="s">
        <v>638</v>
      </c>
      <c r="D40" s="82"/>
      <c r="E40" s="1192">
        <f t="shared" si="6"/>
        <v>-394471.93</v>
      </c>
      <c r="F40" s="1191"/>
      <c r="G40" s="1192">
        <f t="shared" si="9"/>
        <v>394472</v>
      </c>
      <c r="H40" s="1191"/>
      <c r="I40" s="1192">
        <f t="shared" si="7"/>
        <v>7.0000000006984919E-2</v>
      </c>
      <c r="J40" s="693"/>
      <c r="K40" s="470">
        <f t="shared" si="0"/>
        <v>33</v>
      </c>
      <c r="L40" s="938">
        <v>-364471.93</v>
      </c>
      <c r="M40" s="938">
        <v>-30000</v>
      </c>
      <c r="N40" s="937">
        <f t="shared" si="3"/>
        <v>-394471.93</v>
      </c>
      <c r="O40" s="470"/>
      <c r="P40" s="948">
        <v>364472</v>
      </c>
      <c r="Q40" s="948">
        <v>30000</v>
      </c>
      <c r="R40" s="937">
        <f t="shared" si="10"/>
        <v>394472</v>
      </c>
    </row>
    <row r="41" spans="1:18" ht="12.75" customHeight="1">
      <c r="A41" s="469">
        <f t="shared" si="1"/>
        <v>31</v>
      </c>
      <c r="B41" s="82"/>
      <c r="C41" s="82" t="s">
        <v>1034</v>
      </c>
      <c r="D41" s="82"/>
      <c r="E41" s="1192">
        <f t="shared" si="6"/>
        <v>-930906.42</v>
      </c>
      <c r="F41" s="1191"/>
      <c r="G41" s="1192">
        <f t="shared" si="9"/>
        <v>930906</v>
      </c>
      <c r="H41" s="1191"/>
      <c r="I41" s="1192">
        <f t="shared" si="7"/>
        <v>-0.42000000004190952</v>
      </c>
      <c r="J41" s="693"/>
      <c r="K41" s="470">
        <f t="shared" si="0"/>
        <v>34</v>
      </c>
      <c r="L41" s="938">
        <v>-930906.42</v>
      </c>
      <c r="M41" s="938"/>
      <c r="N41" s="937">
        <f t="shared" si="3"/>
        <v>-930906.42</v>
      </c>
      <c r="O41" s="470"/>
      <c r="P41" s="948">
        <v>930906</v>
      </c>
      <c r="Q41" s="948"/>
      <c r="R41" s="937">
        <f t="shared" si="10"/>
        <v>930906</v>
      </c>
    </row>
    <row r="42" spans="1:18" ht="12.75" customHeight="1">
      <c r="A42" s="469">
        <f t="shared" si="1"/>
        <v>32</v>
      </c>
      <c r="B42" s="82"/>
      <c r="C42" s="82" t="s">
        <v>612</v>
      </c>
      <c r="D42" s="82"/>
      <c r="E42" s="1192">
        <f t="shared" si="6"/>
        <v>-192038</v>
      </c>
      <c r="F42" s="1191"/>
      <c r="G42" s="1192">
        <f t="shared" si="9"/>
        <v>192038</v>
      </c>
      <c r="H42" s="1191"/>
      <c r="I42" s="1192">
        <f t="shared" si="7"/>
        <v>0</v>
      </c>
      <c r="J42" s="693"/>
      <c r="K42" s="470">
        <f t="shared" si="0"/>
        <v>35</v>
      </c>
      <c r="L42" s="938"/>
      <c r="M42" s="938">
        <v>-192038</v>
      </c>
      <c r="N42" s="937">
        <f t="shared" si="3"/>
        <v>-192038</v>
      </c>
      <c r="O42" s="470"/>
      <c r="P42" s="948"/>
      <c r="Q42" s="948">
        <v>192038</v>
      </c>
      <c r="R42" s="937">
        <f t="shared" si="10"/>
        <v>192038</v>
      </c>
    </row>
    <row r="43" spans="1:18" ht="12.75" customHeight="1">
      <c r="A43" s="469">
        <f t="shared" si="1"/>
        <v>33</v>
      </c>
      <c r="B43" s="82"/>
      <c r="C43" s="82" t="s">
        <v>613</v>
      </c>
      <c r="D43" s="82"/>
      <c r="E43" s="1192">
        <f t="shared" si="6"/>
        <v>-9497500</v>
      </c>
      <c r="F43" s="1191"/>
      <c r="G43" s="1192">
        <f t="shared" si="9"/>
        <v>0</v>
      </c>
      <c r="H43" s="1191"/>
      <c r="I43" s="1192">
        <f t="shared" si="7"/>
        <v>-9497500</v>
      </c>
      <c r="J43" s="693"/>
      <c r="K43" s="470">
        <f t="shared" si="0"/>
        <v>36</v>
      </c>
      <c r="L43" s="938"/>
      <c r="M43" s="938">
        <v>-9497500</v>
      </c>
      <c r="N43" s="937">
        <f t="shared" si="3"/>
        <v>-9497500</v>
      </c>
      <c r="O43" s="470"/>
      <c r="P43" s="948"/>
      <c r="Q43" s="948"/>
      <c r="R43" s="937">
        <f t="shared" si="10"/>
        <v>0</v>
      </c>
    </row>
    <row r="44" spans="1:18" ht="12.75" customHeight="1">
      <c r="A44" s="469">
        <f t="shared" si="1"/>
        <v>34</v>
      </c>
      <c r="B44" s="82"/>
      <c r="C44" s="1383" t="s">
        <v>1035</v>
      </c>
      <c r="D44" s="82"/>
      <c r="E44" s="1192">
        <f t="shared" si="6"/>
        <v>1404.41</v>
      </c>
      <c r="F44" s="1191"/>
      <c r="G44" s="1192">
        <f t="shared" si="9"/>
        <v>-1404</v>
      </c>
      <c r="H44" s="1191"/>
      <c r="I44" s="1192">
        <f t="shared" si="7"/>
        <v>0.41000000000008185</v>
      </c>
      <c r="J44" s="693"/>
      <c r="K44" s="470">
        <f t="shared" si="0"/>
        <v>37</v>
      </c>
      <c r="L44" s="938">
        <v>3.41</v>
      </c>
      <c r="M44" s="938">
        <v>1401</v>
      </c>
      <c r="N44" s="937">
        <f t="shared" si="3"/>
        <v>1404.41</v>
      </c>
      <c r="O44" s="470"/>
      <c r="P44" s="948">
        <v>-3</v>
      </c>
      <c r="Q44" s="948">
        <v>-1401</v>
      </c>
      <c r="R44" s="937">
        <f t="shared" si="10"/>
        <v>-1404</v>
      </c>
    </row>
    <row r="45" spans="1:18" ht="12.75" customHeight="1">
      <c r="A45" s="469">
        <f t="shared" si="1"/>
        <v>35</v>
      </c>
      <c r="B45" s="82"/>
      <c r="C45" s="82" t="s">
        <v>757</v>
      </c>
      <c r="D45" s="82"/>
      <c r="E45" s="1192">
        <f t="shared" si="6"/>
        <v>0</v>
      </c>
      <c r="F45" s="1191"/>
      <c r="G45" s="1192">
        <f t="shared" si="9"/>
        <v>0</v>
      </c>
      <c r="H45" s="1191"/>
      <c r="I45" s="1192">
        <f t="shared" si="7"/>
        <v>0</v>
      </c>
      <c r="J45" s="693"/>
      <c r="K45" s="470">
        <f t="shared" si="0"/>
        <v>38</v>
      </c>
      <c r="L45" s="938"/>
      <c r="M45" s="938"/>
      <c r="N45" s="937">
        <f t="shared" si="3"/>
        <v>0</v>
      </c>
      <c r="O45" s="470"/>
      <c r="P45" s="948"/>
      <c r="Q45" s="948"/>
      <c r="R45" s="937">
        <f t="shared" si="10"/>
        <v>0</v>
      </c>
    </row>
    <row r="46" spans="1:18" ht="12.75" customHeight="1">
      <c r="A46" s="469">
        <f t="shared" si="1"/>
        <v>36</v>
      </c>
      <c r="B46" s="82"/>
      <c r="C46" s="82" t="s">
        <v>758</v>
      </c>
      <c r="D46" s="82"/>
      <c r="E46" s="1192">
        <f t="shared" si="6"/>
        <v>0</v>
      </c>
      <c r="F46" s="1191"/>
      <c r="G46" s="1192">
        <f t="shared" si="9"/>
        <v>0</v>
      </c>
      <c r="H46" s="1191"/>
      <c r="I46" s="1192">
        <f t="shared" si="7"/>
        <v>0</v>
      </c>
      <c r="J46" s="693"/>
      <c r="K46" s="470">
        <f t="shared" si="0"/>
        <v>39</v>
      </c>
      <c r="L46" s="938"/>
      <c r="M46" s="938"/>
      <c r="N46" s="937">
        <f t="shared" si="3"/>
        <v>0</v>
      </c>
      <c r="O46" s="470"/>
      <c r="P46" s="948"/>
      <c r="Q46" s="948"/>
      <c r="R46" s="937">
        <f t="shared" si="10"/>
        <v>0</v>
      </c>
    </row>
    <row r="47" spans="1:18" ht="12.75" customHeight="1">
      <c r="A47" s="469">
        <f t="shared" si="1"/>
        <v>37</v>
      </c>
      <c r="B47" s="82"/>
      <c r="C47" s="82" t="s">
        <v>615</v>
      </c>
      <c r="D47" s="82"/>
      <c r="E47" s="1192">
        <f t="shared" si="6"/>
        <v>-9967152.9100000001</v>
      </c>
      <c r="F47" s="1191"/>
      <c r="G47" s="1192">
        <f>SUM('Sched M-2'!J51,'Sched M-2'!J72,'Sched M-2'!J82,'Sched M-3'!J9,'Sched M-3'!J11)</f>
        <v>-23428659.243853629</v>
      </c>
      <c r="H47" s="1191"/>
      <c r="I47" s="1186">
        <f t="shared" si="7"/>
        <v>-33395812.153853629</v>
      </c>
      <c r="J47" s="693"/>
      <c r="K47" s="470">
        <f t="shared" si="0"/>
        <v>40</v>
      </c>
      <c r="L47" s="938">
        <v>-5554900.9100000001</v>
      </c>
      <c r="M47" s="938">
        <v>-4412252</v>
      </c>
      <c r="N47" s="937">
        <f t="shared" si="3"/>
        <v>-9967152.9100000001</v>
      </c>
      <c r="O47" s="470"/>
      <c r="P47" s="948"/>
      <c r="Q47" s="948"/>
      <c r="R47" s="937">
        <f t="shared" si="10"/>
        <v>0</v>
      </c>
    </row>
    <row r="48" spans="1:18" ht="12.75" customHeight="1">
      <c r="A48" s="469">
        <f t="shared" si="1"/>
        <v>38</v>
      </c>
      <c r="B48" s="82"/>
      <c r="C48" s="82" t="s">
        <v>616</v>
      </c>
      <c r="D48" s="82"/>
      <c r="E48" s="1192">
        <f t="shared" si="6"/>
        <v>-490255.16</v>
      </c>
      <c r="F48" s="1191"/>
      <c r="G48" s="1192">
        <f t="shared" si="9"/>
        <v>490255</v>
      </c>
      <c r="H48" s="1191"/>
      <c r="I48" s="1186">
        <f t="shared" si="7"/>
        <v>-0.15999999997438863</v>
      </c>
      <c r="J48" s="693"/>
      <c r="K48" s="470">
        <f t="shared" si="0"/>
        <v>41</v>
      </c>
      <c r="L48" s="938">
        <v>-131.16</v>
      </c>
      <c r="M48" s="938">
        <v>-490124</v>
      </c>
      <c r="N48" s="937">
        <f t="shared" si="3"/>
        <v>-490255.16</v>
      </c>
      <c r="O48" s="470"/>
      <c r="P48" s="948">
        <v>131</v>
      </c>
      <c r="Q48" s="948">
        <v>490124</v>
      </c>
      <c r="R48" s="937">
        <f t="shared" si="10"/>
        <v>490255</v>
      </c>
    </row>
    <row r="49" spans="1:18" ht="12.75" customHeight="1">
      <c r="A49" s="469">
        <f t="shared" si="1"/>
        <v>39</v>
      </c>
      <c r="B49" s="82"/>
      <c r="C49" s="82" t="s">
        <v>617</v>
      </c>
      <c r="D49" s="82"/>
      <c r="E49" s="1192">
        <f t="shared" si="6"/>
        <v>5225804</v>
      </c>
      <c r="F49" s="1191"/>
      <c r="G49" s="1192">
        <f t="shared" si="9"/>
        <v>-5225804</v>
      </c>
      <c r="H49" s="1191"/>
      <c r="I49" s="1186">
        <f t="shared" si="7"/>
        <v>0</v>
      </c>
      <c r="J49" s="693"/>
      <c r="K49" s="470">
        <f t="shared" si="0"/>
        <v>42</v>
      </c>
      <c r="L49" s="938"/>
      <c r="M49" s="938">
        <v>5225804</v>
      </c>
      <c r="N49" s="937">
        <f t="shared" si="3"/>
        <v>5225804</v>
      </c>
      <c r="O49" s="470"/>
      <c r="P49" s="948"/>
      <c r="Q49" s="948">
        <v>-5225804</v>
      </c>
      <c r="R49" s="937">
        <f t="shared" si="10"/>
        <v>-5225804</v>
      </c>
    </row>
    <row r="50" spans="1:18" ht="12.75" customHeight="1">
      <c r="A50" s="469">
        <f t="shared" si="1"/>
        <v>40</v>
      </c>
      <c r="B50" s="82"/>
      <c r="C50" s="82" t="s">
        <v>618</v>
      </c>
      <c r="D50" s="82"/>
      <c r="E50" s="1192">
        <f t="shared" si="6"/>
        <v>242272</v>
      </c>
      <c r="F50" s="1191"/>
      <c r="G50" s="1192">
        <f t="shared" si="9"/>
        <v>-242272</v>
      </c>
      <c r="H50" s="1191"/>
      <c r="I50" s="1186">
        <f t="shared" si="7"/>
        <v>0</v>
      </c>
      <c r="J50" s="693"/>
      <c r="K50" s="470">
        <f t="shared" si="0"/>
        <v>43</v>
      </c>
      <c r="L50" s="938"/>
      <c r="M50" s="938">
        <v>242272</v>
      </c>
      <c r="N50" s="937">
        <f t="shared" si="3"/>
        <v>242272</v>
      </c>
      <c r="O50" s="470"/>
      <c r="P50" s="948"/>
      <c r="Q50" s="948">
        <v>-242272</v>
      </c>
      <c r="R50" s="937">
        <f t="shared" si="10"/>
        <v>-242272</v>
      </c>
    </row>
    <row r="51" spans="1:18" ht="12.75" customHeight="1">
      <c r="A51" s="469">
        <f t="shared" si="1"/>
        <v>41</v>
      </c>
      <c r="B51" s="82"/>
      <c r="C51" s="82" t="s">
        <v>756</v>
      </c>
      <c r="D51" s="82"/>
      <c r="E51" s="1192">
        <f t="shared" si="6"/>
        <v>0</v>
      </c>
      <c r="F51" s="1191"/>
      <c r="G51" s="1192">
        <f t="shared" si="9"/>
        <v>0</v>
      </c>
      <c r="H51" s="1191"/>
      <c r="I51" s="1186">
        <f t="shared" si="7"/>
        <v>0</v>
      </c>
      <c r="J51" s="693"/>
      <c r="K51" s="470">
        <f>1+K50</f>
        <v>44</v>
      </c>
      <c r="L51" s="938"/>
      <c r="M51" s="938"/>
      <c r="N51" s="937">
        <f t="shared" si="3"/>
        <v>0</v>
      </c>
      <c r="O51" s="470"/>
      <c r="P51" s="948"/>
      <c r="Q51" s="948"/>
      <c r="R51" s="937">
        <f t="shared" si="10"/>
        <v>0</v>
      </c>
    </row>
    <row r="52" spans="1:18" ht="12.75" customHeight="1">
      <c r="A52" s="469">
        <f t="shared" si="1"/>
        <v>42</v>
      </c>
      <c r="B52" s="82"/>
      <c r="C52" s="82" t="s">
        <v>620</v>
      </c>
      <c r="D52" s="82"/>
      <c r="E52" s="1192">
        <f t="shared" si="6"/>
        <v>0</v>
      </c>
      <c r="F52" s="1191"/>
      <c r="G52" s="1192">
        <f t="shared" si="9"/>
        <v>0</v>
      </c>
      <c r="H52" s="1191"/>
      <c r="I52" s="1186">
        <f t="shared" si="7"/>
        <v>0</v>
      </c>
      <c r="J52" s="693"/>
      <c r="K52" s="470">
        <f t="shared" si="0"/>
        <v>45</v>
      </c>
      <c r="L52" s="938"/>
      <c r="M52" s="938"/>
      <c r="N52" s="937">
        <f t="shared" si="3"/>
        <v>0</v>
      </c>
      <c r="O52" s="470"/>
      <c r="P52" s="948"/>
      <c r="Q52" s="948"/>
    </row>
    <row r="53" spans="1:18" ht="12.75" customHeight="1">
      <c r="A53" s="469">
        <f t="shared" si="1"/>
        <v>43</v>
      </c>
      <c r="B53" s="82"/>
      <c r="C53" s="82" t="s">
        <v>898</v>
      </c>
      <c r="D53" s="82"/>
      <c r="E53" s="1192">
        <f t="shared" si="6"/>
        <v>3166396.38</v>
      </c>
      <c r="F53" s="1191"/>
      <c r="G53" s="1192">
        <f t="shared" si="9"/>
        <v>-3166396</v>
      </c>
      <c r="H53" s="1191"/>
      <c r="I53" s="1186">
        <f t="shared" si="7"/>
        <v>0.37999999988824129</v>
      </c>
      <c r="J53" s="693"/>
      <c r="K53" s="470">
        <f t="shared" si="0"/>
        <v>46</v>
      </c>
      <c r="L53" s="938">
        <v>3166396.38</v>
      </c>
      <c r="M53" s="938"/>
      <c r="N53" s="937">
        <f t="shared" si="3"/>
        <v>3166396.38</v>
      </c>
      <c r="O53" s="470"/>
      <c r="P53" s="948">
        <v>-3166396</v>
      </c>
      <c r="Q53" s="948"/>
      <c r="R53" s="937">
        <f>+P53+Q53</f>
        <v>-3166396</v>
      </c>
    </row>
    <row r="54" spans="1:18" ht="12.75" customHeight="1">
      <c r="A54" s="469">
        <f t="shared" si="1"/>
        <v>44</v>
      </c>
      <c r="B54" s="82"/>
      <c r="C54" s="82" t="s">
        <v>621</v>
      </c>
      <c r="D54" s="82"/>
      <c r="E54" s="1192">
        <f t="shared" si="6"/>
        <v>-339661.58999999997</v>
      </c>
      <c r="F54" s="1191"/>
      <c r="G54" s="1192">
        <f t="shared" si="9"/>
        <v>0</v>
      </c>
      <c r="H54" s="1191"/>
      <c r="I54" s="1186">
        <f t="shared" si="7"/>
        <v>-339661.58999999997</v>
      </c>
      <c r="J54" s="693"/>
      <c r="K54" s="470">
        <f t="shared" si="0"/>
        <v>47</v>
      </c>
      <c r="L54" s="938">
        <v>-38623.589999999997</v>
      </c>
      <c r="M54" s="938">
        <v>-301038</v>
      </c>
      <c r="N54" s="937">
        <f t="shared" si="3"/>
        <v>-339661.58999999997</v>
      </c>
      <c r="O54" s="470"/>
      <c r="P54" s="948"/>
      <c r="Q54" s="948"/>
      <c r="R54" s="937">
        <f>+P54+Q54</f>
        <v>0</v>
      </c>
    </row>
    <row r="55" spans="1:18" ht="12.75" customHeight="1">
      <c r="A55" s="469">
        <f t="shared" si="1"/>
        <v>45</v>
      </c>
      <c r="B55" s="82"/>
      <c r="C55" s="1383" t="s">
        <v>1036</v>
      </c>
      <c r="D55" s="82"/>
      <c r="E55" s="1192">
        <f t="shared" si="6"/>
        <v>121337.35</v>
      </c>
      <c r="F55" s="1191"/>
      <c r="G55" s="1192">
        <f t="shared" si="9"/>
        <v>-121337</v>
      </c>
      <c r="H55" s="1191"/>
      <c r="I55" s="1186">
        <f t="shared" si="7"/>
        <v>0.35000000000582077</v>
      </c>
      <c r="J55" s="693"/>
      <c r="K55" s="470">
        <f t="shared" si="0"/>
        <v>48</v>
      </c>
      <c r="L55" s="938">
        <v>132338.35</v>
      </c>
      <c r="M55" s="938">
        <v>-11001</v>
      </c>
      <c r="N55" s="937">
        <f t="shared" si="3"/>
        <v>121337.35</v>
      </c>
      <c r="O55" s="470"/>
      <c r="P55" s="948">
        <v>-132338</v>
      </c>
      <c r="Q55" s="948">
        <v>11001</v>
      </c>
      <c r="R55" s="937">
        <f>+P55+Q55</f>
        <v>-121337</v>
      </c>
    </row>
    <row r="56" spans="1:18" ht="12.75" customHeight="1">
      <c r="A56" s="469">
        <f t="shared" si="1"/>
        <v>46</v>
      </c>
      <c r="B56" s="82"/>
      <c r="C56" s="82" t="s">
        <v>622</v>
      </c>
      <c r="D56" s="82"/>
      <c r="E56" s="1192">
        <f t="shared" si="6"/>
        <v>479242</v>
      </c>
      <c r="F56" s="1191"/>
      <c r="G56" s="1192">
        <f t="shared" si="9"/>
        <v>-479242</v>
      </c>
      <c r="H56" s="1191"/>
      <c r="I56" s="1186">
        <f t="shared" si="7"/>
        <v>0</v>
      </c>
      <c r="J56" s="693"/>
      <c r="K56" s="470">
        <f t="shared" si="0"/>
        <v>49</v>
      </c>
      <c r="L56" s="938"/>
      <c r="M56" s="938">
        <v>479242</v>
      </c>
      <c r="N56" s="937">
        <f t="shared" si="3"/>
        <v>479242</v>
      </c>
      <c r="O56" s="470"/>
      <c r="P56" s="948"/>
      <c r="Q56" s="948">
        <v>-479242</v>
      </c>
      <c r="R56" s="937">
        <f t="shared" ref="R56:R85" si="11">+P56+Q56</f>
        <v>-479242</v>
      </c>
    </row>
    <row r="57" spans="1:18" ht="12.75" customHeight="1">
      <c r="A57" s="469">
        <f t="shared" si="1"/>
        <v>47</v>
      </c>
      <c r="B57" s="82"/>
      <c r="C57" s="1383" t="s">
        <v>1037</v>
      </c>
      <c r="D57" s="82"/>
      <c r="E57" s="1192">
        <f t="shared" si="6"/>
        <v>619961.53</v>
      </c>
      <c r="F57" s="1191"/>
      <c r="G57" s="1192">
        <f t="shared" si="9"/>
        <v>-619962</v>
      </c>
      <c r="H57" s="1191"/>
      <c r="I57" s="1186">
        <f t="shared" si="7"/>
        <v>-0.46999999997206032</v>
      </c>
      <c r="J57" s="693"/>
      <c r="K57" s="470">
        <f t="shared" si="0"/>
        <v>50</v>
      </c>
      <c r="L57" s="938">
        <v>619961.53</v>
      </c>
      <c r="M57" s="938"/>
      <c r="N57" s="937">
        <f t="shared" si="3"/>
        <v>619961.53</v>
      </c>
      <c r="O57" s="470"/>
      <c r="P57" s="948">
        <v>-619962</v>
      </c>
      <c r="Q57" s="948"/>
      <c r="R57" s="937">
        <f t="shared" si="11"/>
        <v>-619962</v>
      </c>
    </row>
    <row r="58" spans="1:18" ht="12.75" customHeight="1">
      <c r="A58" s="469">
        <f t="shared" si="1"/>
        <v>48</v>
      </c>
      <c r="B58" s="82"/>
      <c r="C58" s="82" t="s">
        <v>623</v>
      </c>
      <c r="D58" s="82"/>
      <c r="E58" s="1384">
        <f t="shared" si="6"/>
        <v>-11559681</v>
      </c>
      <c r="F58" s="1191"/>
      <c r="G58" s="1384">
        <f t="shared" si="9"/>
        <v>0</v>
      </c>
      <c r="H58" s="1191"/>
      <c r="I58" s="1187">
        <f t="shared" si="7"/>
        <v>-11559681</v>
      </c>
      <c r="J58" s="693"/>
      <c r="K58" s="470">
        <f t="shared" si="0"/>
        <v>51</v>
      </c>
      <c r="L58" s="949">
        <v>-1743433</v>
      </c>
      <c r="M58" s="949">
        <v>-9816248</v>
      </c>
      <c r="N58" s="937">
        <f t="shared" si="3"/>
        <v>-11559681</v>
      </c>
      <c r="O58" s="470"/>
      <c r="P58" s="949"/>
      <c r="Q58" s="949"/>
      <c r="R58" s="937">
        <f t="shared" si="11"/>
        <v>0</v>
      </c>
    </row>
    <row r="59" spans="1:18" ht="12.75" customHeight="1">
      <c r="A59" s="469">
        <f t="shared" si="1"/>
        <v>49</v>
      </c>
      <c r="B59" s="82" t="s">
        <v>355</v>
      </c>
      <c r="C59" s="82"/>
      <c r="D59" s="82"/>
      <c r="E59" s="1536">
        <f>ROUND(SUM(E24:E58),0)</f>
        <v>-30315824</v>
      </c>
      <c r="F59" s="1536"/>
      <c r="G59" s="1536">
        <f ca="1">ROUND(SUM(G24:G58),0)</f>
        <v>-30159267</v>
      </c>
      <c r="H59" s="1537"/>
      <c r="I59" s="1536">
        <f ca="1">ROUND(SUM(I24:I58),0)</f>
        <v>-60475091</v>
      </c>
      <c r="J59" s="454"/>
      <c r="K59" s="470">
        <f t="shared" si="0"/>
        <v>52</v>
      </c>
      <c r="L59" s="937">
        <f>SUM(L24:L58)</f>
        <v>-11393238.260000002</v>
      </c>
      <c r="M59" s="937">
        <f>SUM(M24:M58)</f>
        <v>-18922586</v>
      </c>
      <c r="N59" s="937">
        <f t="shared" si="3"/>
        <v>-30315824.260000002</v>
      </c>
      <c r="O59" s="470"/>
      <c r="P59" s="937">
        <f>SUM(P24:P58)</f>
        <v>-2489869</v>
      </c>
      <c r="Q59" s="937">
        <f>SUM(Q24:Q58)</f>
        <v>-5236265</v>
      </c>
      <c r="R59" s="937">
        <f t="shared" si="11"/>
        <v>-7726134</v>
      </c>
    </row>
    <row r="60" spans="1:18" ht="12.75" customHeight="1">
      <c r="A60" s="469">
        <f t="shared" si="1"/>
        <v>50</v>
      </c>
      <c r="B60" s="82"/>
      <c r="C60" s="82"/>
      <c r="D60" s="82"/>
      <c r="E60" s="1189"/>
      <c r="F60" s="1189"/>
      <c r="G60" s="1189"/>
      <c r="H60" s="1189"/>
      <c r="I60" s="1188"/>
      <c r="J60" s="454"/>
      <c r="K60" s="470">
        <f t="shared" si="0"/>
        <v>53</v>
      </c>
      <c r="L60" s="980"/>
      <c r="M60" s="980"/>
      <c r="N60" s="937">
        <f t="shared" si="3"/>
        <v>0</v>
      </c>
      <c r="O60" s="470"/>
      <c r="P60" s="928"/>
      <c r="Q60" s="928"/>
      <c r="R60" s="937">
        <f t="shared" si="11"/>
        <v>0</v>
      </c>
    </row>
    <row r="61" spans="1:18" ht="12.75" customHeight="1">
      <c r="A61" s="469">
        <f t="shared" si="1"/>
        <v>51</v>
      </c>
      <c r="B61" s="82" t="s">
        <v>356</v>
      </c>
      <c r="C61" s="82"/>
      <c r="D61" s="82"/>
      <c r="E61" s="1536">
        <f ca="1">ROUND(+E13+E21+E59,0)</f>
        <v>4923646</v>
      </c>
      <c r="F61" s="1537"/>
      <c r="G61" s="1536">
        <f ca="1">I61-E61</f>
        <v>-31501523</v>
      </c>
      <c r="H61" s="1537"/>
      <c r="I61" s="1536">
        <f ca="1">ROUND(+I13+I21+I59,0)</f>
        <v>-26577877</v>
      </c>
      <c r="J61" s="454"/>
      <c r="K61" s="470">
        <f t="shared" si="0"/>
        <v>54</v>
      </c>
      <c r="L61" s="928"/>
      <c r="M61" s="928"/>
      <c r="N61" s="937">
        <f t="shared" si="3"/>
        <v>0</v>
      </c>
      <c r="O61" s="470"/>
      <c r="P61" s="928"/>
      <c r="Q61" s="928"/>
      <c r="R61" s="937">
        <f t="shared" si="11"/>
        <v>0</v>
      </c>
    </row>
    <row r="62" spans="1:18" ht="12.75" customHeight="1">
      <c r="A62" s="469">
        <f>1+A61</f>
        <v>52</v>
      </c>
      <c r="B62" s="82"/>
      <c r="C62" s="82" t="s">
        <v>357</v>
      </c>
      <c r="D62" s="82"/>
      <c r="E62" s="1187">
        <f ca="1">-E61</f>
        <v>-4923646</v>
      </c>
      <c r="F62" s="1193"/>
      <c r="G62" s="1187">
        <f ca="1">-G61</f>
        <v>31501523</v>
      </c>
      <c r="H62" s="1193"/>
      <c r="I62" s="1187">
        <f ca="1">-I61</f>
        <v>26577877</v>
      </c>
      <c r="J62" s="693"/>
      <c r="K62" s="470">
        <f t="shared" si="0"/>
        <v>55</v>
      </c>
      <c r="L62" s="928"/>
      <c r="M62" s="928"/>
      <c r="N62" s="937">
        <f t="shared" si="3"/>
        <v>0</v>
      </c>
      <c r="O62" s="470"/>
      <c r="P62" s="928"/>
      <c r="Q62" s="928"/>
      <c r="R62" s="937">
        <f t="shared" si="11"/>
        <v>0</v>
      </c>
    </row>
    <row r="63" spans="1:18" ht="12.75" customHeight="1">
      <c r="A63" s="469">
        <f t="shared" ref="A63:A85" si="12">1+A62</f>
        <v>53</v>
      </c>
      <c r="B63" s="82"/>
      <c r="C63" s="82" t="s">
        <v>358</v>
      </c>
      <c r="D63" s="82"/>
      <c r="E63" s="1537">
        <f ca="1">E61+E62</f>
        <v>0</v>
      </c>
      <c r="F63" s="1537"/>
      <c r="G63" s="1537">
        <f ca="1">G61+G62</f>
        <v>0</v>
      </c>
      <c r="H63" s="1537"/>
      <c r="I63" s="1537">
        <f ca="1">I61+I62</f>
        <v>0</v>
      </c>
      <c r="J63" s="151"/>
      <c r="K63" s="470">
        <f t="shared" si="0"/>
        <v>56</v>
      </c>
      <c r="L63" s="928"/>
      <c r="M63" s="928"/>
      <c r="N63" s="937">
        <f t="shared" si="3"/>
        <v>0</v>
      </c>
      <c r="O63" s="470"/>
      <c r="P63" s="928"/>
      <c r="Q63" s="928"/>
      <c r="R63" s="937">
        <f t="shared" si="11"/>
        <v>0</v>
      </c>
    </row>
    <row r="64" spans="1:18" ht="12.75" customHeight="1">
      <c r="A64" s="469">
        <f t="shared" si="12"/>
        <v>54</v>
      </c>
      <c r="B64" s="82"/>
      <c r="C64" s="82"/>
      <c r="D64" s="82"/>
      <c r="E64" s="1189"/>
      <c r="F64" s="1189"/>
      <c r="G64" s="1189"/>
      <c r="H64" s="1189"/>
      <c r="I64" s="1189"/>
      <c r="J64" s="151"/>
      <c r="K64" s="470">
        <f>1+K63</f>
        <v>57</v>
      </c>
      <c r="L64" s="928"/>
      <c r="M64" s="928"/>
      <c r="N64" s="937">
        <f t="shared" si="3"/>
        <v>0</v>
      </c>
      <c r="O64" s="470"/>
      <c r="P64" s="928"/>
      <c r="Q64" s="928"/>
      <c r="R64" s="937">
        <f t="shared" si="11"/>
        <v>0</v>
      </c>
    </row>
    <row r="65" spans="1:18" ht="12.75" customHeight="1">
      <c r="A65" s="469">
        <f t="shared" si="12"/>
        <v>55</v>
      </c>
      <c r="B65" s="82"/>
      <c r="C65" s="1194" t="s">
        <v>33</v>
      </c>
      <c r="D65" s="1194"/>
      <c r="E65" s="1195"/>
      <c r="F65" s="1195"/>
      <c r="G65" s="1189"/>
      <c r="H65" s="1189"/>
      <c r="I65" s="1189"/>
      <c r="J65" s="151"/>
      <c r="K65" s="470">
        <f t="shared" si="0"/>
        <v>58</v>
      </c>
      <c r="L65" s="928"/>
      <c r="M65" s="928"/>
      <c r="N65" s="937">
        <f t="shared" si="3"/>
        <v>0</v>
      </c>
      <c r="O65" s="470"/>
      <c r="P65" s="928"/>
      <c r="Q65" s="928"/>
      <c r="R65" s="937">
        <f t="shared" si="11"/>
        <v>0</v>
      </c>
    </row>
    <row r="66" spans="1:18" ht="12.75" customHeight="1">
      <c r="A66" s="469">
        <f t="shared" si="12"/>
        <v>56</v>
      </c>
      <c r="B66" s="82"/>
      <c r="C66" s="1196" t="s">
        <v>560</v>
      </c>
      <c r="D66" s="82"/>
      <c r="E66" s="1191">
        <f ca="1">E63</f>
        <v>0</v>
      </c>
      <c r="F66" s="804"/>
      <c r="G66" s="1191">
        <f ca="1">G63</f>
        <v>0</v>
      </c>
      <c r="H66" s="1191"/>
      <c r="I66" s="1191">
        <f ca="1">I63</f>
        <v>0</v>
      </c>
      <c r="J66" s="151"/>
      <c r="K66" s="470">
        <f t="shared" si="0"/>
        <v>59</v>
      </c>
      <c r="L66" s="928"/>
      <c r="M66" s="928"/>
      <c r="N66" s="937">
        <f t="shared" si="3"/>
        <v>0</v>
      </c>
      <c r="O66" s="470"/>
      <c r="P66" s="928"/>
      <c r="Q66" s="928"/>
      <c r="R66" s="937">
        <f t="shared" si="11"/>
        <v>0</v>
      </c>
    </row>
    <row r="67" spans="1:18" ht="12.75" customHeight="1" thickBot="1">
      <c r="A67" s="469">
        <f t="shared" si="12"/>
        <v>57</v>
      </c>
      <c r="B67" s="82"/>
      <c r="C67" s="1194" t="s">
        <v>34</v>
      </c>
      <c r="D67" s="1197">
        <f>FITRATE</f>
        <v>0.21</v>
      </c>
      <c r="E67" s="1543">
        <f ca="1">ROUND(E66*$D$67,0)</f>
        <v>0</v>
      </c>
      <c r="F67" s="804"/>
      <c r="G67" s="1543">
        <f ca="1">I67-E67</f>
        <v>0</v>
      </c>
      <c r="H67" s="1191"/>
      <c r="I67" s="1543">
        <f ca="1">ROUND(I66*FITRATE,0)</f>
        <v>0</v>
      </c>
      <c r="J67" s="151"/>
      <c r="K67" s="470">
        <f t="shared" si="0"/>
        <v>60</v>
      </c>
      <c r="L67" s="928"/>
      <c r="M67" s="928"/>
      <c r="N67" s="937">
        <f t="shared" si="3"/>
        <v>0</v>
      </c>
      <c r="O67" s="470"/>
      <c r="P67" s="928"/>
      <c r="Q67" s="928"/>
      <c r="R67" s="937">
        <f t="shared" si="11"/>
        <v>0</v>
      </c>
    </row>
    <row r="68" spans="1:18" ht="12.75" customHeight="1" thickTop="1">
      <c r="A68" s="469">
        <f t="shared" si="12"/>
        <v>58</v>
      </c>
      <c r="B68" s="82"/>
      <c r="C68" s="82"/>
      <c r="D68" s="82"/>
      <c r="E68" s="1189"/>
      <c r="F68" s="82"/>
      <c r="G68" s="1189"/>
      <c r="H68" s="1189"/>
      <c r="I68" s="1189"/>
      <c r="J68" s="151"/>
      <c r="K68" s="470">
        <f t="shared" si="0"/>
        <v>61</v>
      </c>
      <c r="L68" s="928"/>
      <c r="M68" s="928"/>
      <c r="N68" s="937">
        <f t="shared" si="3"/>
        <v>0</v>
      </c>
      <c r="O68" s="470"/>
      <c r="P68" s="928"/>
      <c r="Q68" s="928"/>
      <c r="R68" s="937">
        <f t="shared" si="11"/>
        <v>0</v>
      </c>
    </row>
    <row r="69" spans="1:18" ht="12.75" customHeight="1">
      <c r="A69" s="469">
        <f t="shared" si="12"/>
        <v>59</v>
      </c>
      <c r="B69" s="82"/>
      <c r="C69" s="1194" t="s">
        <v>35</v>
      </c>
      <c r="D69" s="1194"/>
      <c r="E69" s="1195"/>
      <c r="F69" s="82"/>
      <c r="G69" s="1195"/>
      <c r="H69" s="1189"/>
      <c r="I69" s="1189"/>
      <c r="J69" s="151"/>
      <c r="K69" s="470">
        <f t="shared" si="0"/>
        <v>62</v>
      </c>
      <c r="L69" s="928"/>
      <c r="M69" s="928"/>
      <c r="N69" s="937">
        <f t="shared" si="3"/>
        <v>0</v>
      </c>
      <c r="O69" s="470"/>
      <c r="P69" s="928"/>
      <c r="Q69" s="928"/>
      <c r="R69" s="937">
        <f t="shared" si="11"/>
        <v>0</v>
      </c>
    </row>
    <row r="70" spans="1:18" ht="12.75" customHeight="1">
      <c r="A70" s="469">
        <f t="shared" si="12"/>
        <v>60</v>
      </c>
      <c r="B70" s="82"/>
      <c r="C70" s="1196" t="s">
        <v>561</v>
      </c>
      <c r="D70" s="82"/>
      <c r="E70" s="1536">
        <f ca="1">E63*$D$67</f>
        <v>0</v>
      </c>
      <c r="F70" s="659"/>
      <c r="G70" s="1537">
        <f ca="1">I70-E70</f>
        <v>0</v>
      </c>
      <c r="H70" s="1537"/>
      <c r="I70" s="1536">
        <f ca="1">(I63)*FITRATE</f>
        <v>0</v>
      </c>
      <c r="J70" s="454"/>
      <c r="K70" s="470">
        <f t="shared" si="0"/>
        <v>63</v>
      </c>
      <c r="L70" s="928"/>
      <c r="M70" s="928"/>
      <c r="N70" s="937">
        <f t="shared" si="3"/>
        <v>0</v>
      </c>
      <c r="O70" s="470"/>
      <c r="P70" s="928"/>
      <c r="Q70" s="928"/>
      <c r="R70" s="937">
        <f t="shared" si="11"/>
        <v>0</v>
      </c>
    </row>
    <row r="71" spans="1:18" ht="12.75" customHeight="1">
      <c r="A71" s="1004">
        <f t="shared" si="12"/>
        <v>61</v>
      </c>
      <c r="B71" s="1005"/>
      <c r="C71" s="1005"/>
      <c r="D71" s="82"/>
      <c r="E71" s="1197"/>
      <c r="F71" s="82"/>
      <c r="G71" s="1189"/>
      <c r="H71" s="1189"/>
      <c r="I71" s="1197"/>
      <c r="J71" s="153"/>
      <c r="K71" s="470">
        <f t="shared" si="0"/>
        <v>64</v>
      </c>
      <c r="L71" s="928"/>
      <c r="M71" s="928"/>
      <c r="N71" s="937">
        <f t="shared" si="3"/>
        <v>0</v>
      </c>
      <c r="O71" s="470"/>
      <c r="P71" s="928"/>
      <c r="Q71" s="928"/>
      <c r="R71" s="937">
        <f t="shared" si="11"/>
        <v>0</v>
      </c>
    </row>
    <row r="72" spans="1:18" ht="12.75" customHeight="1">
      <c r="A72" s="469">
        <f t="shared" si="12"/>
        <v>62</v>
      </c>
      <c r="B72" s="82"/>
      <c r="C72" s="1194" t="s">
        <v>36</v>
      </c>
      <c r="D72" s="1196"/>
      <c r="E72" s="1189"/>
      <c r="F72" s="82"/>
      <c r="G72" s="1189"/>
      <c r="H72" s="1189"/>
      <c r="I72" s="1189"/>
      <c r="J72" s="151"/>
      <c r="K72" s="470">
        <f t="shared" si="0"/>
        <v>65</v>
      </c>
      <c r="L72" s="928"/>
      <c r="M72" s="928"/>
      <c r="N72" s="937">
        <f t="shared" si="3"/>
        <v>0</v>
      </c>
      <c r="O72" s="470"/>
      <c r="P72" s="928"/>
      <c r="Q72" s="928"/>
      <c r="R72" s="937">
        <f t="shared" si="11"/>
        <v>0</v>
      </c>
    </row>
    <row r="73" spans="1:18" ht="12.75" customHeight="1">
      <c r="A73" s="469">
        <f t="shared" si="12"/>
        <v>63</v>
      </c>
      <c r="B73" s="82"/>
      <c r="C73" s="1196" t="s">
        <v>647</v>
      </c>
      <c r="D73" s="1385">
        <f>COMPRATE</f>
        <v>0.27169900000000002</v>
      </c>
      <c r="E73" s="1536">
        <f ca="1">-(E59+E62)*D73</f>
        <v>9574528.7595300004</v>
      </c>
      <c r="F73" s="1538"/>
      <c r="G73" s="1536">
        <f ca="1">+I73-E73</f>
        <v>-364689.61294399947</v>
      </c>
      <c r="H73" s="1536"/>
      <c r="I73" s="1536">
        <f ca="1">-(I59+I62)*$D$73</f>
        <v>9209839.1465860009</v>
      </c>
      <c r="J73" s="454"/>
      <c r="K73" s="470">
        <f t="shared" si="0"/>
        <v>66</v>
      </c>
      <c r="L73" s="928"/>
      <c r="M73" s="928"/>
      <c r="N73" s="937">
        <f t="shared" si="3"/>
        <v>0</v>
      </c>
      <c r="O73" s="470"/>
      <c r="P73" s="928"/>
      <c r="Q73" s="928"/>
      <c r="R73" s="937">
        <f t="shared" si="11"/>
        <v>0</v>
      </c>
    </row>
    <row r="74" spans="1:18" ht="12.75" customHeight="1">
      <c r="A74" s="469">
        <f t="shared" si="12"/>
        <v>64</v>
      </c>
      <c r="B74" s="82"/>
      <c r="C74" s="1386" t="s">
        <v>830</v>
      </c>
      <c r="D74" s="1196"/>
      <c r="E74" s="1544">
        <f>HLOOKUP(Attach,$L$8:$AA$230,K74,FALSE)</f>
        <v>0</v>
      </c>
      <c r="F74" s="719"/>
      <c r="G74" s="1544">
        <f>IF(D87="Y",-536636,0)</f>
        <v>-536636</v>
      </c>
      <c r="H74" s="1186"/>
      <c r="I74" s="1186">
        <f>E74+G74</f>
        <v>-536636</v>
      </c>
      <c r="J74" s="693"/>
      <c r="K74" s="470">
        <f t="shared" si="0"/>
        <v>67</v>
      </c>
      <c r="L74" s="928"/>
      <c r="M74" s="928"/>
      <c r="N74" s="937">
        <f t="shared" ref="N74:N85" si="13">+L74+M74</f>
        <v>0</v>
      </c>
      <c r="O74" s="470"/>
      <c r="P74" s="928"/>
      <c r="Q74" s="928"/>
      <c r="R74" s="937">
        <f t="shared" si="11"/>
        <v>0</v>
      </c>
    </row>
    <row r="75" spans="1:18" ht="12.75" customHeight="1">
      <c r="A75" s="469">
        <f t="shared" si="12"/>
        <v>65</v>
      </c>
      <c r="B75" s="82"/>
      <c r="C75" s="1386" t="s">
        <v>1638</v>
      </c>
      <c r="D75" s="1196"/>
      <c r="E75" s="1192">
        <f>HLOOKUP(Attach,$L$8:$AA$230,K75,FALSE)</f>
        <v>0</v>
      </c>
      <c r="F75" s="719"/>
      <c r="G75" s="1192">
        <f>IF(D88="Y",E88,0)</f>
        <v>79114.391455000004</v>
      </c>
      <c r="H75" s="1186"/>
      <c r="I75" s="1186">
        <f>E75+G75</f>
        <v>79114.391455000004</v>
      </c>
      <c r="K75" s="470">
        <f>1+K74</f>
        <v>68</v>
      </c>
      <c r="L75" s="928"/>
      <c r="M75" s="928"/>
      <c r="N75" s="937">
        <f t="shared" si="13"/>
        <v>0</v>
      </c>
      <c r="O75" s="470"/>
      <c r="P75" s="928"/>
      <c r="Q75" s="928"/>
      <c r="R75" s="937">
        <f t="shared" si="11"/>
        <v>0</v>
      </c>
    </row>
    <row r="76" spans="1:18" ht="12.75" customHeight="1">
      <c r="A76" s="469">
        <f t="shared" si="12"/>
        <v>66</v>
      </c>
      <c r="B76" s="82"/>
      <c r="C76" s="64" t="s">
        <v>1676</v>
      </c>
      <c r="G76" s="64">
        <f>IF(D89="Y",E89,0)</f>
        <v>-135024</v>
      </c>
      <c r="I76" s="1186">
        <f>E76+G76</f>
        <v>-135024</v>
      </c>
      <c r="K76" s="470">
        <f>1+K75</f>
        <v>69</v>
      </c>
      <c r="L76" s="928"/>
      <c r="M76" s="928"/>
      <c r="N76" s="937">
        <f t="shared" si="13"/>
        <v>0</v>
      </c>
      <c r="O76" s="470"/>
      <c r="P76" s="928"/>
      <c r="Q76" s="928"/>
      <c r="R76" s="937">
        <f t="shared" si="11"/>
        <v>0</v>
      </c>
    </row>
    <row r="77" spans="1:18" ht="12.75" customHeight="1">
      <c r="A77" s="469">
        <f t="shared" si="12"/>
        <v>67</v>
      </c>
      <c r="B77" s="82"/>
      <c r="C77" s="1387" t="s">
        <v>829</v>
      </c>
      <c r="D77" s="1196"/>
      <c r="E77" s="1536">
        <f>SUM(E74:E75)</f>
        <v>0</v>
      </c>
      <c r="F77" s="1539"/>
      <c r="G77" s="1536">
        <f>SUM(G74:G76)</f>
        <v>-592545.60854499997</v>
      </c>
      <c r="H77" s="1536"/>
      <c r="I77" s="1536">
        <f>SUM(I74:I76)</f>
        <v>-592545.60854499997</v>
      </c>
      <c r="J77" s="693"/>
      <c r="K77" s="470">
        <f t="shared" si="0"/>
        <v>70</v>
      </c>
      <c r="L77" s="928"/>
      <c r="M77" s="928"/>
      <c r="N77" s="937">
        <f t="shared" si="13"/>
        <v>0</v>
      </c>
      <c r="O77" s="470"/>
      <c r="P77" s="928"/>
      <c r="Q77" s="928"/>
      <c r="R77" s="937">
        <f t="shared" si="11"/>
        <v>0</v>
      </c>
    </row>
    <row r="78" spans="1:18" ht="12.75" customHeight="1" thickBot="1">
      <c r="A78" s="469">
        <f t="shared" si="12"/>
        <v>68</v>
      </c>
      <c r="B78" s="82"/>
      <c r="C78" s="1194" t="s">
        <v>37</v>
      </c>
      <c r="D78" s="1194"/>
      <c r="E78" s="1540">
        <f ca="1">+E67+E73+E77</f>
        <v>9574528.7595300004</v>
      </c>
      <c r="F78" s="659"/>
      <c r="G78" s="1540">
        <f ca="1">+G67+G73+G77</f>
        <v>-957235.22148899944</v>
      </c>
      <c r="H78" s="1537"/>
      <c r="I78" s="1540">
        <f ca="1">+I67+I73+I77</f>
        <v>8617293.5380410012</v>
      </c>
      <c r="J78" s="748"/>
      <c r="K78" s="470">
        <f t="shared" si="0"/>
        <v>71</v>
      </c>
      <c r="L78" s="928"/>
      <c r="M78" s="928"/>
      <c r="N78" s="937">
        <f t="shared" si="13"/>
        <v>0</v>
      </c>
      <c r="O78" s="470"/>
      <c r="P78" s="928"/>
      <c r="Q78" s="928"/>
      <c r="R78" s="937">
        <f t="shared" si="11"/>
        <v>0</v>
      </c>
    </row>
    <row r="79" spans="1:18" ht="12.75" customHeight="1" thickTop="1">
      <c r="A79" s="469">
        <f t="shared" si="12"/>
        <v>69</v>
      </c>
      <c r="B79" s="82"/>
      <c r="C79" s="82"/>
      <c r="D79" s="82"/>
      <c r="E79" s="1189"/>
      <c r="F79" s="1189"/>
      <c r="G79" s="1189"/>
      <c r="H79" s="1189"/>
      <c r="I79" s="1189"/>
      <c r="J79" s="151"/>
      <c r="K79" s="470">
        <f t="shared" si="0"/>
        <v>72</v>
      </c>
      <c r="L79" s="928"/>
      <c r="M79" s="928"/>
      <c r="N79" s="937">
        <f t="shared" si="13"/>
        <v>0</v>
      </c>
      <c r="O79" s="470"/>
      <c r="P79" s="928"/>
      <c r="Q79" s="928"/>
      <c r="R79" s="937">
        <f t="shared" si="11"/>
        <v>0</v>
      </c>
    </row>
    <row r="80" spans="1:18" ht="12.75" customHeight="1">
      <c r="A80" s="469">
        <f t="shared" si="12"/>
        <v>70</v>
      </c>
      <c r="B80" s="82"/>
      <c r="C80" s="1194" t="s">
        <v>150</v>
      </c>
      <c r="D80" s="82"/>
      <c r="E80" s="1200"/>
      <c r="F80" s="1200"/>
      <c r="G80" s="1200"/>
      <c r="H80" s="1189"/>
      <c r="I80" s="1189"/>
      <c r="J80" s="151"/>
      <c r="K80" s="470">
        <f t="shared" si="0"/>
        <v>73</v>
      </c>
      <c r="L80" s="928"/>
      <c r="M80" s="928"/>
      <c r="N80" s="937">
        <f t="shared" si="13"/>
        <v>0</v>
      </c>
      <c r="O80" s="470"/>
      <c r="P80" s="928"/>
      <c r="Q80" s="928"/>
      <c r="R80" s="937">
        <f t="shared" si="11"/>
        <v>0</v>
      </c>
    </row>
    <row r="81" spans="1:18" ht="12.75" customHeight="1">
      <c r="A81" s="469">
        <f t="shared" si="12"/>
        <v>71</v>
      </c>
      <c r="B81" s="82"/>
      <c r="C81" s="1388" t="s">
        <v>532</v>
      </c>
      <c r="D81" s="469" t="s">
        <v>1131</v>
      </c>
      <c r="E81" s="1536">
        <f ca="1">'Stmt M'!I37</f>
        <v>525867609</v>
      </c>
      <c r="F81" s="1536"/>
      <c r="G81" s="1539"/>
      <c r="H81" s="1536"/>
      <c r="I81" s="1536">
        <f ca="1">'Stmt M'!M37</f>
        <v>586098201</v>
      </c>
      <c r="J81" s="454"/>
      <c r="K81" s="470">
        <f t="shared" ref="K81" si="14">1+K80</f>
        <v>74</v>
      </c>
      <c r="L81" s="928"/>
      <c r="M81" s="928"/>
      <c r="N81" s="937">
        <f t="shared" si="13"/>
        <v>0</v>
      </c>
      <c r="O81" s="470"/>
      <c r="P81" s="928"/>
      <c r="Q81" s="928"/>
      <c r="R81" s="937">
        <f t="shared" si="11"/>
        <v>0</v>
      </c>
    </row>
    <row r="82" spans="1:18" ht="12.75" customHeight="1">
      <c r="A82" s="469">
        <f t="shared" si="12"/>
        <v>72</v>
      </c>
      <c r="B82" s="82"/>
      <c r="C82" s="1388" t="s">
        <v>151</v>
      </c>
      <c r="D82" s="469" t="s">
        <v>1279</v>
      </c>
      <c r="E82" s="1389">
        <f>'Stmt G '!G16</f>
        <v>2.1000000000000001E-2</v>
      </c>
      <c r="F82" s="1200"/>
      <c r="G82" s="82"/>
      <c r="H82" s="1189"/>
      <c r="I82" s="1389">
        <f>'Stmt G '!G23</f>
        <v>1.9599999999999999E-2</v>
      </c>
      <c r="J82" s="752"/>
      <c r="K82" s="470">
        <f t="shared" ref="K82:K85" si="15">1+K81</f>
        <v>75</v>
      </c>
      <c r="L82" s="928"/>
      <c r="M82" s="928"/>
      <c r="N82" s="937">
        <f t="shared" si="13"/>
        <v>0</v>
      </c>
      <c r="O82" s="470"/>
      <c r="P82" s="928"/>
      <c r="Q82" s="928"/>
      <c r="R82" s="937">
        <f t="shared" si="11"/>
        <v>0</v>
      </c>
    </row>
    <row r="83" spans="1:18" ht="12.75" customHeight="1">
      <c r="A83" s="469">
        <f t="shared" si="12"/>
        <v>73</v>
      </c>
      <c r="B83" s="82"/>
      <c r="C83" s="1388" t="s">
        <v>510</v>
      </c>
      <c r="D83" s="82"/>
      <c r="E83" s="1536">
        <f ca="1">E81*E82</f>
        <v>11043219.789000001</v>
      </c>
      <c r="F83" s="1188"/>
      <c r="G83" s="1539"/>
      <c r="H83" s="1536"/>
      <c r="I83" s="1536">
        <f ca="1">I81*I82</f>
        <v>11487524.739599999</v>
      </c>
      <c r="J83" s="454"/>
      <c r="K83" s="470">
        <f t="shared" si="15"/>
        <v>76</v>
      </c>
      <c r="L83" s="928"/>
      <c r="M83" s="928"/>
      <c r="N83" s="937">
        <f t="shared" si="13"/>
        <v>0</v>
      </c>
      <c r="O83" s="470"/>
      <c r="P83" s="928"/>
      <c r="Q83" s="928"/>
      <c r="R83" s="937">
        <f t="shared" si="11"/>
        <v>0</v>
      </c>
    </row>
    <row r="84" spans="1:18" ht="12.75" customHeight="1">
      <c r="A84" s="469">
        <f t="shared" si="12"/>
        <v>74</v>
      </c>
      <c r="B84" s="82"/>
      <c r="C84" s="1390"/>
      <c r="D84" s="82"/>
      <c r="E84" s="1201"/>
      <c r="F84" s="1188"/>
      <c r="G84" s="574"/>
      <c r="H84" s="1188"/>
      <c r="I84" s="1201"/>
      <c r="J84" s="454"/>
      <c r="K84" s="470">
        <f t="shared" si="15"/>
        <v>77</v>
      </c>
      <c r="L84" s="928"/>
      <c r="M84" s="928"/>
      <c r="N84" s="937">
        <f t="shared" si="13"/>
        <v>0</v>
      </c>
      <c r="O84" s="470"/>
      <c r="P84" s="928"/>
      <c r="Q84" s="928"/>
      <c r="R84" s="937">
        <f t="shared" si="11"/>
        <v>0</v>
      </c>
    </row>
    <row r="85" spans="1:18" ht="12.75" customHeight="1">
      <c r="A85" s="469">
        <f t="shared" si="12"/>
        <v>75</v>
      </c>
      <c r="B85" s="82"/>
      <c r="C85" s="1390" t="s">
        <v>330</v>
      </c>
      <c r="D85" s="82"/>
      <c r="E85" s="1536">
        <f ca="1">E83</f>
        <v>11043219.789000001</v>
      </c>
      <c r="F85" s="1536"/>
      <c r="G85" s="1539"/>
      <c r="H85" s="1536"/>
      <c r="I85" s="1536">
        <f ca="1">I83</f>
        <v>11487524.739599999</v>
      </c>
      <c r="J85" s="454"/>
      <c r="K85" s="470">
        <f t="shared" si="15"/>
        <v>78</v>
      </c>
      <c r="L85" s="928"/>
      <c r="M85" s="928"/>
      <c r="N85" s="937">
        <f t="shared" si="13"/>
        <v>0</v>
      </c>
      <c r="O85" s="470"/>
      <c r="P85" s="928"/>
      <c r="Q85" s="928"/>
      <c r="R85" s="937">
        <f t="shared" si="11"/>
        <v>0</v>
      </c>
    </row>
    <row r="86" spans="1:18" ht="12.75" customHeight="1">
      <c r="A86" s="7"/>
      <c r="B86" s="8"/>
      <c r="C86" s="8"/>
      <c r="D86" s="8"/>
      <c r="E86" s="150"/>
      <c r="F86" s="150"/>
      <c r="G86" s="150"/>
      <c r="H86" s="152"/>
      <c r="I86" s="150"/>
      <c r="J86" s="151"/>
    </row>
    <row r="87" spans="1:18" ht="12.75" customHeight="1">
      <c r="A87" s="7"/>
      <c r="B87" s="126"/>
      <c r="C87" s="8" t="s">
        <v>1614</v>
      </c>
      <c r="D87" s="8" t="str">
        <f>'MCC Testimony Table'!F20</f>
        <v>Y</v>
      </c>
      <c r="E87" s="150"/>
      <c r="F87" s="150"/>
      <c r="G87" s="150"/>
      <c r="H87" s="152"/>
      <c r="I87" s="150"/>
      <c r="J87" s="151"/>
    </row>
    <row r="88" spans="1:18" ht="12.75" customHeight="1">
      <c r="A88" s="7"/>
      <c r="B88" s="8"/>
      <c r="C88" s="64" t="s">
        <v>1639</v>
      </c>
      <c r="D88" s="8" t="str">
        <f>'MCC Testimony Table'!F28</f>
        <v>Y</v>
      </c>
      <c r="E88" s="150">
        <v>79114.391455000004</v>
      </c>
      <c r="F88" s="150"/>
      <c r="G88" s="1203"/>
      <c r="H88" s="152"/>
      <c r="I88" s="150"/>
      <c r="J88" s="151"/>
    </row>
    <row r="89" spans="1:18" ht="12.75" customHeight="1">
      <c r="A89" s="7"/>
      <c r="C89" s="64" t="s">
        <v>1677</v>
      </c>
      <c r="D89" s="54" t="str">
        <f>'MCC Testimony Table'!F37</f>
        <v>Y</v>
      </c>
      <c r="E89" s="693">
        <f>-11252*12</f>
        <v>-135024</v>
      </c>
      <c r="F89" s="54"/>
    </row>
  </sheetData>
  <phoneticPr fontId="12" type="noConversion"/>
  <printOptions horizontalCentered="1"/>
  <pageMargins left="0.25" right="0.25" top="0.5" bottom="0.25" header="0.75" footer="0.25"/>
  <pageSetup scale="69" orientation="portrait" r:id="rId1"/>
  <headerFooter alignWithMargins="0">
    <oddHeader xml:space="preserve">&amp;R&amp;"Times New Roman,Bold"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3"/>
  <sheetViews>
    <sheetView workbookViewId="0"/>
  </sheetViews>
  <sheetFormatPr defaultColWidth="10.6640625" defaultRowHeight="12.75"/>
  <cols>
    <col min="1" max="1" width="6.83203125" style="196" customWidth="1"/>
    <col min="2" max="2" width="36" style="195" bestFit="1" customWidth="1"/>
    <col min="3" max="3" width="6.33203125" style="196" bestFit="1" customWidth="1"/>
    <col min="4" max="4" width="13.1640625" style="196" customWidth="1"/>
    <col min="5" max="5" width="3.33203125" style="196" customWidth="1"/>
    <col min="6" max="6" width="38.1640625" style="195" customWidth="1"/>
    <col min="7" max="7" width="10.6640625" style="195"/>
    <col min="8" max="10" width="18.6640625" style="893" customWidth="1"/>
    <col min="11" max="16384" width="10.6640625" style="195"/>
  </cols>
  <sheetData>
    <row r="1" spans="1:13" ht="15" customHeight="1">
      <c r="A1" s="69" t="str">
        <f>Company</f>
        <v>BLACK HILLS NEBRASKA GAS, LLC</v>
      </c>
      <c r="B1" s="71"/>
      <c r="C1" s="905"/>
      <c r="D1" s="71"/>
      <c r="E1" s="71"/>
      <c r="F1" s="72" t="str">
        <f>Attach</f>
        <v>FINAL - BH January 15, 2021 Rev. Req. Model</v>
      </c>
    </row>
    <row r="2" spans="1:13" ht="15" customHeight="1">
      <c r="A2" s="71" t="s">
        <v>46</v>
      </c>
      <c r="B2" s="71"/>
      <c r="C2" s="905"/>
      <c r="D2" s="71"/>
      <c r="E2" s="71"/>
      <c r="F2" s="72" t="s">
        <v>361</v>
      </c>
    </row>
    <row r="3" spans="1:13" ht="15" customHeight="1">
      <c r="A3" s="1" t="str">
        <f>References!B2</f>
        <v>FOR THE BASE YEAR ENDED DECEMBER 31, 2019</v>
      </c>
      <c r="B3" s="57"/>
      <c r="C3" s="57"/>
      <c r="D3" s="57"/>
      <c r="E3" s="57"/>
      <c r="F3" s="73" t="s">
        <v>239</v>
      </c>
    </row>
    <row r="4" spans="1:13" ht="15" customHeight="1">
      <c r="A4" s="1375"/>
      <c r="B4" s="57"/>
      <c r="C4" s="57"/>
      <c r="D4" s="57"/>
      <c r="E4" s="57"/>
      <c r="F4" s="57"/>
    </row>
    <row r="5" spans="1:13">
      <c r="A5" s="57" t="s">
        <v>59</v>
      </c>
      <c r="B5" s="431"/>
      <c r="C5" s="57"/>
      <c r="D5" s="57" t="s">
        <v>241</v>
      </c>
      <c r="E5" s="57"/>
      <c r="F5" s="432"/>
      <c r="G5" s="130">
        <v>1</v>
      </c>
      <c r="H5" s="86" t="str">
        <f>References!$C$17</f>
        <v>Exhibit No. MCC-2 NEG</v>
      </c>
      <c r="I5" s="86" t="str">
        <f>References!$D$17</f>
        <v>Exhibit No. MCC-2 NEGD</v>
      </c>
      <c r="J5" s="86" t="str">
        <f>References!$E$17</f>
        <v>FINAL - BH January 15, 2021 Rev. Req. Model</v>
      </c>
    </row>
    <row r="6" spans="1:13">
      <c r="A6" s="433" t="s">
        <v>195</v>
      </c>
      <c r="B6" s="433" t="s">
        <v>196</v>
      </c>
      <c r="C6" s="433" t="s">
        <v>764</v>
      </c>
      <c r="D6" s="433" t="s">
        <v>515</v>
      </c>
      <c r="E6" s="433"/>
      <c r="F6" s="435">
        <v>43830</v>
      </c>
      <c r="G6" s="195">
        <f>G5+1</f>
        <v>2</v>
      </c>
      <c r="H6" s="894" t="s">
        <v>955</v>
      </c>
      <c r="I6" s="894" t="s">
        <v>958</v>
      </c>
      <c r="J6" s="894" t="s">
        <v>347</v>
      </c>
    </row>
    <row r="7" spans="1:13">
      <c r="G7" s="195">
        <f t="shared" ref="G7:G44" si="0">G6+1</f>
        <v>3</v>
      </c>
    </row>
    <row r="8" spans="1:13">
      <c r="A8" s="196">
        <v>1</v>
      </c>
      <c r="B8" s="195" t="s">
        <v>47</v>
      </c>
      <c r="G8" s="195">
        <f t="shared" si="0"/>
        <v>4</v>
      </c>
    </row>
    <row r="9" spans="1:13">
      <c r="A9" s="196">
        <v>2</v>
      </c>
      <c r="B9" s="110" t="s">
        <v>989</v>
      </c>
      <c r="D9" s="196">
        <v>211</v>
      </c>
      <c r="F9" s="591">
        <f>HLOOKUP(Attach,$H$5:$J$44,G9,FALSE)</f>
        <v>237502161</v>
      </c>
      <c r="G9" s="195">
        <f t="shared" si="0"/>
        <v>5</v>
      </c>
      <c r="H9" s="1466">
        <v>163493814</v>
      </c>
      <c r="I9" s="1466">
        <v>74008347</v>
      </c>
      <c r="J9" s="1467">
        <f>SUM(H9:I9)</f>
        <v>237502161</v>
      </c>
      <c r="M9" s="1180"/>
    </row>
    <row r="10" spans="1:13">
      <c r="A10" s="196">
        <v>3</v>
      </c>
      <c r="B10" s="110" t="s">
        <v>48</v>
      </c>
      <c r="D10" s="196">
        <v>216</v>
      </c>
      <c r="F10" s="591">
        <f>HLOOKUP(Attach,$H$5:$J$44,G10,FALSE)</f>
        <v>42091308.769999996</v>
      </c>
      <c r="G10" s="195">
        <f t="shared" si="0"/>
        <v>6</v>
      </c>
      <c r="H10" s="1466">
        <v>10855854.769999998</v>
      </c>
      <c r="I10" s="1466">
        <v>31235454</v>
      </c>
      <c r="J10" s="1467">
        <f>SUM(H10:I10)</f>
        <v>42091308.769999996</v>
      </c>
      <c r="M10" s="1180"/>
    </row>
    <row r="11" spans="1:13">
      <c r="A11" s="196">
        <v>4</v>
      </c>
      <c r="B11" s="110" t="s">
        <v>988</v>
      </c>
      <c r="D11" s="196">
        <v>219</v>
      </c>
      <c r="F11" s="714">
        <f>HLOOKUP(Attach,$H$5:$J$44,G11,FALSE)</f>
        <v>0</v>
      </c>
      <c r="G11" s="195">
        <f t="shared" si="0"/>
        <v>7</v>
      </c>
      <c r="H11" s="1466">
        <v>0</v>
      </c>
      <c r="I11" s="1466">
        <v>0</v>
      </c>
      <c r="J11" s="1467">
        <f>SUM(H11:I11)</f>
        <v>0</v>
      </c>
      <c r="M11" s="1180"/>
    </row>
    <row r="12" spans="1:13">
      <c r="A12" s="196">
        <v>5</v>
      </c>
      <c r="B12" s="197" t="s">
        <v>73</v>
      </c>
      <c r="F12" s="546">
        <f>SUM(F9:F11)</f>
        <v>279593469.76999998</v>
      </c>
      <c r="G12" s="195">
        <f t="shared" si="0"/>
        <v>8</v>
      </c>
      <c r="H12" s="1464">
        <f>SUM(H9:H11)</f>
        <v>174349668.77000001</v>
      </c>
      <c r="I12" s="1464">
        <f>SUM(I9:I11)</f>
        <v>105243801</v>
      </c>
      <c r="J12" s="1464">
        <f>SUM(J9:J11)</f>
        <v>279593469.76999998</v>
      </c>
      <c r="M12" s="1180"/>
    </row>
    <row r="13" spans="1:13">
      <c r="A13" s="196">
        <v>6</v>
      </c>
      <c r="B13" s="110"/>
      <c r="F13" s="487"/>
      <c r="G13" s="195">
        <f t="shared" si="0"/>
        <v>9</v>
      </c>
      <c r="H13" s="1468"/>
      <c r="I13" s="1468"/>
      <c r="J13" s="1467"/>
      <c r="M13" s="1180"/>
    </row>
    <row r="14" spans="1:13">
      <c r="A14" s="196">
        <v>7</v>
      </c>
      <c r="B14" s="197" t="s">
        <v>74</v>
      </c>
      <c r="F14" s="546"/>
      <c r="G14" s="195">
        <f t="shared" si="0"/>
        <v>10</v>
      </c>
      <c r="H14" s="1468"/>
      <c r="I14" s="1468"/>
      <c r="J14" s="1467"/>
      <c r="M14" s="1180"/>
    </row>
    <row r="15" spans="1:13">
      <c r="A15" s="196">
        <v>8</v>
      </c>
      <c r="B15" s="110" t="s">
        <v>901</v>
      </c>
      <c r="C15" s="1352">
        <v>-2</v>
      </c>
      <c r="D15" s="196">
        <v>223</v>
      </c>
      <c r="F15" s="591">
        <f>HLOOKUP(Attach,$H$5:$J$44,G15,FALSE)</f>
        <v>1234246</v>
      </c>
      <c r="G15" s="195">
        <f t="shared" si="0"/>
        <v>11</v>
      </c>
      <c r="H15" s="1466">
        <v>0</v>
      </c>
      <c r="I15" s="1466">
        <v>1234246</v>
      </c>
      <c r="J15" s="1467">
        <f t="shared" ref="J15:J44" si="1">SUM(H15:I15)</f>
        <v>1234246</v>
      </c>
      <c r="L15" s="930"/>
      <c r="M15" s="1180"/>
    </row>
    <row r="16" spans="1:13">
      <c r="A16" s="196">
        <v>9</v>
      </c>
      <c r="B16" s="110" t="s">
        <v>990</v>
      </c>
      <c r="D16" s="196">
        <v>226</v>
      </c>
      <c r="F16" s="591">
        <f>HLOOKUP(Attach,$H$5:$J$44,G16,FALSE)</f>
        <v>0</v>
      </c>
      <c r="G16" s="195">
        <f t="shared" si="0"/>
        <v>12</v>
      </c>
      <c r="H16" s="1466">
        <v>0</v>
      </c>
      <c r="I16" s="1466">
        <v>0</v>
      </c>
      <c r="J16" s="1467"/>
      <c r="L16" s="930"/>
      <c r="M16" s="1180"/>
    </row>
    <row r="17" spans="1:13">
      <c r="A17" s="196">
        <v>10</v>
      </c>
      <c r="B17" s="110" t="s">
        <v>991</v>
      </c>
      <c r="D17" s="196">
        <v>227</v>
      </c>
      <c r="F17" s="591">
        <f>HLOOKUP(Attach,$H$5:$J$44,G17,FALSE)</f>
        <v>62085.290000000008</v>
      </c>
      <c r="G17" s="195">
        <f t="shared" si="0"/>
        <v>13</v>
      </c>
      <c r="H17" s="1466">
        <v>5292.2900000000081</v>
      </c>
      <c r="I17" s="1466">
        <v>56793</v>
      </c>
      <c r="J17" s="1467">
        <f t="shared" si="1"/>
        <v>62085.290000000008</v>
      </c>
      <c r="L17" s="930"/>
      <c r="M17" s="1180"/>
    </row>
    <row r="18" spans="1:13">
      <c r="A18" s="196">
        <v>11</v>
      </c>
      <c r="F18" s="546"/>
      <c r="G18" s="195">
        <f t="shared" si="0"/>
        <v>14</v>
      </c>
      <c r="H18" s="1468"/>
      <c r="I18" s="1468"/>
      <c r="J18" s="1467"/>
      <c r="M18" s="1180"/>
    </row>
    <row r="19" spans="1:13">
      <c r="A19" s="196">
        <v>12</v>
      </c>
      <c r="B19" s="195" t="s">
        <v>277</v>
      </c>
      <c r="D19" s="196" t="s">
        <v>321</v>
      </c>
      <c r="F19" s="591">
        <f>HLOOKUP(Attach,$H$5:$J$44,G19,FALSE)</f>
        <v>16971003.614</v>
      </c>
      <c r="G19" s="195">
        <f t="shared" si="0"/>
        <v>15</v>
      </c>
      <c r="H19" s="1469">
        <v>10908365.613999998</v>
      </c>
      <c r="I19" s="1466">
        <v>6062638</v>
      </c>
      <c r="J19" s="1467">
        <f t="shared" si="1"/>
        <v>16971003.614</v>
      </c>
      <c r="M19" s="1180"/>
    </row>
    <row r="20" spans="1:13">
      <c r="A20" s="196">
        <v>13</v>
      </c>
      <c r="F20" s="487"/>
      <c r="G20" s="195">
        <f t="shared" si="0"/>
        <v>16</v>
      </c>
      <c r="H20" s="1468"/>
      <c r="I20" s="1468"/>
      <c r="J20" s="1467"/>
      <c r="M20" s="1180"/>
    </row>
    <row r="21" spans="1:13">
      <c r="A21" s="196">
        <v>14</v>
      </c>
      <c r="B21" s="195" t="s">
        <v>249</v>
      </c>
      <c r="F21" s="487"/>
      <c r="G21" s="195">
        <f t="shared" si="0"/>
        <v>17</v>
      </c>
      <c r="H21" s="1468"/>
      <c r="I21" s="1468"/>
      <c r="J21" s="1467"/>
      <c r="M21" s="1180"/>
    </row>
    <row r="22" spans="1:13">
      <c r="A22" s="196">
        <v>15</v>
      </c>
      <c r="B22" s="110" t="s">
        <v>250</v>
      </c>
      <c r="D22" s="196">
        <v>232</v>
      </c>
      <c r="F22" s="591">
        <f t="shared" ref="F22:F31" si="2">HLOOKUP(Attach,$H$5:$J$44,G22,FALSE)</f>
        <v>34281628</v>
      </c>
      <c r="G22" s="195">
        <f t="shared" si="0"/>
        <v>18</v>
      </c>
      <c r="H22" s="1466">
        <v>21262599</v>
      </c>
      <c r="I22" s="1466">
        <v>13019029</v>
      </c>
      <c r="J22" s="1467">
        <f t="shared" si="1"/>
        <v>34281628</v>
      </c>
      <c r="M22" s="1180"/>
    </row>
    <row r="23" spans="1:13">
      <c r="A23" s="196">
        <v>16</v>
      </c>
      <c r="B23" s="110" t="s">
        <v>319</v>
      </c>
      <c r="D23" s="196">
        <v>233</v>
      </c>
      <c r="F23" s="713">
        <f t="shared" si="2"/>
        <v>301784014</v>
      </c>
      <c r="G23" s="195">
        <f t="shared" si="0"/>
        <v>19</v>
      </c>
      <c r="H23" s="1466">
        <v>178140199</v>
      </c>
      <c r="I23" s="1466">
        <v>123643815</v>
      </c>
      <c r="J23" s="1467">
        <f t="shared" si="1"/>
        <v>301784014</v>
      </c>
      <c r="M23" s="1180"/>
    </row>
    <row r="24" spans="1:13">
      <c r="A24" s="196">
        <v>17</v>
      </c>
      <c r="B24" s="110" t="s">
        <v>242</v>
      </c>
      <c r="D24" s="196">
        <v>234</v>
      </c>
      <c r="F24" s="713">
        <f t="shared" si="2"/>
        <v>57569074</v>
      </c>
      <c r="G24" s="195">
        <f t="shared" si="0"/>
        <v>20</v>
      </c>
      <c r="H24" s="1466">
        <v>27435832</v>
      </c>
      <c r="I24" s="1466">
        <v>30133242</v>
      </c>
      <c r="J24" s="1467">
        <f t="shared" si="1"/>
        <v>57569074</v>
      </c>
      <c r="M24" s="1180"/>
    </row>
    <row r="25" spans="1:13">
      <c r="A25" s="196">
        <v>18</v>
      </c>
      <c r="B25" s="110" t="s">
        <v>251</v>
      </c>
      <c r="D25" s="196">
        <v>235</v>
      </c>
      <c r="F25" s="713">
        <f t="shared" si="2"/>
        <v>3518846</v>
      </c>
      <c r="G25" s="195">
        <f t="shared" si="0"/>
        <v>21</v>
      </c>
      <c r="H25" s="1466">
        <v>2323624</v>
      </c>
      <c r="I25" s="1466">
        <v>1195222</v>
      </c>
      <c r="J25" s="1467">
        <f t="shared" si="1"/>
        <v>3518846</v>
      </c>
      <c r="M25" s="1180"/>
    </row>
    <row r="26" spans="1:13">
      <c r="A26" s="196">
        <v>19</v>
      </c>
      <c r="B26" s="110" t="s">
        <v>221</v>
      </c>
      <c r="D26" s="196">
        <v>236</v>
      </c>
      <c r="F26" s="713">
        <f t="shared" si="2"/>
        <v>4394339</v>
      </c>
      <c r="G26" s="195">
        <f t="shared" si="0"/>
        <v>22</v>
      </c>
      <c r="H26" s="1466">
        <v>2522598</v>
      </c>
      <c r="I26" s="1466">
        <v>1871741</v>
      </c>
      <c r="J26" s="1467">
        <f t="shared" si="1"/>
        <v>4394339</v>
      </c>
      <c r="M26" s="1180"/>
    </row>
    <row r="27" spans="1:13">
      <c r="A27" s="196">
        <v>20</v>
      </c>
      <c r="B27" s="110" t="s">
        <v>992</v>
      </c>
      <c r="D27" s="196">
        <v>237</v>
      </c>
      <c r="F27" s="713">
        <f t="shared" si="2"/>
        <v>0</v>
      </c>
      <c r="G27" s="195">
        <f t="shared" si="0"/>
        <v>23</v>
      </c>
      <c r="H27" s="1466">
        <v>0</v>
      </c>
      <c r="I27" s="1466">
        <v>0</v>
      </c>
      <c r="J27" s="1467">
        <f t="shared" si="1"/>
        <v>0</v>
      </c>
      <c r="M27" s="1180"/>
    </row>
    <row r="28" spans="1:13">
      <c r="A28" s="196">
        <v>21</v>
      </c>
      <c r="B28" s="110" t="s">
        <v>104</v>
      </c>
      <c r="D28" s="196">
        <v>241</v>
      </c>
      <c r="F28" s="713">
        <f t="shared" si="2"/>
        <v>3972746</v>
      </c>
      <c r="G28" s="195">
        <f t="shared" si="0"/>
        <v>24</v>
      </c>
      <c r="H28" s="1466">
        <v>2274181</v>
      </c>
      <c r="I28" s="1466">
        <v>1698565</v>
      </c>
      <c r="J28" s="1467">
        <f t="shared" si="1"/>
        <v>3972746</v>
      </c>
      <c r="M28" s="1180"/>
    </row>
    <row r="29" spans="1:13">
      <c r="A29" s="196">
        <v>22</v>
      </c>
      <c r="B29" s="110" t="s">
        <v>17</v>
      </c>
      <c r="D29" s="196">
        <v>242</v>
      </c>
      <c r="F29" s="713">
        <f t="shared" si="2"/>
        <v>12120663</v>
      </c>
      <c r="G29" s="195">
        <f t="shared" si="0"/>
        <v>25</v>
      </c>
      <c r="H29" s="1466">
        <v>7472078</v>
      </c>
      <c r="I29" s="1466">
        <v>4648585</v>
      </c>
      <c r="J29" s="1467">
        <f t="shared" si="1"/>
        <v>12120663</v>
      </c>
      <c r="M29" s="1180"/>
    </row>
    <row r="30" spans="1:13">
      <c r="A30" s="196">
        <v>23</v>
      </c>
      <c r="B30" s="110" t="s">
        <v>993</v>
      </c>
      <c r="D30" s="196">
        <v>243</v>
      </c>
      <c r="F30" s="713">
        <f t="shared" si="2"/>
        <v>64726</v>
      </c>
      <c r="G30" s="195">
        <f t="shared" si="0"/>
        <v>26</v>
      </c>
      <c r="H30" s="1466">
        <v>49752</v>
      </c>
      <c r="I30" s="1466">
        <v>14974</v>
      </c>
      <c r="J30" s="1467">
        <f t="shared" si="1"/>
        <v>64726</v>
      </c>
      <c r="M30" s="1180"/>
    </row>
    <row r="31" spans="1:13">
      <c r="A31" s="196">
        <v>24</v>
      </c>
      <c r="B31" s="205" t="s">
        <v>414</v>
      </c>
      <c r="D31" s="196">
        <v>244</v>
      </c>
      <c r="F31" s="714">
        <f t="shared" si="2"/>
        <v>0</v>
      </c>
      <c r="G31" s="195">
        <f t="shared" si="0"/>
        <v>27</v>
      </c>
      <c r="H31" s="1466">
        <v>0</v>
      </c>
      <c r="I31" s="1466">
        <v>0</v>
      </c>
      <c r="J31" s="1467">
        <f t="shared" si="1"/>
        <v>0</v>
      </c>
      <c r="M31" s="1180"/>
    </row>
    <row r="32" spans="1:13">
      <c r="A32" s="196">
        <v>25</v>
      </c>
      <c r="B32" s="195" t="s">
        <v>18</v>
      </c>
      <c r="F32" s="546">
        <f>SUM(F22:F31)</f>
        <v>417706036</v>
      </c>
      <c r="G32" s="195">
        <f t="shared" si="0"/>
        <v>28</v>
      </c>
      <c r="H32" s="1464">
        <f>SUM(H22:H31)</f>
        <v>241480863</v>
      </c>
      <c r="I32" s="1464">
        <f t="shared" ref="I32" si="3">SUM(I22:I31)</f>
        <v>176225173</v>
      </c>
      <c r="J32" s="1467">
        <f t="shared" si="1"/>
        <v>417706036</v>
      </c>
      <c r="M32" s="1180"/>
    </row>
    <row r="33" spans="1:13">
      <c r="A33" s="196">
        <v>26</v>
      </c>
      <c r="F33" s="487"/>
      <c r="G33" s="195">
        <f t="shared" si="0"/>
        <v>29</v>
      </c>
      <c r="H33" s="1468"/>
      <c r="I33" s="1468"/>
      <c r="J33" s="1467"/>
      <c r="M33" s="1180"/>
    </row>
    <row r="34" spans="1:13">
      <c r="A34" s="196">
        <v>27</v>
      </c>
      <c r="B34" s="195" t="s">
        <v>278</v>
      </c>
      <c r="F34" s="487"/>
      <c r="G34" s="195">
        <f t="shared" si="0"/>
        <v>30</v>
      </c>
      <c r="H34" s="1468"/>
      <c r="I34" s="1468"/>
      <c r="J34" s="1467"/>
      <c r="M34" s="1180"/>
    </row>
    <row r="35" spans="1:13">
      <c r="A35" s="196">
        <v>28</v>
      </c>
      <c r="B35" s="110" t="s">
        <v>279</v>
      </c>
      <c r="D35" s="196">
        <v>252</v>
      </c>
      <c r="F35" s="591">
        <f t="shared" ref="F35:F40" si="4">HLOOKUP(Attach,$H$5:$J$44,G35,FALSE)</f>
        <v>0</v>
      </c>
      <c r="G35" s="195">
        <f t="shared" si="0"/>
        <v>31</v>
      </c>
      <c r="H35" s="1466">
        <v>0</v>
      </c>
      <c r="I35" s="1466">
        <v>0</v>
      </c>
      <c r="J35" s="1467">
        <f t="shared" si="1"/>
        <v>0</v>
      </c>
      <c r="M35" s="1180"/>
    </row>
    <row r="36" spans="1:13">
      <c r="A36" s="196">
        <v>29</v>
      </c>
      <c r="B36" s="110" t="s">
        <v>280</v>
      </c>
      <c r="D36" s="196">
        <v>253</v>
      </c>
      <c r="F36" s="713">
        <f t="shared" si="4"/>
        <v>5390841</v>
      </c>
      <c r="G36" s="195">
        <f t="shared" si="0"/>
        <v>32</v>
      </c>
      <c r="H36" s="1466">
        <v>4094055</v>
      </c>
      <c r="I36" s="1466">
        <v>1296786</v>
      </c>
      <c r="J36" s="1467">
        <f t="shared" si="1"/>
        <v>5390841</v>
      </c>
      <c r="M36" s="1180"/>
    </row>
    <row r="37" spans="1:13">
      <c r="A37" s="196">
        <v>30</v>
      </c>
      <c r="B37" s="110" t="s">
        <v>320</v>
      </c>
      <c r="D37" s="196">
        <v>254</v>
      </c>
      <c r="F37" s="713">
        <f t="shared" si="4"/>
        <v>22429462</v>
      </c>
      <c r="G37" s="195">
        <f t="shared" si="0"/>
        <v>33</v>
      </c>
      <c r="H37" s="1466">
        <v>20654389</v>
      </c>
      <c r="I37" s="1466">
        <v>1775073</v>
      </c>
      <c r="J37" s="1467">
        <f t="shared" si="1"/>
        <v>22429462</v>
      </c>
      <c r="M37" s="1180"/>
    </row>
    <row r="38" spans="1:13">
      <c r="A38" s="196">
        <v>31</v>
      </c>
      <c r="B38" s="110" t="s">
        <v>391</v>
      </c>
      <c r="D38" s="196">
        <v>255</v>
      </c>
      <c r="F38" s="713">
        <f t="shared" si="4"/>
        <v>0</v>
      </c>
      <c r="G38" s="195">
        <f t="shared" si="0"/>
        <v>34</v>
      </c>
      <c r="H38" s="1466">
        <v>0</v>
      </c>
      <c r="I38" s="1466">
        <v>0</v>
      </c>
      <c r="J38" s="1467">
        <f t="shared" si="1"/>
        <v>0</v>
      </c>
      <c r="M38" s="1180"/>
    </row>
    <row r="39" spans="1:13">
      <c r="A39" s="196">
        <v>32</v>
      </c>
      <c r="B39" s="110" t="s">
        <v>281</v>
      </c>
      <c r="D39" s="196">
        <v>282</v>
      </c>
      <c r="F39" s="713">
        <f t="shared" si="4"/>
        <v>53045323</v>
      </c>
      <c r="G39" s="195">
        <f t="shared" si="0"/>
        <v>35</v>
      </c>
      <c r="H39" s="1466">
        <v>35842755</v>
      </c>
      <c r="I39" s="1466">
        <v>17202568</v>
      </c>
      <c r="J39" s="1467">
        <f t="shared" si="1"/>
        <v>53045323</v>
      </c>
      <c r="M39" s="1180"/>
    </row>
    <row r="40" spans="1:13">
      <c r="A40" s="196">
        <v>33</v>
      </c>
      <c r="B40" s="110" t="s">
        <v>326</v>
      </c>
      <c r="D40" s="196">
        <v>283</v>
      </c>
      <c r="F40" s="714">
        <f t="shared" si="4"/>
        <v>10911012.57</v>
      </c>
      <c r="G40" s="195">
        <f t="shared" si="0"/>
        <v>36</v>
      </c>
      <c r="H40" s="1466">
        <v>-1449350.43</v>
      </c>
      <c r="I40" s="1466">
        <v>12360363</v>
      </c>
      <c r="J40" s="1467">
        <f t="shared" si="1"/>
        <v>10911012.57</v>
      </c>
      <c r="M40" s="1180"/>
    </row>
    <row r="41" spans="1:13">
      <c r="A41" s="196">
        <v>34</v>
      </c>
      <c r="B41" s="195" t="s">
        <v>327</v>
      </c>
      <c r="F41" s="546">
        <f>SUM(F35:F40)</f>
        <v>91776638.569999993</v>
      </c>
      <c r="G41" s="195">
        <f t="shared" si="0"/>
        <v>37</v>
      </c>
      <c r="H41" s="1464">
        <f>SUM(H35:H40)</f>
        <v>59141848.57</v>
      </c>
      <c r="I41" s="1464">
        <f>SUM(I35:I40)</f>
        <v>32634790</v>
      </c>
      <c r="J41" s="1467">
        <f t="shared" si="1"/>
        <v>91776638.569999993</v>
      </c>
      <c r="M41" s="1180"/>
    </row>
    <row r="42" spans="1:13">
      <c r="A42" s="196">
        <v>35</v>
      </c>
      <c r="F42" s="87"/>
      <c r="G42" s="195">
        <f t="shared" si="0"/>
        <v>38</v>
      </c>
      <c r="H42" s="1468"/>
      <c r="I42" s="1468"/>
      <c r="J42" s="1467"/>
      <c r="M42" s="1180"/>
    </row>
    <row r="43" spans="1:13">
      <c r="A43" s="196">
        <v>36</v>
      </c>
      <c r="G43" s="195">
        <f t="shared" si="0"/>
        <v>39</v>
      </c>
      <c r="H43" s="1467"/>
      <c r="I43" s="1467"/>
      <c r="J43" s="1467"/>
      <c r="M43" s="1180"/>
    </row>
    <row r="44" spans="1:13" ht="13.5" thickBot="1">
      <c r="A44" s="196">
        <v>37</v>
      </c>
      <c r="B44" s="195" t="s">
        <v>328</v>
      </c>
      <c r="F44" s="198">
        <f>+F12+F15+F16+F17+F19+F32+F41</f>
        <v>807343479.24399996</v>
      </c>
      <c r="G44" s="195">
        <f t="shared" si="0"/>
        <v>40</v>
      </c>
      <c r="H44" s="1465">
        <f>+H41+H32+H12+H19+H15+H16+H17</f>
        <v>485886038.24400008</v>
      </c>
      <c r="I44" s="1465">
        <f>+I41+I32+I12+I19+I15+I16+I17</f>
        <v>321457441</v>
      </c>
      <c r="J44" s="1471">
        <f t="shared" si="1"/>
        <v>807343479.24400008</v>
      </c>
      <c r="M44" s="1180"/>
    </row>
    <row r="45" spans="1:13" ht="13.5" thickTop="1">
      <c r="A45" s="196">
        <v>38</v>
      </c>
    </row>
    <row r="46" spans="1:13">
      <c r="A46" s="196">
        <v>39</v>
      </c>
      <c r="B46" s="85" t="s">
        <v>1286</v>
      </c>
      <c r="C46" s="86"/>
      <c r="D46" s="86"/>
      <c r="E46" s="86"/>
      <c r="F46" s="694"/>
    </row>
    <row r="47" spans="1:13">
      <c r="A47" s="196">
        <v>40</v>
      </c>
      <c r="B47" s="85" t="s">
        <v>1225</v>
      </c>
      <c r="C47" s="86"/>
      <c r="D47" s="86"/>
      <c r="E47" s="86"/>
      <c r="F47" s="85"/>
    </row>
    <row r="48" spans="1:13">
      <c r="A48" s="196">
        <v>41</v>
      </c>
      <c r="B48" s="85" t="s">
        <v>1226</v>
      </c>
      <c r="C48" s="86"/>
      <c r="D48" s="86"/>
      <c r="E48" s="86"/>
      <c r="F48" s="85"/>
    </row>
    <row r="49" spans="1:9">
      <c r="A49" s="196">
        <v>42</v>
      </c>
      <c r="B49" s="85" t="s">
        <v>1227</v>
      </c>
      <c r="C49" s="86"/>
      <c r="D49" s="86"/>
      <c r="E49" s="86"/>
      <c r="F49" s="85"/>
    </row>
    <row r="53" spans="1:9">
      <c r="B53" s="195" t="s">
        <v>1123</v>
      </c>
      <c r="F53" s="1180">
        <f>'Stmt A pg 1'!F53-'Stmt A pg 2'!F44</f>
        <v>-0.24399995803833008</v>
      </c>
      <c r="H53" s="893">
        <f>'Stmt A pg 1'!I53-'Stmt A pg 2'!H44</f>
        <v>-0.24400007724761963</v>
      </c>
      <c r="I53" s="893">
        <f>'Stmt A pg 1'!J53-'Stmt A pg 2'!I44</f>
        <v>0</v>
      </c>
    </row>
  </sheetData>
  <phoneticPr fontId="12" type="noConversion"/>
  <pageMargins left="0.75" right="0.18" top="1" bottom="1" header="1" footer="0.19"/>
  <pageSetup scale="96" orientation="portrait" r:id="rId1"/>
  <headerFooter alignWithMargins="0">
    <oddHeader xml:space="preserve">&amp;R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4">
    <pageSetUpPr fitToPage="1"/>
  </sheetPr>
  <dimension ref="A1:O69"/>
  <sheetViews>
    <sheetView workbookViewId="0"/>
  </sheetViews>
  <sheetFormatPr defaultColWidth="10.6640625" defaultRowHeight="12.75"/>
  <cols>
    <col min="1" max="1" width="6.83203125" style="104" customWidth="1"/>
    <col min="2" max="2" width="3.33203125" style="104" customWidth="1"/>
    <col min="3" max="3" width="34.33203125" style="104" customWidth="1"/>
    <col min="4" max="4" width="1.33203125" style="104" customWidth="1"/>
    <col min="5" max="5" width="16" style="104" bestFit="1" customWidth="1"/>
    <col min="6" max="6" width="3.33203125" style="104" customWidth="1"/>
    <col min="7" max="7" width="19.83203125" style="104" bestFit="1" customWidth="1"/>
    <col min="8" max="8" width="3.33203125" style="104" customWidth="1"/>
    <col min="9" max="9" width="10.6640625" style="104" customWidth="1"/>
    <col min="10" max="10" width="3.1640625" style="104" bestFit="1" customWidth="1"/>
    <col min="11" max="13" width="18.83203125" style="104" bestFit="1" customWidth="1"/>
    <col min="14" max="16384" width="10.6640625" style="104"/>
  </cols>
  <sheetData>
    <row r="1" spans="1:13" ht="12.75" customHeight="1">
      <c r="A1" s="25" t="str">
        <f>Company</f>
        <v>BLACK HILLS NEBRASKA GAS, LLC</v>
      </c>
      <c r="B1" s="85"/>
      <c r="C1" s="85"/>
      <c r="D1" s="85"/>
      <c r="E1" s="85"/>
      <c r="F1" s="85"/>
      <c r="G1" s="72" t="str">
        <f>Attach</f>
        <v>FINAL - BH January 15, 2021 Rev. Req. Model</v>
      </c>
      <c r="H1" s="85"/>
    </row>
    <row r="2" spans="1:13" ht="12.75" customHeight="1">
      <c r="A2" s="30" t="s">
        <v>236</v>
      </c>
      <c r="B2" s="85"/>
      <c r="C2" s="85"/>
      <c r="D2" s="85"/>
      <c r="E2" s="85"/>
      <c r="F2" s="85"/>
      <c r="G2" s="72" t="s">
        <v>801</v>
      </c>
      <c r="H2" s="85"/>
    </row>
    <row r="3" spans="1:13" ht="12.75" customHeight="1">
      <c r="A3" s="70" t="str">
        <f>TYEnded</f>
        <v>FOR THE TEST YEAR ENDING DECEMBER 31, 2020</v>
      </c>
      <c r="B3" s="85"/>
      <c r="C3" s="85"/>
      <c r="D3" s="85"/>
      <c r="E3" s="85"/>
      <c r="F3" s="85"/>
      <c r="G3" s="85"/>
      <c r="H3" s="85"/>
    </row>
    <row r="4" spans="1:13" ht="12.75" customHeight="1">
      <c r="A4" s="1375"/>
      <c r="B4" s="85"/>
      <c r="C4" s="85"/>
      <c r="D4" s="85"/>
      <c r="E4" s="85"/>
      <c r="F4" s="85"/>
      <c r="G4" s="85"/>
      <c r="H4" s="85"/>
    </row>
    <row r="5" spans="1:13">
      <c r="A5" s="145"/>
      <c r="E5" s="367" t="s">
        <v>199</v>
      </c>
      <c r="F5" s="201"/>
      <c r="G5" s="367" t="s">
        <v>200</v>
      </c>
      <c r="H5" s="201"/>
    </row>
    <row r="6" spans="1:13">
      <c r="A6" s="145"/>
      <c r="E6" s="374"/>
      <c r="F6" s="374"/>
      <c r="G6" s="374"/>
      <c r="H6" s="374"/>
    </row>
    <row r="7" spans="1:13">
      <c r="A7" s="367" t="s">
        <v>59</v>
      </c>
      <c r="D7" s="201"/>
      <c r="E7" s="367"/>
      <c r="F7" s="367"/>
      <c r="G7" s="368"/>
      <c r="H7" s="367"/>
      <c r="J7" s="75">
        <f>1+J6</f>
        <v>1</v>
      </c>
      <c r="K7" s="75" t="str">
        <f>References!$C$17</f>
        <v>Exhibit No. MCC-2 NEG</v>
      </c>
      <c r="L7" s="75" t="str">
        <f>References!$D$17</f>
        <v>Exhibit No. MCC-2 NEGD</v>
      </c>
      <c r="M7" s="82" t="str">
        <f>References!$E$17</f>
        <v>FINAL - BH January 15, 2021 Rev. Req. Model</v>
      </c>
    </row>
    <row r="8" spans="1:13">
      <c r="A8" s="369" t="s">
        <v>195</v>
      </c>
      <c r="B8" s="370" t="s">
        <v>196</v>
      </c>
      <c r="C8" s="450"/>
      <c r="D8" s="370"/>
      <c r="E8" s="371" t="s">
        <v>285</v>
      </c>
      <c r="F8" s="372"/>
      <c r="G8" s="373" t="s">
        <v>286</v>
      </c>
      <c r="H8" s="844"/>
      <c r="J8" s="75">
        <f t="shared" ref="J8:J56" si="0">1+J7</f>
        <v>2</v>
      </c>
      <c r="K8" s="75" t="str">
        <f>References!$C$18</f>
        <v>NEG</v>
      </c>
      <c r="L8" s="75" t="str">
        <f>References!$D$18</f>
        <v>NEGD</v>
      </c>
      <c r="M8" s="82" t="str">
        <f>References!$E$18</f>
        <v>Tot Co</v>
      </c>
    </row>
    <row r="9" spans="1:13">
      <c r="A9" s="141"/>
      <c r="J9" s="75">
        <f t="shared" si="0"/>
        <v>3</v>
      </c>
      <c r="K9" s="506"/>
      <c r="L9" s="506"/>
      <c r="M9" s="506"/>
    </row>
    <row r="10" spans="1:13">
      <c r="A10" s="141">
        <f t="shared" ref="A10:A56" si="1">1+A9</f>
        <v>1</v>
      </c>
      <c r="B10" s="146" t="s">
        <v>260</v>
      </c>
      <c r="J10" s="75">
        <f t="shared" si="0"/>
        <v>4</v>
      </c>
      <c r="K10" s="506"/>
      <c r="L10" s="506"/>
      <c r="M10" s="506"/>
    </row>
    <row r="11" spans="1:13">
      <c r="A11" s="141">
        <f t="shared" si="1"/>
        <v>2</v>
      </c>
      <c r="C11" s="104" t="s">
        <v>94</v>
      </c>
      <c r="G11" s="55">
        <f>HLOOKUP(Attach,$K$7:$O$56,J11,FALSE)</f>
        <v>2264966.2599999984</v>
      </c>
      <c r="J11" s="75">
        <f t="shared" si="0"/>
        <v>5</v>
      </c>
      <c r="K11" s="974">
        <v>1264011.0199999991</v>
      </c>
      <c r="L11" s="974">
        <v>1000955.2399999993</v>
      </c>
      <c r="M11" s="937">
        <f>+K11+L11</f>
        <v>2264966.2599999984</v>
      </c>
    </row>
    <row r="12" spans="1:13">
      <c r="A12" s="141">
        <f t="shared" si="1"/>
        <v>3</v>
      </c>
      <c r="C12" s="104" t="s">
        <v>562</v>
      </c>
      <c r="G12" s="717">
        <v>0</v>
      </c>
      <c r="J12" s="75">
        <f t="shared" si="0"/>
        <v>6</v>
      </c>
      <c r="K12" s="928"/>
      <c r="L12" s="928"/>
      <c r="M12" s="937">
        <f t="shared" ref="M12:M14" si="2">+K12+L12</f>
        <v>0</v>
      </c>
    </row>
    <row r="13" spans="1:13">
      <c r="A13" s="141">
        <f t="shared" si="1"/>
        <v>4</v>
      </c>
      <c r="C13" s="104" t="s">
        <v>144</v>
      </c>
      <c r="E13" s="841" t="s">
        <v>1581</v>
      </c>
      <c r="G13" s="717">
        <f>IF($G$59="Y",'Sched L-1'!G33,'Sched L-1'!G14)</f>
        <v>147974.90786020458</v>
      </c>
      <c r="J13" s="75">
        <f t="shared" si="0"/>
        <v>7</v>
      </c>
      <c r="K13" s="928"/>
      <c r="L13" s="928"/>
      <c r="M13" s="937">
        <f t="shared" si="2"/>
        <v>0</v>
      </c>
    </row>
    <row r="14" spans="1:13">
      <c r="A14" s="141">
        <f t="shared" si="1"/>
        <v>5</v>
      </c>
      <c r="C14" s="104" t="s">
        <v>563</v>
      </c>
      <c r="G14" s="567">
        <f>SUM(G11:G13)</f>
        <v>2412941.167860203</v>
      </c>
      <c r="J14" s="75">
        <f t="shared" si="0"/>
        <v>8</v>
      </c>
      <c r="K14" s="928"/>
      <c r="L14" s="928"/>
      <c r="M14" s="937">
        <f t="shared" si="2"/>
        <v>0</v>
      </c>
    </row>
    <row r="15" spans="1:13">
      <c r="A15" s="141">
        <f t="shared" si="1"/>
        <v>6</v>
      </c>
      <c r="G15" s="568"/>
      <c r="J15" s="75">
        <f t="shared" si="0"/>
        <v>9</v>
      </c>
      <c r="K15" s="506"/>
      <c r="L15" s="506"/>
      <c r="M15" s="506"/>
    </row>
    <row r="16" spans="1:13">
      <c r="A16" s="141">
        <f t="shared" si="1"/>
        <v>7</v>
      </c>
      <c r="B16" s="146" t="s">
        <v>564</v>
      </c>
      <c r="G16" s="568"/>
      <c r="J16" s="75">
        <f t="shared" si="0"/>
        <v>10</v>
      </c>
      <c r="K16" s="506"/>
      <c r="L16" s="506"/>
      <c r="M16" s="506"/>
    </row>
    <row r="17" spans="1:15">
      <c r="A17" s="141">
        <f t="shared" si="1"/>
        <v>8</v>
      </c>
      <c r="C17" s="104" t="s">
        <v>94</v>
      </c>
      <c r="G17" s="55">
        <f>HLOOKUP(Attach,$K$7:$O$56,J17,FALSE)</f>
        <v>23120.46</v>
      </c>
      <c r="J17" s="75">
        <f t="shared" si="0"/>
        <v>11</v>
      </c>
      <c r="K17" s="974">
        <v>11572.189999999999</v>
      </c>
      <c r="L17" s="974">
        <v>11548.27</v>
      </c>
      <c r="M17" s="937">
        <f>+K17+L17</f>
        <v>23120.46</v>
      </c>
    </row>
    <row r="18" spans="1:15">
      <c r="A18" s="141">
        <f t="shared" si="1"/>
        <v>9</v>
      </c>
      <c r="C18" s="104" t="s">
        <v>562</v>
      </c>
      <c r="G18" s="694">
        <v>0</v>
      </c>
      <c r="J18" s="75">
        <f t="shared" si="0"/>
        <v>12</v>
      </c>
      <c r="K18" s="928"/>
      <c r="L18" s="928"/>
      <c r="M18" s="937">
        <f t="shared" ref="M18:M20" si="3">+K18+L18</f>
        <v>0</v>
      </c>
    </row>
    <row r="19" spans="1:15">
      <c r="A19" s="141">
        <f t="shared" si="1"/>
        <v>10</v>
      </c>
      <c r="C19" s="104" t="s">
        <v>144</v>
      </c>
      <c r="E19" s="841"/>
      <c r="G19" s="203">
        <v>0</v>
      </c>
      <c r="J19" s="75">
        <f t="shared" si="0"/>
        <v>13</v>
      </c>
      <c r="K19" s="928"/>
      <c r="L19" s="928"/>
      <c r="M19" s="937">
        <f t="shared" si="3"/>
        <v>0</v>
      </c>
    </row>
    <row r="20" spans="1:15">
      <c r="A20" s="141">
        <f t="shared" si="1"/>
        <v>11</v>
      </c>
      <c r="C20" s="104" t="s">
        <v>563</v>
      </c>
      <c r="G20" s="549">
        <f>SUM(G16:G19)</f>
        <v>23120.46</v>
      </c>
      <c r="J20" s="75">
        <f t="shared" si="0"/>
        <v>14</v>
      </c>
      <c r="K20" s="928"/>
      <c r="L20" s="928"/>
      <c r="M20" s="937">
        <f t="shared" si="3"/>
        <v>0</v>
      </c>
    </row>
    <row r="21" spans="1:15">
      <c r="A21" s="141">
        <f t="shared" si="1"/>
        <v>12</v>
      </c>
      <c r="G21" s="568"/>
      <c r="J21" s="75">
        <f t="shared" si="0"/>
        <v>15</v>
      </c>
      <c r="K21" s="506"/>
      <c r="L21" s="506"/>
      <c r="M21" s="506"/>
    </row>
    <row r="22" spans="1:15">
      <c r="A22" s="141">
        <f t="shared" si="1"/>
        <v>13</v>
      </c>
      <c r="B22" s="146" t="s">
        <v>565</v>
      </c>
      <c r="G22" s="568"/>
      <c r="J22" s="75">
        <f t="shared" si="0"/>
        <v>16</v>
      </c>
      <c r="K22" s="506"/>
      <c r="L22" s="506"/>
      <c r="M22" s="506"/>
    </row>
    <row r="23" spans="1:15">
      <c r="A23" s="141">
        <f t="shared" si="1"/>
        <v>14</v>
      </c>
      <c r="C23" s="104" t="s">
        <v>94</v>
      </c>
      <c r="G23" s="55">
        <f>HLOOKUP(Attach,$K$7:$O$56,J23,FALSE)</f>
        <v>28765.899999999998</v>
      </c>
      <c r="J23" s="75">
        <f t="shared" si="0"/>
        <v>17</v>
      </c>
      <c r="K23" s="974">
        <v>16628.619999999995</v>
      </c>
      <c r="L23" s="974">
        <v>12137.280000000002</v>
      </c>
      <c r="M23" s="937">
        <f>+K23+L23</f>
        <v>28765.899999999998</v>
      </c>
    </row>
    <row r="24" spans="1:15">
      <c r="A24" s="141">
        <f t="shared" si="1"/>
        <v>15</v>
      </c>
      <c r="C24" s="104" t="s">
        <v>562</v>
      </c>
      <c r="G24" s="718">
        <v>0</v>
      </c>
      <c r="J24" s="75">
        <f t="shared" si="0"/>
        <v>18</v>
      </c>
      <c r="K24" s="928"/>
      <c r="L24" s="928"/>
      <c r="M24" s="937">
        <f t="shared" ref="M24:M26" si="4">+K24+L24</f>
        <v>0</v>
      </c>
    </row>
    <row r="25" spans="1:15">
      <c r="A25" s="141">
        <f t="shared" si="1"/>
        <v>16</v>
      </c>
      <c r="C25" s="104" t="s">
        <v>144</v>
      </c>
      <c r="E25" s="841"/>
      <c r="G25" s="718">
        <v>0</v>
      </c>
      <c r="J25" s="75">
        <f t="shared" si="0"/>
        <v>19</v>
      </c>
      <c r="K25" s="928"/>
      <c r="L25" s="928"/>
      <c r="M25" s="937">
        <f t="shared" si="4"/>
        <v>0</v>
      </c>
    </row>
    <row r="26" spans="1:15">
      <c r="A26" s="141">
        <f t="shared" si="1"/>
        <v>17</v>
      </c>
      <c r="C26" s="104" t="s">
        <v>563</v>
      </c>
      <c r="G26" s="549">
        <f>SUM(G23:G25)</f>
        <v>28765.899999999998</v>
      </c>
      <c r="J26" s="75">
        <f t="shared" si="0"/>
        <v>20</v>
      </c>
      <c r="K26" s="928"/>
      <c r="L26" s="928"/>
      <c r="M26" s="937">
        <f t="shared" si="4"/>
        <v>0</v>
      </c>
    </row>
    <row r="27" spans="1:15">
      <c r="A27" s="141">
        <f t="shared" si="1"/>
        <v>18</v>
      </c>
      <c r="G27" s="568"/>
      <c r="J27" s="75">
        <f t="shared" si="0"/>
        <v>21</v>
      </c>
      <c r="K27" s="506"/>
      <c r="L27" s="506"/>
      <c r="M27" s="506"/>
    </row>
    <row r="28" spans="1:15">
      <c r="A28" s="141">
        <f t="shared" si="1"/>
        <v>19</v>
      </c>
      <c r="B28" s="146" t="s">
        <v>336</v>
      </c>
      <c r="G28" s="568"/>
      <c r="J28" s="75">
        <f t="shared" si="0"/>
        <v>22</v>
      </c>
      <c r="K28" s="506"/>
      <c r="L28" s="506"/>
      <c r="M28" s="506"/>
    </row>
    <row r="29" spans="1:15">
      <c r="A29" s="141">
        <f t="shared" si="1"/>
        <v>20</v>
      </c>
      <c r="C29" s="104" t="s">
        <v>94</v>
      </c>
      <c r="G29" s="55">
        <f>HLOOKUP(Attach,$K$7:$O$56,J29,FALSE)</f>
        <v>-212355.04</v>
      </c>
      <c r="J29" s="75">
        <f t="shared" si="0"/>
        <v>23</v>
      </c>
      <c r="K29" s="974">
        <v>-233891.6</v>
      </c>
      <c r="L29" s="974">
        <v>21536.560000000005</v>
      </c>
      <c r="M29" s="937">
        <f>+K29+L29</f>
        <v>-212355.04</v>
      </c>
      <c r="O29" s="1364"/>
    </row>
    <row r="30" spans="1:15">
      <c r="A30" s="141">
        <f t="shared" si="1"/>
        <v>21</v>
      </c>
      <c r="C30" s="104" t="s">
        <v>562</v>
      </c>
      <c r="E30" s="841" t="s">
        <v>1436</v>
      </c>
      <c r="G30" s="843">
        <f>'Sched L-1'!G17</f>
        <v>231473</v>
      </c>
      <c r="J30" s="75">
        <f t="shared" si="0"/>
        <v>24</v>
      </c>
      <c r="K30" s="928"/>
      <c r="L30" s="928"/>
      <c r="M30" s="937">
        <f t="shared" ref="M30:M32" si="5">+K30+L30</f>
        <v>0</v>
      </c>
      <c r="O30" s="1364"/>
    </row>
    <row r="31" spans="1:15">
      <c r="A31" s="141">
        <f t="shared" si="1"/>
        <v>22</v>
      </c>
      <c r="C31" s="104" t="s">
        <v>144</v>
      </c>
      <c r="G31" s="843">
        <v>0</v>
      </c>
      <c r="J31" s="75">
        <f t="shared" si="0"/>
        <v>25</v>
      </c>
      <c r="K31" s="1001"/>
      <c r="L31" s="1001"/>
      <c r="M31" s="937">
        <f t="shared" si="5"/>
        <v>0</v>
      </c>
    </row>
    <row r="32" spans="1:15">
      <c r="A32" s="141">
        <f t="shared" si="1"/>
        <v>23</v>
      </c>
      <c r="C32" s="104" t="s">
        <v>563</v>
      </c>
      <c r="G32" s="549">
        <f>SUM(G29:G31)</f>
        <v>19117.959999999992</v>
      </c>
      <c r="J32" s="75">
        <f t="shared" si="0"/>
        <v>26</v>
      </c>
      <c r="K32" s="928"/>
      <c r="L32" s="928"/>
      <c r="M32" s="937">
        <f t="shared" si="5"/>
        <v>0</v>
      </c>
    </row>
    <row r="33" spans="1:14">
      <c r="A33" s="141">
        <f t="shared" si="1"/>
        <v>24</v>
      </c>
      <c r="G33" s="568"/>
      <c r="J33" s="75">
        <f t="shared" si="0"/>
        <v>27</v>
      </c>
      <c r="K33" s="506"/>
      <c r="L33" s="506"/>
      <c r="M33" s="506"/>
    </row>
    <row r="34" spans="1:14">
      <c r="A34" s="141">
        <f t="shared" si="1"/>
        <v>25</v>
      </c>
      <c r="B34" s="146" t="s">
        <v>1029</v>
      </c>
      <c r="G34" s="568"/>
      <c r="J34" s="75">
        <f t="shared" si="0"/>
        <v>28</v>
      </c>
      <c r="K34" s="506"/>
      <c r="L34" s="506"/>
      <c r="M34" s="506"/>
    </row>
    <row r="35" spans="1:14">
      <c r="A35" s="141">
        <f t="shared" si="1"/>
        <v>26</v>
      </c>
      <c r="C35" s="104" t="s">
        <v>94</v>
      </c>
      <c r="G35" s="55">
        <f>HLOOKUP(Attach,$K$7:$O$56,J35,FALSE)</f>
        <v>3909166.01</v>
      </c>
      <c r="J35" s="75">
        <f t="shared" si="0"/>
        <v>29</v>
      </c>
      <c r="K35" s="1001">
        <v>2120367.8199999998</v>
      </c>
      <c r="L35" s="1001">
        <v>1788798.19</v>
      </c>
      <c r="M35" s="937">
        <f>+K35+L35</f>
        <v>3909166.01</v>
      </c>
      <c r="N35" s="568"/>
    </row>
    <row r="36" spans="1:14">
      <c r="A36" s="141">
        <f t="shared" si="1"/>
        <v>27</v>
      </c>
      <c r="C36" s="104" t="s">
        <v>562</v>
      </c>
      <c r="G36" s="843">
        <f>HLOOKUP(Attach,$K$7:$O$56,J36,FALSE)</f>
        <v>235859</v>
      </c>
      <c r="J36" s="75">
        <f t="shared" si="0"/>
        <v>30</v>
      </c>
      <c r="K36" s="1001">
        <v>210967</v>
      </c>
      <c r="L36" s="1001">
        <v>24892</v>
      </c>
      <c r="M36" s="937">
        <f t="shared" ref="M36:M38" si="6">+K36+L36</f>
        <v>235859</v>
      </c>
    </row>
    <row r="37" spans="1:14">
      <c r="A37" s="141">
        <f t="shared" si="1"/>
        <v>28</v>
      </c>
      <c r="C37" s="104" t="s">
        <v>144</v>
      </c>
      <c r="E37" s="841" t="s">
        <v>1382</v>
      </c>
      <c r="G37" s="636">
        <f>'Sched L-1'!G23</f>
        <v>554276.95986867312</v>
      </c>
      <c r="I37" s="806"/>
      <c r="J37" s="75">
        <f t="shared" si="0"/>
        <v>31</v>
      </c>
      <c r="K37" s="928"/>
      <c r="L37" s="928"/>
      <c r="M37" s="937">
        <f t="shared" si="6"/>
        <v>0</v>
      </c>
    </row>
    <row r="38" spans="1:14">
      <c r="A38" s="141">
        <f t="shared" si="1"/>
        <v>29</v>
      </c>
      <c r="C38" s="104" t="s">
        <v>563</v>
      </c>
      <c r="G38" s="549">
        <f>SUM(G35:G37)</f>
        <v>4699301.969868673</v>
      </c>
      <c r="J38" s="75">
        <f t="shared" si="0"/>
        <v>32</v>
      </c>
      <c r="K38" s="928"/>
      <c r="L38" s="928"/>
      <c r="M38" s="937">
        <f t="shared" si="6"/>
        <v>0</v>
      </c>
    </row>
    <row r="39" spans="1:14">
      <c r="A39" s="141">
        <f t="shared" si="1"/>
        <v>30</v>
      </c>
      <c r="G39" s="568"/>
      <c r="J39" s="75">
        <f t="shared" si="0"/>
        <v>33</v>
      </c>
      <c r="K39" s="506">
        <v>243302</v>
      </c>
      <c r="L39" s="506">
        <v>-7337</v>
      </c>
      <c r="M39" s="506"/>
    </row>
    <row r="40" spans="1:14">
      <c r="A40" s="141">
        <f t="shared" si="1"/>
        <v>31</v>
      </c>
      <c r="B40" s="146" t="s">
        <v>1335</v>
      </c>
      <c r="G40" s="568"/>
      <c r="J40" s="75">
        <f t="shared" si="0"/>
        <v>34</v>
      </c>
      <c r="K40" s="506"/>
      <c r="L40" s="506"/>
      <c r="M40" s="506"/>
    </row>
    <row r="41" spans="1:14">
      <c r="A41" s="141">
        <f t="shared" si="1"/>
        <v>32</v>
      </c>
      <c r="C41" s="104" t="s">
        <v>94</v>
      </c>
      <c r="G41" s="55">
        <f>HLOOKUP(Attach,$K$7:$O$56,J41,FALSE)</f>
        <v>177.69</v>
      </c>
      <c r="J41" s="75">
        <f t="shared" si="0"/>
        <v>35</v>
      </c>
      <c r="K41" s="974">
        <v>29.03</v>
      </c>
      <c r="L41" s="974">
        <v>148.66</v>
      </c>
      <c r="M41" s="937">
        <f>+K41+L41</f>
        <v>177.69</v>
      </c>
    </row>
    <row r="42" spans="1:14">
      <c r="A42" s="141">
        <f t="shared" si="1"/>
        <v>33</v>
      </c>
      <c r="C42" s="104" t="s">
        <v>562</v>
      </c>
      <c r="G42" s="718">
        <v>0</v>
      </c>
      <c r="J42" s="75">
        <f t="shared" si="0"/>
        <v>36</v>
      </c>
      <c r="K42" s="928"/>
      <c r="L42" s="928"/>
      <c r="M42" s="937">
        <f t="shared" ref="M42:M44" si="7">+K42+L42</f>
        <v>0</v>
      </c>
    </row>
    <row r="43" spans="1:14">
      <c r="A43" s="141">
        <f t="shared" si="1"/>
        <v>34</v>
      </c>
      <c r="C43" s="104" t="s">
        <v>144</v>
      </c>
      <c r="G43" s="203">
        <v>0</v>
      </c>
      <c r="J43" s="75">
        <f t="shared" si="0"/>
        <v>37</v>
      </c>
      <c r="K43" s="928"/>
      <c r="L43" s="928"/>
      <c r="M43" s="937">
        <f t="shared" si="7"/>
        <v>0</v>
      </c>
    </row>
    <row r="44" spans="1:14">
      <c r="A44" s="141">
        <f t="shared" si="1"/>
        <v>35</v>
      </c>
      <c r="C44" s="104" t="s">
        <v>563</v>
      </c>
      <c r="G44" s="549">
        <f>SUM(G41:G43)</f>
        <v>177.69</v>
      </c>
      <c r="J44" s="75">
        <f t="shared" si="0"/>
        <v>38</v>
      </c>
      <c r="K44" s="928"/>
      <c r="L44" s="928"/>
      <c r="M44" s="937">
        <f t="shared" si="7"/>
        <v>0</v>
      </c>
    </row>
    <row r="45" spans="1:14">
      <c r="A45" s="141">
        <f t="shared" si="1"/>
        <v>36</v>
      </c>
      <c r="G45" s="568"/>
      <c r="J45" s="75">
        <f t="shared" si="0"/>
        <v>39</v>
      </c>
      <c r="K45" s="506"/>
      <c r="L45" s="506"/>
      <c r="M45" s="506"/>
    </row>
    <row r="46" spans="1:14">
      <c r="A46" s="141">
        <f t="shared" si="1"/>
        <v>37</v>
      </c>
      <c r="B46" s="146" t="s">
        <v>337</v>
      </c>
      <c r="G46" s="568"/>
      <c r="J46" s="75">
        <f t="shared" si="0"/>
        <v>40</v>
      </c>
      <c r="K46" s="506"/>
      <c r="L46" s="506"/>
      <c r="M46" s="506"/>
    </row>
    <row r="47" spans="1:14">
      <c r="A47" s="141">
        <f t="shared" si="1"/>
        <v>38</v>
      </c>
      <c r="C47" s="104" t="s">
        <v>94</v>
      </c>
      <c r="G47" s="55">
        <f>HLOOKUP(Attach,$K$7:$O$56,J47,FALSE)</f>
        <v>-137988.72999999998</v>
      </c>
      <c r="J47" s="75">
        <f t="shared" si="0"/>
        <v>41</v>
      </c>
      <c r="K47" s="974">
        <v>-87233.569999999992</v>
      </c>
      <c r="L47" s="974">
        <v>-50755.159999999996</v>
      </c>
      <c r="M47" s="937">
        <f>+K47+L47</f>
        <v>-137988.72999999998</v>
      </c>
    </row>
    <row r="48" spans="1:14">
      <c r="A48" s="141">
        <f t="shared" si="1"/>
        <v>39</v>
      </c>
      <c r="C48" s="104" t="s">
        <v>562</v>
      </c>
      <c r="G48" s="718">
        <v>0</v>
      </c>
      <c r="J48" s="75">
        <f t="shared" si="0"/>
        <v>42</v>
      </c>
      <c r="K48" s="928"/>
      <c r="L48" s="928"/>
      <c r="M48" s="937">
        <f t="shared" ref="M48:M50" si="8">+K48+L48</f>
        <v>0</v>
      </c>
    </row>
    <row r="49" spans="1:13">
      <c r="A49" s="141">
        <f t="shared" si="1"/>
        <v>40</v>
      </c>
      <c r="C49" s="104" t="s">
        <v>144</v>
      </c>
      <c r="G49" s="718">
        <v>0</v>
      </c>
      <c r="J49" s="75">
        <f t="shared" si="0"/>
        <v>43</v>
      </c>
      <c r="K49" s="928"/>
      <c r="L49" s="928"/>
      <c r="M49" s="937">
        <f t="shared" si="8"/>
        <v>0</v>
      </c>
    </row>
    <row r="50" spans="1:13">
      <c r="A50" s="141">
        <f t="shared" si="1"/>
        <v>41</v>
      </c>
      <c r="C50" s="104" t="s">
        <v>563</v>
      </c>
      <c r="G50" s="549">
        <f>SUM(G47:G49)</f>
        <v>-137988.72999999998</v>
      </c>
      <c r="J50" s="75">
        <f t="shared" si="0"/>
        <v>44</v>
      </c>
      <c r="K50" s="928"/>
      <c r="L50" s="928"/>
      <c r="M50" s="937">
        <f t="shared" si="8"/>
        <v>0</v>
      </c>
    </row>
    <row r="51" spans="1:13">
      <c r="A51" s="141">
        <f t="shared" si="1"/>
        <v>42</v>
      </c>
      <c r="G51" s="568"/>
      <c r="J51" s="75">
        <f t="shared" si="0"/>
        <v>45</v>
      </c>
      <c r="K51" s="506"/>
      <c r="L51" s="506"/>
      <c r="M51" s="506"/>
    </row>
    <row r="52" spans="1:13">
      <c r="A52" s="141">
        <f t="shared" si="1"/>
        <v>43</v>
      </c>
      <c r="B52" s="104" t="s">
        <v>566</v>
      </c>
      <c r="G52" s="568"/>
      <c r="J52" s="75">
        <f t="shared" si="0"/>
        <v>46</v>
      </c>
      <c r="K52" s="506"/>
      <c r="L52" s="506"/>
      <c r="M52" s="506"/>
    </row>
    <row r="53" spans="1:13">
      <c r="A53" s="141">
        <f t="shared" si="1"/>
        <v>44</v>
      </c>
      <c r="C53" s="104" t="s">
        <v>94</v>
      </c>
      <c r="G53" s="361">
        <f>+G11+G17+G23+G29+G35+G41+G47</f>
        <v>5875852.5499999989</v>
      </c>
      <c r="J53" s="75">
        <f t="shared" si="0"/>
        <v>47</v>
      </c>
      <c r="K53" s="974"/>
      <c r="L53" s="974"/>
      <c r="M53" s="937">
        <f>+K53+L53</f>
        <v>0</v>
      </c>
    </row>
    <row r="54" spans="1:13">
      <c r="A54" s="141">
        <f t="shared" si="1"/>
        <v>45</v>
      </c>
      <c r="C54" s="104" t="s">
        <v>562</v>
      </c>
      <c r="G54" s="694">
        <f>+G12+G18+G24+G30+G36+G42+G48</f>
        <v>467332</v>
      </c>
      <c r="J54" s="75">
        <f t="shared" si="0"/>
        <v>48</v>
      </c>
      <c r="K54" s="928"/>
      <c r="L54" s="928"/>
      <c r="M54" s="937">
        <f t="shared" ref="M54:M56" si="9">+K54+L54</f>
        <v>0</v>
      </c>
    </row>
    <row r="55" spans="1:13">
      <c r="A55" s="141">
        <f t="shared" si="1"/>
        <v>46</v>
      </c>
      <c r="C55" s="104" t="s">
        <v>144</v>
      </c>
      <c r="G55" s="718">
        <f>+G13+G19+G25+G31+G37+G43+G49</f>
        <v>702251.8677288777</v>
      </c>
      <c r="J55" s="75">
        <f t="shared" si="0"/>
        <v>49</v>
      </c>
      <c r="K55" s="928"/>
      <c r="L55" s="928"/>
      <c r="M55" s="937">
        <f t="shared" si="9"/>
        <v>0</v>
      </c>
    </row>
    <row r="56" spans="1:13" ht="13.5" thickBot="1">
      <c r="A56" s="141">
        <f t="shared" si="1"/>
        <v>47</v>
      </c>
      <c r="C56" s="104" t="s">
        <v>563</v>
      </c>
      <c r="G56" s="911">
        <f>+G14+G20+G26+G32+G38+G44+G50</f>
        <v>7045436.4177288767</v>
      </c>
      <c r="J56" s="75">
        <f t="shared" si="0"/>
        <v>50</v>
      </c>
      <c r="K56" s="928"/>
      <c r="L56" s="928"/>
      <c r="M56" s="937">
        <f t="shared" si="9"/>
        <v>0</v>
      </c>
    </row>
    <row r="57" spans="1:13" ht="13.5" thickTop="1"/>
    <row r="59" spans="1:13">
      <c r="C59" s="8" t="s">
        <v>1575</v>
      </c>
      <c r="E59" s="164"/>
      <c r="G59" s="170" t="str">
        <f>'Stmt N'!V1</f>
        <v>Y</v>
      </c>
    </row>
    <row r="60" spans="1:13">
      <c r="C60" s="474"/>
      <c r="E60" s="757"/>
      <c r="F60" s="756"/>
      <c r="G60" s="474"/>
    </row>
    <row r="61" spans="1:13">
      <c r="C61" s="98"/>
      <c r="E61" s="164"/>
      <c r="F61" s="127"/>
      <c r="G61" s="98"/>
    </row>
    <row r="62" spans="1:13">
      <c r="C62" s="98"/>
      <c r="E62" s="164"/>
      <c r="F62" s="127"/>
      <c r="G62" s="98"/>
    </row>
    <row r="63" spans="1:13">
      <c r="C63" s="474"/>
      <c r="E63" s="757"/>
      <c r="F63" s="756"/>
      <c r="G63" s="474"/>
    </row>
    <row r="66" spans="5:5">
      <c r="E66" s="568"/>
    </row>
    <row r="69" spans="5:5">
      <c r="E69" s="568"/>
    </row>
  </sheetData>
  <phoneticPr fontId="14" type="noConversion"/>
  <printOptions horizontalCentered="1"/>
  <pageMargins left="0.5" right="0.5" top="0.75" bottom="0.5" header="0.75" footer="0.5"/>
  <pageSetup scale="98"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N38"/>
  <sheetViews>
    <sheetView workbookViewId="0"/>
  </sheetViews>
  <sheetFormatPr defaultRowHeight="12.75"/>
  <cols>
    <col min="1" max="1" width="6.83203125" customWidth="1"/>
    <col min="2" max="2" width="3.33203125" customWidth="1"/>
    <col min="3" max="3" width="48.1640625" customWidth="1"/>
    <col min="4" max="4" width="3.33203125" customWidth="1"/>
    <col min="5" max="5" width="26.83203125" customWidth="1"/>
    <col min="6" max="6" width="3.33203125" customWidth="1"/>
    <col min="7" max="7" width="18.33203125" bestFit="1" customWidth="1"/>
    <col min="8" max="8" width="4.1640625" customWidth="1"/>
    <col min="9" max="9" width="3.6640625" bestFit="1" customWidth="1"/>
    <col min="10" max="10" width="19.33203125" bestFit="1" customWidth="1"/>
    <col min="11" max="11" width="22.33203125" bestFit="1" customWidth="1"/>
    <col min="12" max="12" width="11.83203125" bestFit="1" customWidth="1"/>
  </cols>
  <sheetData>
    <row r="1" spans="1:12">
      <c r="A1" s="69" t="str">
        <f>Company</f>
        <v>BLACK HILLS NEBRASKA GAS, LLC</v>
      </c>
      <c r="G1" s="72" t="str">
        <f>Attach</f>
        <v>FINAL - BH January 15, 2021 Rev. Req. Model</v>
      </c>
    </row>
    <row r="2" spans="1:12">
      <c r="A2" s="30" t="s">
        <v>236</v>
      </c>
      <c r="G2" s="72" t="s">
        <v>507</v>
      </c>
    </row>
    <row r="3" spans="1:12" ht="13.5" customHeight="1">
      <c r="A3" s="70" t="str">
        <f>TYEnded</f>
        <v>FOR THE TEST YEAR ENDING DECEMBER 31, 2020</v>
      </c>
    </row>
    <row r="4" spans="1:12" s="62" customFormat="1" ht="13.5" customHeight="1">
      <c r="A4" s="70"/>
    </row>
    <row r="5" spans="1:12" s="62" customFormat="1" ht="13.5" customHeight="1">
      <c r="A5" s="70"/>
    </row>
    <row r="6" spans="1:12" s="62" customFormat="1" ht="13.5" customHeight="1">
      <c r="A6" s="70"/>
    </row>
    <row r="8" spans="1:12">
      <c r="A8" s="375" t="s">
        <v>282</v>
      </c>
      <c r="B8" s="339"/>
      <c r="C8" s="339"/>
      <c r="D8" s="339"/>
      <c r="E8" s="339"/>
      <c r="F8" s="339"/>
      <c r="G8" s="375" t="s">
        <v>199</v>
      </c>
      <c r="I8" s="75">
        <f t="shared" ref="I8:I11" si="0">1+I7</f>
        <v>1</v>
      </c>
      <c r="J8" s="75" t="str">
        <f>References!$C$17</f>
        <v>Exhibit No. MCC-2 NEG</v>
      </c>
      <c r="K8" s="75" t="str">
        <f>References!$D$17</f>
        <v>Exhibit No. MCC-2 NEGD</v>
      </c>
      <c r="L8" s="75" t="str">
        <f>References!$E$17</f>
        <v>FINAL - BH January 15, 2021 Rev. Req. Model</v>
      </c>
    </row>
    <row r="9" spans="1:12">
      <c r="A9" s="376" t="s">
        <v>195</v>
      </c>
      <c r="B9" s="377"/>
      <c r="C9" s="378" t="s">
        <v>196</v>
      </c>
      <c r="D9" s="378"/>
      <c r="E9" s="378" t="s">
        <v>285</v>
      </c>
      <c r="F9" s="378"/>
      <c r="G9" s="379" t="s">
        <v>286</v>
      </c>
      <c r="I9" s="75">
        <f t="shared" si="0"/>
        <v>2</v>
      </c>
      <c r="J9" s="75" t="str">
        <f>References!$C$18</f>
        <v>NEG</v>
      </c>
      <c r="K9" s="75" t="str">
        <f>References!$D$18</f>
        <v>NEGD</v>
      </c>
      <c r="L9" s="75" t="str">
        <f>References!$E$18</f>
        <v>Tot Co</v>
      </c>
    </row>
    <row r="10" spans="1:12">
      <c r="A10" s="247"/>
      <c r="B10" s="247"/>
      <c r="C10" s="249"/>
      <c r="D10" s="249"/>
      <c r="E10" s="249"/>
      <c r="F10" s="250"/>
      <c r="G10" s="839"/>
      <c r="I10" s="75">
        <f t="shared" si="0"/>
        <v>3</v>
      </c>
      <c r="J10" s="75"/>
      <c r="K10" s="75"/>
      <c r="L10" s="75"/>
    </row>
    <row r="11" spans="1:12">
      <c r="A11" s="251">
        <v>1</v>
      </c>
      <c r="B11" s="247"/>
      <c r="C11" s="215" t="s">
        <v>472</v>
      </c>
      <c r="D11" s="248"/>
      <c r="E11" s="248"/>
      <c r="F11" s="248"/>
      <c r="G11" s="839"/>
      <c r="I11" s="75">
        <f t="shared" si="0"/>
        <v>4</v>
      </c>
      <c r="J11" s="75"/>
      <c r="K11" s="75"/>
      <c r="L11" s="75"/>
    </row>
    <row r="12" spans="1:12">
      <c r="A12" s="216">
        <f>A11+1</f>
        <v>2</v>
      </c>
      <c r="B12" s="247"/>
      <c r="C12" s="252" t="s">
        <v>473</v>
      </c>
      <c r="D12" s="252"/>
      <c r="E12" s="839" t="s">
        <v>1453</v>
      </c>
      <c r="F12" s="253"/>
      <c r="G12" s="333">
        <f>'Sched H-4'!J139</f>
        <v>2409265</v>
      </c>
      <c r="I12" s="75">
        <f>1+I11</f>
        <v>5</v>
      </c>
      <c r="J12" s="928"/>
      <c r="K12" s="928"/>
      <c r="L12" s="937">
        <f>+J12+K12</f>
        <v>0</v>
      </c>
    </row>
    <row r="13" spans="1:12">
      <c r="A13" s="216">
        <f t="shared" ref="A13:A20" si="1">A12+1</f>
        <v>3</v>
      </c>
      <c r="B13" s="214"/>
      <c r="C13" s="253" t="s">
        <v>474</v>
      </c>
      <c r="D13" s="253"/>
      <c r="E13" s="839"/>
      <c r="F13" s="253"/>
      <c r="G13" s="334">
        <v>7.6499999999999999E-2</v>
      </c>
      <c r="I13" s="75">
        <f t="shared" ref="I13:I24" si="2">1+I12</f>
        <v>6</v>
      </c>
      <c r="J13" s="928"/>
      <c r="K13" s="928"/>
      <c r="L13" s="937">
        <f t="shared" ref="L13:L14" si="3">+J13+K13</f>
        <v>0</v>
      </c>
    </row>
    <row r="14" spans="1:12">
      <c r="A14" s="216">
        <f t="shared" si="1"/>
        <v>4</v>
      </c>
      <c r="B14" s="214"/>
      <c r="C14" s="253" t="s">
        <v>475</v>
      </c>
      <c r="D14" s="253"/>
      <c r="E14" s="839" t="s">
        <v>526</v>
      </c>
      <c r="F14" s="253"/>
      <c r="G14" s="361">
        <f>ROUND(G12*G13,0)</f>
        <v>184309</v>
      </c>
      <c r="I14" s="75">
        <f>1+I13</f>
        <v>7</v>
      </c>
      <c r="J14" s="928"/>
      <c r="K14" s="928"/>
      <c r="L14" s="937">
        <f t="shared" si="3"/>
        <v>0</v>
      </c>
    </row>
    <row r="15" spans="1:12" s="62" customFormat="1">
      <c r="A15" s="216">
        <f t="shared" si="1"/>
        <v>5</v>
      </c>
      <c r="B15" s="214"/>
      <c r="C15" s="253"/>
      <c r="D15" s="253"/>
      <c r="E15" s="839"/>
      <c r="F15" s="253"/>
      <c r="G15" s="361"/>
      <c r="I15" s="75">
        <f t="shared" ref="I15:I20" si="4">1+I14</f>
        <v>8</v>
      </c>
      <c r="J15" s="75"/>
      <c r="K15" s="75"/>
      <c r="L15" s="75"/>
    </row>
    <row r="16" spans="1:12" s="62" customFormat="1">
      <c r="A16" s="216">
        <f t="shared" si="1"/>
        <v>6</v>
      </c>
      <c r="B16" s="352"/>
      <c r="C16" s="253" t="s">
        <v>336</v>
      </c>
      <c r="D16" s="253"/>
      <c r="E16" s="839"/>
      <c r="F16" s="253"/>
      <c r="G16" s="361"/>
      <c r="H16" s="12"/>
      <c r="I16" s="75">
        <f t="shared" si="4"/>
        <v>9</v>
      </c>
      <c r="J16" s="928"/>
      <c r="K16" s="928"/>
      <c r="L16" s="937">
        <f t="shared" ref="L16:L18" si="5">+J16+K16</f>
        <v>0</v>
      </c>
    </row>
    <row r="17" spans="1:14" s="62" customFormat="1">
      <c r="A17" s="216">
        <f t="shared" si="1"/>
        <v>7</v>
      </c>
      <c r="B17" s="352"/>
      <c r="C17" s="253" t="s">
        <v>1264</v>
      </c>
      <c r="D17" s="253"/>
      <c r="E17" s="839" t="s">
        <v>1300</v>
      </c>
      <c r="F17" s="253"/>
      <c r="G17" s="1365">
        <f>IFERROR(HLOOKUP(Attach,$J$8:$O$63,I17,FALSE),0)</f>
        <v>231473</v>
      </c>
      <c r="H17" s="12"/>
      <c r="I17" s="75">
        <f t="shared" si="4"/>
        <v>10</v>
      </c>
      <c r="J17" s="973">
        <v>231473</v>
      </c>
      <c r="K17" s="973">
        <v>0</v>
      </c>
      <c r="L17" s="937">
        <f t="shared" si="5"/>
        <v>231473</v>
      </c>
      <c r="N17" s="8"/>
    </row>
    <row r="18" spans="1:14" s="62" customFormat="1">
      <c r="A18" s="216">
        <f t="shared" si="1"/>
        <v>8</v>
      </c>
      <c r="B18" s="352"/>
      <c r="C18" s="253" t="s">
        <v>1263</v>
      </c>
      <c r="D18" s="253"/>
      <c r="E18" s="839"/>
      <c r="F18" s="253"/>
      <c r="G18" s="872">
        <f>G17</f>
        <v>231473</v>
      </c>
      <c r="H18" s="12"/>
      <c r="I18" s="75">
        <f t="shared" si="4"/>
        <v>11</v>
      </c>
      <c r="J18" s="928"/>
      <c r="K18" s="928"/>
      <c r="L18" s="937">
        <f t="shared" si="5"/>
        <v>0</v>
      </c>
    </row>
    <row r="19" spans="1:14" s="62" customFormat="1">
      <c r="A19" s="216">
        <f t="shared" si="1"/>
        <v>9</v>
      </c>
      <c r="B19" s="352"/>
      <c r="C19" s="253"/>
      <c r="D19" s="253"/>
      <c r="E19" s="839"/>
      <c r="F19" s="253"/>
      <c r="G19" s="361"/>
      <c r="H19" s="12"/>
      <c r="I19" s="75">
        <f t="shared" si="4"/>
        <v>12</v>
      </c>
      <c r="J19" s="75"/>
      <c r="K19" s="75"/>
      <c r="L19" s="75"/>
    </row>
    <row r="20" spans="1:14" s="62" customFormat="1">
      <c r="A20" s="216">
        <f t="shared" si="1"/>
        <v>10</v>
      </c>
      <c r="C20" s="215" t="s">
        <v>1030</v>
      </c>
      <c r="D20" s="253"/>
      <c r="E20" s="1455"/>
      <c r="G20" s="870"/>
      <c r="I20" s="75">
        <f t="shared" si="4"/>
        <v>13</v>
      </c>
      <c r="J20" s="75"/>
      <c r="K20" s="75"/>
      <c r="L20" s="75"/>
    </row>
    <row r="21" spans="1:14" s="62" customFormat="1">
      <c r="A21" s="216">
        <f t="shared" ref="A21:A33" si="6">A20+1</f>
        <v>11</v>
      </c>
      <c r="C21" s="253" t="s">
        <v>831</v>
      </c>
      <c r="D21" s="253"/>
      <c r="E21" s="1561" t="s">
        <v>1435</v>
      </c>
      <c r="G21" s="872">
        <f>'Stmt D'!L28-'Stmt D'!L26</f>
        <v>97241386</v>
      </c>
      <c r="I21" s="75">
        <f t="shared" si="2"/>
        <v>14</v>
      </c>
      <c r="J21" s="928"/>
      <c r="K21" s="928"/>
      <c r="L21" s="937">
        <f t="shared" ref="L21:L23" si="7">+J21+K21</f>
        <v>0</v>
      </c>
    </row>
    <row r="22" spans="1:14" s="62" customFormat="1">
      <c r="A22" s="216">
        <f t="shared" si="6"/>
        <v>12</v>
      </c>
      <c r="C22" s="253" t="s">
        <v>1031</v>
      </c>
      <c r="D22" s="253"/>
      <c r="E22" s="1455"/>
      <c r="G22" s="1003">
        <f>'Sched I-2'!K22</f>
        <v>5.7000108973012083E-3</v>
      </c>
      <c r="I22" s="75">
        <f t="shared" si="2"/>
        <v>15</v>
      </c>
      <c r="J22" s="928"/>
      <c r="K22" s="928"/>
      <c r="L22" s="937">
        <f t="shared" si="7"/>
        <v>0</v>
      </c>
      <c r="N22" s="1002"/>
    </row>
    <row r="23" spans="1:14" s="62" customFormat="1">
      <c r="A23" s="216">
        <f t="shared" si="6"/>
        <v>13</v>
      </c>
      <c r="C23" s="253" t="s">
        <v>144</v>
      </c>
      <c r="D23" s="253"/>
      <c r="E23" s="1561" t="s">
        <v>1434</v>
      </c>
      <c r="G23" s="872">
        <f>G21*G22</f>
        <v>554276.95986867312</v>
      </c>
      <c r="I23" s="75">
        <f t="shared" si="2"/>
        <v>16</v>
      </c>
      <c r="J23" s="928"/>
      <c r="K23" s="928"/>
      <c r="L23" s="937">
        <f t="shared" si="7"/>
        <v>0</v>
      </c>
    </row>
    <row r="24" spans="1:14" s="62" customFormat="1">
      <c r="A24" s="216">
        <f t="shared" si="6"/>
        <v>14</v>
      </c>
      <c r="C24" s="253"/>
      <c r="D24" s="253"/>
      <c r="E24" s="253"/>
      <c r="G24" s="870"/>
      <c r="I24" s="75">
        <f t="shared" si="2"/>
        <v>17</v>
      </c>
      <c r="J24" s="75"/>
      <c r="K24" s="75"/>
      <c r="L24" s="75"/>
    </row>
    <row r="25" spans="1:14">
      <c r="A25" s="216">
        <f t="shared" si="6"/>
        <v>15</v>
      </c>
      <c r="C25" s="1455" t="s">
        <v>1381</v>
      </c>
      <c r="J25" s="75"/>
      <c r="K25" s="75"/>
      <c r="L25" s="75"/>
    </row>
    <row r="26" spans="1:14" s="62" customFormat="1">
      <c r="A26" s="216">
        <f t="shared" si="6"/>
        <v>16</v>
      </c>
      <c r="C26" s="1455"/>
      <c r="J26" s="75"/>
      <c r="K26" s="75"/>
      <c r="L26" s="75"/>
    </row>
    <row r="27" spans="1:14" s="62" customFormat="1">
      <c r="A27" s="216">
        <f t="shared" si="6"/>
        <v>17</v>
      </c>
      <c r="C27" s="215" t="s">
        <v>1576</v>
      </c>
      <c r="J27" s="75" t="s">
        <v>1618</v>
      </c>
      <c r="K27" s="75" t="s">
        <v>1669</v>
      </c>
      <c r="L27" s="75"/>
    </row>
    <row r="28" spans="1:14" s="62" customFormat="1">
      <c r="A28" s="216">
        <f t="shared" si="6"/>
        <v>18</v>
      </c>
      <c r="C28" s="1455" t="s">
        <v>1577</v>
      </c>
      <c r="G28" s="333">
        <f>IF($D$37="Y",L28,32519202.2)</f>
        <v>31433134.560597908</v>
      </c>
      <c r="J28" s="333">
        <f>IF($D$37="Y",32096384.03,32519202.2)</f>
        <v>32096384.030000001</v>
      </c>
      <c r="K28" s="75">
        <v>31433134.560597908</v>
      </c>
      <c r="L28" s="75">
        <f>IF(D38="Y",K28,J28)</f>
        <v>31433134.560597908</v>
      </c>
    </row>
    <row r="29" spans="1:14" s="62" customFormat="1">
      <c r="A29" s="216">
        <f t="shared" si="6"/>
        <v>19</v>
      </c>
      <c r="C29" s="1455" t="s">
        <v>1578</v>
      </c>
      <c r="G29" s="1672">
        <v>7.4333499999999997E-2</v>
      </c>
      <c r="J29" s="75"/>
      <c r="K29" s="75"/>
      <c r="L29" s="75"/>
    </row>
    <row r="30" spans="1:14" s="62" customFormat="1">
      <c r="A30" s="216">
        <f t="shared" si="6"/>
        <v>20</v>
      </c>
      <c r="C30" s="1455" t="s">
        <v>1579</v>
      </c>
      <c r="G30" s="361">
        <f>G28*G29</f>
        <v>2336534.9078602046</v>
      </c>
      <c r="J30" s="75"/>
      <c r="K30" s="75"/>
      <c r="L30" s="75"/>
    </row>
    <row r="31" spans="1:14" s="62" customFormat="1">
      <c r="A31" s="216">
        <f t="shared" si="6"/>
        <v>21</v>
      </c>
      <c r="C31" s="1455"/>
      <c r="J31" s="75"/>
      <c r="K31" s="75"/>
      <c r="L31" s="75"/>
    </row>
    <row r="32" spans="1:14" s="62" customFormat="1">
      <c r="A32" s="216">
        <f t="shared" si="6"/>
        <v>22</v>
      </c>
      <c r="C32" s="1455" t="s">
        <v>1580</v>
      </c>
      <c r="G32" s="1673">
        <v>2188560</v>
      </c>
      <c r="J32" s="75"/>
      <c r="K32" s="75"/>
      <c r="L32" s="75"/>
    </row>
    <row r="33" spans="1:12" s="62" customFormat="1">
      <c r="A33" s="216">
        <f t="shared" si="6"/>
        <v>23</v>
      </c>
      <c r="C33" s="1455" t="s">
        <v>475</v>
      </c>
      <c r="G33" s="244">
        <f>G30-G32</f>
        <v>147974.90786020458</v>
      </c>
      <c r="J33" s="75"/>
      <c r="K33" s="75"/>
      <c r="L33" s="75"/>
    </row>
    <row r="34" spans="1:12" s="62" customFormat="1">
      <c r="A34" s="216"/>
      <c r="C34" s="1455"/>
      <c r="J34" s="75"/>
      <c r="K34" s="75"/>
      <c r="L34" s="75"/>
    </row>
    <row r="35" spans="1:12">
      <c r="J35" s="75"/>
      <c r="K35" s="75"/>
      <c r="L35" s="75"/>
    </row>
    <row r="37" spans="1:12">
      <c r="C37" s="8" t="s">
        <v>1587</v>
      </c>
      <c r="D37" s="8" t="str">
        <f>'Stmt N'!AN1</f>
        <v>Y</v>
      </c>
      <c r="G37" s="1647"/>
    </row>
    <row r="38" spans="1:12">
      <c r="C38" s="8" t="s">
        <v>1669</v>
      </c>
      <c r="D38" t="str">
        <f>'MCC Testimony Table'!F34</f>
        <v>Y</v>
      </c>
    </row>
  </sheetData>
  <printOptions horizontalCentered="1"/>
  <pageMargins left="0.5" right="0.5" top="0.75" bottom="0.75" header="0.3" footer="0.3"/>
  <pageSetup scale="97" orientation="portrait"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6"/>
  <dimension ref="A1:W78"/>
  <sheetViews>
    <sheetView workbookViewId="0">
      <selection activeCell="R45" sqref="R45"/>
    </sheetView>
  </sheetViews>
  <sheetFormatPr defaultColWidth="9.33203125" defaultRowHeight="12.75"/>
  <cols>
    <col min="1" max="1" width="6.83203125" style="8" customWidth="1"/>
    <col min="2" max="3" width="3.33203125" style="8" customWidth="1"/>
    <col min="4" max="4" width="19.33203125" style="8" customWidth="1"/>
    <col min="5" max="5" width="4.6640625" style="8" customWidth="1"/>
    <col min="6" max="6" width="3.33203125" style="8" customWidth="1"/>
    <col min="7" max="7" width="21.33203125" style="8" customWidth="1"/>
    <col min="8" max="8" width="3.33203125" style="8" customWidth="1"/>
    <col min="9" max="9" width="20.83203125" style="8" customWidth="1"/>
    <col min="10" max="10" width="3.33203125" style="8" customWidth="1"/>
    <col min="11" max="11" width="19.33203125" style="8" customWidth="1"/>
    <col min="12" max="12" width="3.33203125" style="8" customWidth="1"/>
    <col min="13" max="13" width="20.33203125" style="8" customWidth="1"/>
    <col min="14" max="14" width="3.33203125" style="8" customWidth="1"/>
    <col min="15" max="15" width="16.6640625" style="8" bestFit="1" customWidth="1"/>
    <col min="16" max="16" width="3.33203125" style="8" customWidth="1"/>
    <col min="17" max="17" width="24.83203125" style="8" bestFit="1" customWidth="1"/>
    <col min="18" max="18" width="19" style="8" bestFit="1" customWidth="1"/>
    <col min="19" max="19" width="15.83203125" style="8" bestFit="1" customWidth="1"/>
    <col min="20" max="22" width="9.33203125" style="8"/>
    <col min="23" max="23" width="10.6640625" style="8" bestFit="1" customWidth="1"/>
    <col min="24" max="16384" width="9.33203125" style="8"/>
  </cols>
  <sheetData>
    <row r="1" spans="1:21" ht="12.75" customHeight="1">
      <c r="A1" s="69" t="str">
        <f>Company</f>
        <v>BLACK HILLS NEBRASKA GAS, LLC</v>
      </c>
      <c r="B1" s="85"/>
      <c r="C1" s="85"/>
      <c r="D1" s="85"/>
      <c r="E1" s="85"/>
      <c r="F1" s="85"/>
      <c r="G1" s="85"/>
      <c r="H1" s="85"/>
      <c r="I1" s="85"/>
      <c r="J1" s="85"/>
      <c r="K1" s="85"/>
      <c r="L1" s="85"/>
      <c r="M1" s="85"/>
      <c r="N1" s="85"/>
      <c r="O1" s="85"/>
      <c r="P1" s="85"/>
      <c r="Q1" s="615" t="s">
        <v>1321</v>
      </c>
    </row>
    <row r="2" spans="1:21" ht="12.75" customHeight="1">
      <c r="A2" s="30" t="s">
        <v>478</v>
      </c>
      <c r="B2" s="85"/>
      <c r="C2" s="85"/>
      <c r="D2" s="85"/>
      <c r="E2" s="85"/>
      <c r="F2" s="85"/>
      <c r="G2" s="85"/>
      <c r="H2" s="85"/>
      <c r="I2" s="474"/>
      <c r="J2" s="85"/>
      <c r="K2" s="471"/>
      <c r="L2" s="85"/>
      <c r="M2" s="85"/>
      <c r="N2" s="85"/>
      <c r="O2" s="662"/>
      <c r="P2" s="85"/>
      <c r="Q2" s="72" t="str">
        <f>Attach</f>
        <v>FINAL - BH January 15, 2021 Rev. Req. Model</v>
      </c>
    </row>
    <row r="3" spans="1:21" ht="12.75" customHeight="1">
      <c r="A3" s="70" t="str">
        <f>TYEnded</f>
        <v>FOR THE TEST YEAR ENDING DECEMBER 31, 2020</v>
      </c>
      <c r="B3" s="85"/>
      <c r="C3" s="85"/>
      <c r="D3" s="85"/>
      <c r="E3" s="85"/>
      <c r="F3" s="85"/>
      <c r="G3" s="85"/>
      <c r="H3" s="85"/>
      <c r="I3" s="474"/>
      <c r="J3" s="85"/>
      <c r="K3" s="85"/>
      <c r="L3" s="85"/>
      <c r="M3" s="85"/>
      <c r="N3" s="85"/>
      <c r="O3" s="663"/>
      <c r="P3" s="85"/>
      <c r="Q3" s="56" t="s">
        <v>398</v>
      </c>
      <c r="R3" s="23"/>
      <c r="S3" s="23"/>
    </row>
    <row r="4" spans="1:21">
      <c r="A4" s="1380"/>
      <c r="B4" s="5"/>
      <c r="C4" s="5"/>
      <c r="D4" s="5"/>
      <c r="E4" s="5"/>
      <c r="F4" s="5"/>
      <c r="G4" s="5"/>
      <c r="H4" s="5"/>
      <c r="I4" s="5"/>
      <c r="J4" s="5"/>
      <c r="K4" s="5"/>
      <c r="L4" s="5"/>
      <c r="M4" s="5"/>
      <c r="N4" s="5"/>
      <c r="O4" s="664"/>
      <c r="P4" s="5"/>
      <c r="Q4" s="56" t="s">
        <v>1060</v>
      </c>
      <c r="R4" s="496"/>
      <c r="S4" s="496"/>
    </row>
    <row r="5" spans="1:21">
      <c r="A5" s="1381"/>
      <c r="C5" s="1"/>
      <c r="D5" s="380"/>
      <c r="E5" s="380"/>
      <c r="F5" s="380"/>
      <c r="G5" s="380"/>
      <c r="H5" s="380"/>
      <c r="I5" s="65" t="s">
        <v>199</v>
      </c>
      <c r="J5" s="380"/>
      <c r="K5" s="65" t="s">
        <v>200</v>
      </c>
      <c r="L5" s="380"/>
      <c r="M5" s="65" t="s">
        <v>41</v>
      </c>
      <c r="N5" s="1"/>
      <c r="O5" s="65" t="s">
        <v>202</v>
      </c>
      <c r="P5" s="1"/>
      <c r="Q5" s="65" t="s">
        <v>203</v>
      </c>
      <c r="R5" s="496"/>
      <c r="S5" s="496"/>
    </row>
    <row r="6" spans="1:21">
      <c r="A6" s="1381"/>
      <c r="C6" s="1"/>
      <c r="D6" s="380"/>
      <c r="E6" s="380"/>
      <c r="F6" s="380"/>
      <c r="G6" s="380"/>
      <c r="H6" s="380"/>
      <c r="I6" s="65"/>
      <c r="J6" s="380"/>
      <c r="K6" s="65"/>
      <c r="L6" s="380"/>
      <c r="M6" s="65" t="s">
        <v>105</v>
      </c>
      <c r="N6" s="1"/>
      <c r="O6" s="65"/>
      <c r="P6" s="1"/>
      <c r="Q6" s="65" t="s">
        <v>298</v>
      </c>
      <c r="R6" s="496"/>
      <c r="S6" s="496"/>
    </row>
    <row r="7" spans="1:21">
      <c r="A7" s="1381"/>
      <c r="C7" s="1"/>
      <c r="D7" s="1"/>
      <c r="E7" s="1"/>
      <c r="F7" s="1"/>
      <c r="G7" s="1"/>
      <c r="H7" s="1"/>
      <c r="I7" s="5"/>
      <c r="J7" s="1"/>
      <c r="K7" s="1"/>
      <c r="L7" s="1"/>
      <c r="M7" s="1"/>
      <c r="N7" s="1"/>
      <c r="O7" s="38" t="s">
        <v>231</v>
      </c>
      <c r="P7" s="1"/>
      <c r="Q7" s="5" t="s">
        <v>212</v>
      </c>
      <c r="R7" s="496"/>
      <c r="S7" s="496"/>
    </row>
    <row r="8" spans="1:21">
      <c r="A8" s="5" t="s">
        <v>59</v>
      </c>
      <c r="B8" s="1"/>
      <c r="C8" s="1"/>
      <c r="D8" s="1"/>
      <c r="E8" s="1"/>
      <c r="F8" s="1"/>
      <c r="G8" s="1"/>
      <c r="H8" s="1"/>
      <c r="I8" s="5" t="s">
        <v>1053</v>
      </c>
      <c r="J8" s="1"/>
      <c r="K8" s="5" t="s">
        <v>813</v>
      </c>
      <c r="L8" s="1"/>
      <c r="M8" s="5" t="s">
        <v>212</v>
      </c>
      <c r="N8" s="1"/>
      <c r="O8" s="38" t="s">
        <v>232</v>
      </c>
      <c r="P8" s="1"/>
      <c r="Q8" s="5" t="s">
        <v>234</v>
      </c>
      <c r="R8" s="496"/>
      <c r="S8" s="496"/>
    </row>
    <row r="9" spans="1:21">
      <c r="A9" s="125" t="s">
        <v>195</v>
      </c>
      <c r="B9" s="365"/>
      <c r="C9" s="365" t="s">
        <v>196</v>
      </c>
      <c r="D9" s="365"/>
      <c r="E9" s="365"/>
      <c r="F9" s="1"/>
      <c r="G9" s="362" t="s">
        <v>285</v>
      </c>
      <c r="H9" s="1"/>
      <c r="I9" s="125" t="s">
        <v>94</v>
      </c>
      <c r="J9" s="1"/>
      <c r="K9" s="125" t="s">
        <v>14</v>
      </c>
      <c r="L9" s="1"/>
      <c r="M9" s="125" t="s">
        <v>229</v>
      </c>
      <c r="N9" s="1"/>
      <c r="O9" s="125" t="s">
        <v>233</v>
      </c>
      <c r="P9" s="1"/>
      <c r="Q9" s="125" t="s">
        <v>235</v>
      </c>
    </row>
    <row r="10" spans="1:21">
      <c r="A10" s="38"/>
      <c r="B10" s="13"/>
      <c r="C10" s="13"/>
      <c r="D10" s="13"/>
      <c r="E10" s="13"/>
      <c r="F10" s="1"/>
      <c r="G10" s="364"/>
      <c r="H10" s="1"/>
      <c r="I10" s="364"/>
      <c r="J10" s="20"/>
      <c r="K10" s="364"/>
      <c r="L10" s="20"/>
      <c r="M10" s="38"/>
      <c r="N10" s="1"/>
      <c r="O10" s="38"/>
      <c r="P10" s="1"/>
      <c r="Q10" s="38"/>
      <c r="R10" s="64"/>
      <c r="S10" s="64"/>
      <c r="T10" s="64"/>
      <c r="U10" s="64"/>
    </row>
    <row r="11" spans="1:21">
      <c r="A11" s="103">
        <v>1</v>
      </c>
      <c r="B11" s="1" t="s">
        <v>315</v>
      </c>
      <c r="G11" s="23"/>
      <c r="H11" s="23"/>
      <c r="I11" s="23"/>
      <c r="J11" s="23"/>
      <c r="K11" s="23"/>
      <c r="L11" s="23"/>
      <c r="M11" s="23"/>
      <c r="N11" s="23"/>
      <c r="O11" s="23"/>
      <c r="P11" s="23"/>
      <c r="Q11" s="23"/>
    </row>
    <row r="12" spans="1:21">
      <c r="A12" s="103">
        <v>2</v>
      </c>
      <c r="C12" s="8" t="s">
        <v>1065</v>
      </c>
      <c r="G12" s="23" t="s">
        <v>1308</v>
      </c>
      <c r="H12" s="23"/>
      <c r="I12" s="27">
        <f>'Stmt I '!E16</f>
        <v>190360412.12</v>
      </c>
      <c r="J12" s="27"/>
      <c r="K12" s="27">
        <f>SUM('Stmt I '!F16:S16)</f>
        <v>-74996294.518085882</v>
      </c>
      <c r="L12" s="27"/>
      <c r="M12" s="27">
        <f>ROUND(SUM(I12:L12),0)</f>
        <v>115364118</v>
      </c>
      <c r="N12" s="27"/>
      <c r="O12" s="27">
        <f ca="1">'Stmt N-X'!E27</f>
        <v>3972196.2673011278</v>
      </c>
      <c r="P12" s="27"/>
      <c r="Q12" s="27">
        <f ca="1">ROUND(SUM(M12:P12),0)</f>
        <v>119336314</v>
      </c>
    </row>
    <row r="13" spans="1:21">
      <c r="A13" s="103">
        <v>3</v>
      </c>
      <c r="C13" s="8" t="s">
        <v>1064</v>
      </c>
      <c r="G13" s="23" t="s">
        <v>1309</v>
      </c>
      <c r="H13" s="23"/>
      <c r="I13" s="54">
        <f>'Stmt I '!E23</f>
        <v>24263073.960000001</v>
      </c>
      <c r="J13" s="27"/>
      <c r="K13" s="54">
        <f>SUM('Stmt I '!F23:S23)</f>
        <v>1748792.9470000002</v>
      </c>
      <c r="L13" s="27"/>
      <c r="M13" s="54">
        <f>ROUND(SUM(I13:L13),0)</f>
        <v>26011867</v>
      </c>
      <c r="N13" s="27"/>
      <c r="O13" s="54">
        <v>0</v>
      </c>
      <c r="P13" s="54"/>
      <c r="Q13" s="54">
        <f>ROUND(SUM(M13:P13),0)</f>
        <v>26011867</v>
      </c>
      <c r="R13" s="23"/>
    </row>
    <row r="14" spans="1:21">
      <c r="A14" s="103">
        <f>A13+1</f>
        <v>4</v>
      </c>
      <c r="C14" s="23" t="s">
        <v>316</v>
      </c>
      <c r="D14" s="23"/>
      <c r="E14" s="23"/>
      <c r="F14" s="23"/>
      <c r="G14" s="23" t="s">
        <v>1310</v>
      </c>
      <c r="H14" s="23"/>
      <c r="I14" s="54">
        <f>'Stmt I '!E33</f>
        <v>4280727.1499999994</v>
      </c>
      <c r="J14" s="54"/>
      <c r="K14" s="54">
        <f>SUM('Stmt I '!F33:S33)</f>
        <v>1387235.6234283387</v>
      </c>
      <c r="L14" s="54"/>
      <c r="M14" s="54">
        <f>ROUND(SUM(I14:L14),0)</f>
        <v>5667963</v>
      </c>
      <c r="N14" s="54"/>
      <c r="O14" s="54">
        <v>0</v>
      </c>
      <c r="P14" s="54"/>
      <c r="Q14" s="54">
        <f>ROUND(SUM(M14:P14),0)</f>
        <v>5667963</v>
      </c>
      <c r="R14" s="64"/>
      <c r="S14" s="64"/>
      <c r="T14" s="461"/>
      <c r="U14" s="64"/>
    </row>
    <row r="15" spans="1:21">
      <c r="A15" s="103">
        <f t="shared" ref="A15:A37" si="0">A14+1</f>
        <v>5</v>
      </c>
      <c r="D15" s="8" t="s">
        <v>223</v>
      </c>
      <c r="G15" s="23"/>
      <c r="H15" s="23"/>
      <c r="I15" s="572">
        <f>ROUND(SUM(I12:I14),0)</f>
        <v>218904213</v>
      </c>
      <c r="J15" s="361"/>
      <c r="K15" s="572">
        <f>ROUND(SUM(K12:K14),0)</f>
        <v>-71860266</v>
      </c>
      <c r="L15" s="361"/>
      <c r="M15" s="572">
        <f>ROUND(SUM(M12:M14),0)</f>
        <v>147043948</v>
      </c>
      <c r="N15" s="361"/>
      <c r="O15" s="572">
        <f ca="1">ROUND(SUM(O12:O12),0)</f>
        <v>3972196</v>
      </c>
      <c r="P15" s="361"/>
      <c r="Q15" s="572">
        <f ca="1">ROUND(SUM(Q12:Q14),0)</f>
        <v>151016144</v>
      </c>
      <c r="R15" s="54"/>
      <c r="S15" s="54"/>
      <c r="T15" s="54"/>
      <c r="U15" s="54"/>
    </row>
    <row r="16" spans="1:21">
      <c r="A16" s="103">
        <f t="shared" si="0"/>
        <v>6</v>
      </c>
      <c r="G16" s="23"/>
      <c r="H16" s="23"/>
      <c r="I16" s="54"/>
      <c r="J16" s="54"/>
      <c r="K16" s="54"/>
      <c r="L16" s="54"/>
      <c r="M16" s="119"/>
      <c r="N16" s="54"/>
      <c r="O16" s="143"/>
      <c r="P16" s="54"/>
      <c r="Q16" s="54"/>
      <c r="R16" s="54"/>
      <c r="S16" s="54"/>
      <c r="T16" s="54"/>
      <c r="U16" s="54"/>
    </row>
    <row r="17" spans="1:23">
      <c r="A17" s="103">
        <f t="shared" si="0"/>
        <v>7</v>
      </c>
      <c r="B17" s="1" t="s">
        <v>224</v>
      </c>
      <c r="G17" s="23"/>
      <c r="H17" s="23"/>
      <c r="I17" s="54"/>
      <c r="J17" s="54"/>
      <c r="K17" s="54"/>
      <c r="L17" s="54"/>
      <c r="M17" s="54"/>
      <c r="N17" s="54"/>
      <c r="O17" s="54"/>
      <c r="P17" s="54"/>
      <c r="Q17" s="54"/>
      <c r="S17" s="54"/>
      <c r="T17" s="54"/>
      <c r="U17" s="54"/>
    </row>
    <row r="18" spans="1:23">
      <c r="A18" s="103">
        <f t="shared" si="0"/>
        <v>8</v>
      </c>
      <c r="C18" s="8" t="s">
        <v>83</v>
      </c>
      <c r="G18" s="23" t="s">
        <v>1075</v>
      </c>
      <c r="H18" s="23"/>
      <c r="I18" s="144">
        <f>+'Stmt H'!F173</f>
        <v>143067314</v>
      </c>
      <c r="J18" s="54"/>
      <c r="K18" s="144">
        <f ca="1">'Stmt H'!T173</f>
        <v>-69805444</v>
      </c>
      <c r="L18" s="54"/>
      <c r="M18" s="144">
        <f ca="1">ROUND(SUM(I18:L18),0)</f>
        <v>73261870</v>
      </c>
      <c r="N18" s="54"/>
      <c r="O18" s="144">
        <v>0</v>
      </c>
      <c r="P18" s="54"/>
      <c r="Q18" s="144">
        <f ca="1">ROUND(SUM(M18:P18),0)</f>
        <v>73261870</v>
      </c>
      <c r="S18" s="54"/>
      <c r="T18" s="54"/>
      <c r="U18" s="54"/>
    </row>
    <row r="19" spans="1:23">
      <c r="A19" s="103">
        <f t="shared" si="0"/>
        <v>9</v>
      </c>
      <c r="C19" s="8" t="s">
        <v>84</v>
      </c>
      <c r="G19" s="23" t="s">
        <v>1311</v>
      </c>
      <c r="H19" s="23"/>
      <c r="I19" s="54">
        <f>+'Stmt J'!K30</f>
        <v>24036686.740000002</v>
      </c>
      <c r="J19" s="54"/>
      <c r="K19" s="54">
        <f>+'Stmt J'!M30</f>
        <v>-2351573.3153526452</v>
      </c>
      <c r="L19" s="54"/>
      <c r="M19" s="54">
        <f>ROUND(SUM(I19:L19),0)</f>
        <v>21685113</v>
      </c>
      <c r="N19" s="54"/>
      <c r="O19" s="54">
        <v>0</v>
      </c>
      <c r="P19" s="54"/>
      <c r="Q19" s="54">
        <f>ROUND(SUM(M19:P19),0)</f>
        <v>21685113</v>
      </c>
      <c r="S19" s="54"/>
      <c r="T19" s="54"/>
      <c r="U19" s="54"/>
    </row>
    <row r="20" spans="1:23" ht="12" customHeight="1">
      <c r="A20" s="103">
        <f t="shared" si="0"/>
        <v>10</v>
      </c>
      <c r="C20" s="8" t="s">
        <v>76</v>
      </c>
      <c r="G20" s="23" t="s">
        <v>649</v>
      </c>
      <c r="H20" s="23"/>
      <c r="I20" s="54">
        <f>+'Stmt L'!G53</f>
        <v>5875852.5499999989</v>
      </c>
      <c r="J20" s="54"/>
      <c r="K20" s="54">
        <f>+'Stmt L'!G55+'Stmt L'!G54</f>
        <v>1169583.8677288778</v>
      </c>
      <c r="L20" s="54"/>
      <c r="M20" s="54">
        <f>ROUND(SUM(I20:L20),0)</f>
        <v>7045436</v>
      </c>
      <c r="N20" s="54"/>
      <c r="O20" s="54">
        <v>0</v>
      </c>
      <c r="P20" s="54"/>
      <c r="Q20" s="54">
        <f>ROUND(SUM(M20:P20),0)</f>
        <v>7045436</v>
      </c>
      <c r="S20" s="54"/>
      <c r="T20" s="54"/>
      <c r="U20" s="54"/>
    </row>
    <row r="21" spans="1:23">
      <c r="A21" s="103">
        <f t="shared" si="0"/>
        <v>11</v>
      </c>
      <c r="D21" s="8" t="s">
        <v>77</v>
      </c>
      <c r="G21" s="23"/>
      <c r="H21" s="23"/>
      <c r="I21" s="611">
        <f>ROUND(SUM(I18:I20),0)</f>
        <v>172979853</v>
      </c>
      <c r="J21" s="361"/>
      <c r="K21" s="611">
        <f ca="1">ROUND(SUM(K18:K20),0)</f>
        <v>-70987433</v>
      </c>
      <c r="L21" s="361"/>
      <c r="M21" s="611">
        <f ca="1">ROUND(SUM(M18:M20),0)</f>
        <v>101992419</v>
      </c>
      <c r="N21" s="361"/>
      <c r="O21" s="611">
        <f>ROUND(SUM(O18:O20),0)</f>
        <v>0</v>
      </c>
      <c r="P21" s="361"/>
      <c r="Q21" s="611">
        <f ca="1">ROUND(SUM(Q18:Q20),0)</f>
        <v>101992419</v>
      </c>
      <c r="S21" s="54"/>
      <c r="T21" s="119"/>
      <c r="U21" s="119"/>
      <c r="V21" s="119"/>
      <c r="W21" s="119"/>
    </row>
    <row r="22" spans="1:23">
      <c r="A22" s="103">
        <f t="shared" si="0"/>
        <v>12</v>
      </c>
      <c r="G22" s="23"/>
      <c r="H22" s="23"/>
      <c r="I22" s="54"/>
      <c r="J22" s="54"/>
      <c r="K22" s="54"/>
      <c r="L22" s="54"/>
      <c r="M22" s="54"/>
      <c r="N22" s="54"/>
      <c r="O22" s="54"/>
      <c r="P22" s="54"/>
      <c r="Q22" s="54"/>
      <c r="S22" s="54"/>
      <c r="T22" s="119"/>
      <c r="U22" s="119"/>
      <c r="V22" s="119"/>
      <c r="W22" s="119"/>
    </row>
    <row r="23" spans="1:23">
      <c r="A23" s="103">
        <f t="shared" si="0"/>
        <v>13</v>
      </c>
      <c r="B23" s="1" t="s">
        <v>78</v>
      </c>
      <c r="G23" s="23" t="s">
        <v>1076</v>
      </c>
      <c r="H23" s="23"/>
      <c r="I23" s="361">
        <f>ROUND(+I15-I21,0)</f>
        <v>45924360</v>
      </c>
      <c r="J23" s="361"/>
      <c r="K23" s="361">
        <f ca="1">ROUND(+K15-K21,0)</f>
        <v>-872833</v>
      </c>
      <c r="L23" s="361"/>
      <c r="M23" s="361">
        <f ca="1">ROUND(+M15-M21,0)</f>
        <v>45051529</v>
      </c>
      <c r="N23" s="361"/>
      <c r="O23" s="361">
        <f ca="1">ROUND(+O15-O21,0)</f>
        <v>3972196</v>
      </c>
      <c r="P23" s="361"/>
      <c r="Q23" s="361">
        <f ca="1">ROUND(+Q15-Q21,0)</f>
        <v>49023725</v>
      </c>
      <c r="R23" s="1744"/>
      <c r="S23" s="54"/>
      <c r="T23" s="119"/>
      <c r="U23" s="119"/>
      <c r="V23" s="119"/>
      <c r="W23" s="119"/>
    </row>
    <row r="24" spans="1:23">
      <c r="A24" s="103">
        <f t="shared" si="0"/>
        <v>14</v>
      </c>
      <c r="B24" s="1"/>
      <c r="G24" s="23"/>
      <c r="H24" s="23"/>
      <c r="I24" s="211"/>
      <c r="J24" s="54"/>
      <c r="K24" s="54"/>
      <c r="L24" s="54"/>
      <c r="M24" s="54"/>
      <c r="N24" s="54"/>
      <c r="O24" s="54"/>
      <c r="P24" s="54"/>
      <c r="Q24" s="54"/>
      <c r="R24" s="1744"/>
      <c r="S24" s="54"/>
      <c r="T24" s="119"/>
      <c r="U24" s="119"/>
      <c r="V24" s="119"/>
      <c r="W24" s="119"/>
    </row>
    <row r="25" spans="1:23">
      <c r="A25" s="103">
        <f t="shared" si="0"/>
        <v>15</v>
      </c>
      <c r="C25" s="8" t="s">
        <v>634</v>
      </c>
      <c r="G25" s="23" t="s">
        <v>1312</v>
      </c>
      <c r="H25" s="23"/>
      <c r="I25" s="54">
        <f ca="1">'Stmt K'!E78</f>
        <v>9574528.7595300004</v>
      </c>
      <c r="J25" s="54"/>
      <c r="K25" s="54">
        <f ca="1">'Stmt K'!G78</f>
        <v>-957235.22148899944</v>
      </c>
      <c r="L25" s="54"/>
      <c r="M25" s="54">
        <f ca="1">ROUND(SUM(I25:K25),0)</f>
        <v>8617294</v>
      </c>
      <c r="N25" s="54"/>
      <c r="O25" s="54">
        <f ca="1">ROUND(O23*COMPRATE,0)</f>
        <v>1079242</v>
      </c>
      <c r="P25" s="54"/>
      <c r="Q25" s="54">
        <f ca="1">ROUND(SUM(M25:P25),0)</f>
        <v>9696536</v>
      </c>
      <c r="R25" s="1744"/>
      <c r="S25" s="54"/>
      <c r="T25" s="54"/>
      <c r="U25" s="54"/>
    </row>
    <row r="26" spans="1:23">
      <c r="A26" s="103">
        <f t="shared" si="0"/>
        <v>16</v>
      </c>
      <c r="G26" s="23"/>
      <c r="H26" s="23"/>
      <c r="I26" s="54"/>
      <c r="J26" s="54"/>
      <c r="K26" s="54"/>
      <c r="L26" s="54"/>
      <c r="M26" s="54"/>
      <c r="N26" s="54"/>
      <c r="O26" s="54"/>
      <c r="P26" s="54"/>
      <c r="Q26" s="54"/>
      <c r="S26" s="54"/>
      <c r="T26" s="54"/>
      <c r="U26" s="54"/>
      <c r="V26" s="23"/>
      <c r="W26" s="212"/>
    </row>
    <row r="27" spans="1:23" ht="13.5" thickBot="1">
      <c r="A27" s="103">
        <f t="shared" si="0"/>
        <v>17</v>
      </c>
      <c r="B27" s="1" t="s">
        <v>15</v>
      </c>
      <c r="G27" s="23" t="s">
        <v>1073</v>
      </c>
      <c r="H27" s="23"/>
      <c r="I27" s="1416">
        <f ca="1">ROUND(+I23-I25,0)</f>
        <v>36349831</v>
      </c>
      <c r="J27" s="54"/>
      <c r="K27" s="54"/>
      <c r="L27" s="54"/>
      <c r="M27" s="1416">
        <f ca="1">ROUND(+M23-M25,0)</f>
        <v>36434235</v>
      </c>
      <c r="N27" s="54"/>
      <c r="O27" s="54"/>
      <c r="P27" s="54"/>
      <c r="Q27" s="1416">
        <f ca="1">ROUND(+Q23-Q25,0)</f>
        <v>39327189</v>
      </c>
      <c r="R27" s="1744"/>
      <c r="S27" s="54"/>
      <c r="T27" s="211"/>
      <c r="U27" s="54"/>
    </row>
    <row r="28" spans="1:23" ht="13.5" thickTop="1">
      <c r="A28" s="103">
        <f t="shared" si="0"/>
        <v>18</v>
      </c>
      <c r="B28" s="1"/>
      <c r="G28" s="23"/>
      <c r="H28" s="23"/>
      <c r="I28" s="54"/>
      <c r="J28" s="54"/>
      <c r="K28" s="54"/>
      <c r="L28" s="54"/>
      <c r="M28" s="54"/>
      <c r="N28" s="54"/>
      <c r="O28" s="54"/>
      <c r="P28" s="54"/>
      <c r="Q28" s="54"/>
      <c r="R28" s="1744"/>
      <c r="S28" s="54"/>
      <c r="T28" s="54"/>
      <c r="U28" s="54"/>
    </row>
    <row r="29" spans="1:23" ht="13.5" thickBot="1">
      <c r="A29" s="103">
        <f t="shared" si="0"/>
        <v>19</v>
      </c>
      <c r="B29" s="1" t="s">
        <v>16</v>
      </c>
      <c r="G29" s="104" t="s">
        <v>1074</v>
      </c>
      <c r="H29" s="23"/>
      <c r="I29" s="1417">
        <f ca="1">I27/I37</f>
        <v>6.9123540560186894E-2</v>
      </c>
      <c r="J29" s="26"/>
      <c r="K29" s="26"/>
      <c r="L29" s="26"/>
      <c r="M29" s="1417">
        <f ca="1">M27/M37</f>
        <v>6.2164045100012173E-2</v>
      </c>
      <c r="N29" s="54"/>
      <c r="O29" s="54"/>
      <c r="P29" s="54"/>
      <c r="Q29" s="1417">
        <f ca="1">Q27/Q37</f>
        <v>6.7099999510150346E-2</v>
      </c>
      <c r="S29" s="54"/>
      <c r="T29" s="54"/>
      <c r="U29" s="54"/>
    </row>
    <row r="30" spans="1:23" ht="13.5" thickTop="1">
      <c r="A30" s="103">
        <f t="shared" si="0"/>
        <v>20</v>
      </c>
      <c r="B30" s="1"/>
      <c r="G30" s="23"/>
      <c r="H30" s="23"/>
      <c r="I30" s="54"/>
      <c r="J30" s="54"/>
      <c r="K30" s="54"/>
      <c r="L30" s="54"/>
      <c r="M30" s="54"/>
      <c r="N30" s="54"/>
      <c r="O30" s="54"/>
      <c r="P30" s="54"/>
      <c r="Q30" s="54"/>
      <c r="S30" s="135"/>
      <c r="T30" s="54"/>
      <c r="U30" s="54"/>
    </row>
    <row r="31" spans="1:23">
      <c r="A31" s="103">
        <f t="shared" si="0"/>
        <v>21</v>
      </c>
      <c r="B31" s="1" t="s">
        <v>253</v>
      </c>
      <c r="G31" s="23"/>
      <c r="H31" s="23"/>
      <c r="I31" s="54"/>
      <c r="J31" s="54"/>
      <c r="K31" s="54"/>
      <c r="L31" s="54"/>
      <c r="M31" s="54"/>
      <c r="N31" s="54"/>
      <c r="O31" s="54"/>
      <c r="P31" s="54"/>
      <c r="Q31" s="54"/>
      <c r="S31" s="54"/>
      <c r="T31" s="54"/>
      <c r="U31" s="54"/>
    </row>
    <row r="32" spans="1:23" ht="12.75" customHeight="1">
      <c r="A32" s="103">
        <f t="shared" si="0"/>
        <v>22</v>
      </c>
      <c r="C32" s="8" t="s">
        <v>254</v>
      </c>
      <c r="G32" s="23" t="s">
        <v>852</v>
      </c>
      <c r="H32" s="23"/>
      <c r="I32" s="144">
        <f>'Stmt D'!J30</f>
        <v>856329951</v>
      </c>
      <c r="J32" s="54"/>
      <c r="K32" s="144">
        <f>M32-I32</f>
        <v>80610631</v>
      </c>
      <c r="L32" s="1403"/>
      <c r="M32" s="144">
        <f>'Stmt D'!N30</f>
        <v>936940582</v>
      </c>
      <c r="N32" s="54"/>
      <c r="O32" s="144">
        <v>0</v>
      </c>
      <c r="P32" s="54"/>
      <c r="Q32" s="144">
        <f>ROUND(SUM(M32:P32),0)</f>
        <v>936940582</v>
      </c>
      <c r="S32" s="54"/>
      <c r="T32" s="54"/>
      <c r="U32" s="54"/>
    </row>
    <row r="33" spans="1:21">
      <c r="A33" s="103">
        <f t="shared" si="0"/>
        <v>23</v>
      </c>
      <c r="C33" s="8" t="s">
        <v>255</v>
      </c>
      <c r="G33" s="23" t="s">
        <v>1313</v>
      </c>
      <c r="H33" s="23"/>
      <c r="I33" s="54">
        <f>-'Stmt E'!E31</f>
        <v>-285893862</v>
      </c>
      <c r="J33" s="54"/>
      <c r="K33" s="54">
        <f>M33-I33</f>
        <v>-2536678</v>
      </c>
      <c r="L33" s="1403"/>
      <c r="M33" s="54">
        <f>-'Stmt E'!J31</f>
        <v>-288430540</v>
      </c>
      <c r="N33" s="54"/>
      <c r="O33" s="54">
        <v>0</v>
      </c>
      <c r="P33" s="54"/>
      <c r="Q33" s="54">
        <f>ROUND(SUM(M33:P33),0)</f>
        <v>-288430540</v>
      </c>
      <c r="S33" s="54"/>
      <c r="T33" s="54"/>
      <c r="U33" s="54"/>
    </row>
    <row r="34" spans="1:21">
      <c r="A34" s="103">
        <f t="shared" si="0"/>
        <v>24</v>
      </c>
      <c r="C34" s="8" t="s">
        <v>256</v>
      </c>
      <c r="G34" s="23" t="s">
        <v>1368</v>
      </c>
      <c r="H34" s="23"/>
      <c r="I34" s="54">
        <f ca="1">+'Stmt F'!F17</f>
        <v>4210255</v>
      </c>
      <c r="J34" s="54"/>
      <c r="K34" s="54">
        <f ca="1">'Stmt F'!H17+'Stmt F'!J17</f>
        <v>-994062</v>
      </c>
      <c r="L34" s="1403"/>
      <c r="M34" s="54">
        <f ca="1">ROUND(SUM(I34:K34),0)</f>
        <v>3216193</v>
      </c>
      <c r="N34" s="54"/>
      <c r="O34" s="54">
        <v>0</v>
      </c>
      <c r="P34" s="54"/>
      <c r="Q34" s="54">
        <f ca="1">ROUND(SUM(M34:P34),0)</f>
        <v>3216193</v>
      </c>
      <c r="S34" s="54"/>
      <c r="T34" s="54"/>
      <c r="U34" s="54"/>
    </row>
    <row r="35" spans="1:21">
      <c r="A35" s="103">
        <f t="shared" si="0"/>
        <v>25</v>
      </c>
      <c r="C35" s="8" t="s">
        <v>386</v>
      </c>
      <c r="G35" s="23" t="s">
        <v>1314</v>
      </c>
      <c r="H35" s="23"/>
      <c r="I35" s="63">
        <f>'Sched M-1'!G74</f>
        <v>-48778735.358000003</v>
      </c>
      <c r="J35" s="54"/>
      <c r="K35" s="63">
        <f ca="1">'Sched M-1'!I74</f>
        <v>-16849298.302307487</v>
      </c>
      <c r="L35" s="1403"/>
      <c r="M35" s="63">
        <f ca="1">ROUND(SUM(I35:K35),0)</f>
        <v>-65628034</v>
      </c>
      <c r="N35" s="54"/>
      <c r="O35" s="63">
        <v>0</v>
      </c>
      <c r="P35" s="54"/>
      <c r="Q35" s="63">
        <f ca="1">ROUND(SUM(M35:P35),0)</f>
        <v>-65628034</v>
      </c>
      <c r="R35" s="54"/>
      <c r="S35" s="54"/>
      <c r="T35" s="54"/>
      <c r="U35" s="54"/>
    </row>
    <row r="36" spans="1:21">
      <c r="A36" s="103">
        <f t="shared" si="0"/>
        <v>26</v>
      </c>
      <c r="G36" s="23"/>
      <c r="H36" s="23"/>
      <c r="I36" s="54"/>
      <c r="J36" s="54"/>
      <c r="K36" s="54"/>
      <c r="L36" s="54"/>
      <c r="M36" s="54"/>
      <c r="N36" s="54"/>
      <c r="O36" s="54"/>
      <c r="P36" s="54"/>
      <c r="Q36" s="54"/>
      <c r="S36" s="54"/>
      <c r="T36" s="54"/>
      <c r="U36" s="54"/>
    </row>
    <row r="37" spans="1:21" ht="13.5" thickBot="1">
      <c r="A37" s="103">
        <f t="shared" si="0"/>
        <v>27</v>
      </c>
      <c r="B37" s="1" t="s">
        <v>9</v>
      </c>
      <c r="G37" s="23"/>
      <c r="H37" s="23"/>
      <c r="I37" s="1416">
        <f ca="1">ROUND(SUM(I32:I35),0)</f>
        <v>525867609</v>
      </c>
      <c r="J37" s="54"/>
      <c r="K37" s="1416">
        <f ca="1">ROUND(SUM(K32:K35),0)</f>
        <v>60230593</v>
      </c>
      <c r="L37" s="54"/>
      <c r="M37" s="1416">
        <f ca="1">ROUND(SUM(M32:M35),0)</f>
        <v>586098201</v>
      </c>
      <c r="N37" s="54"/>
      <c r="O37" s="134">
        <f>ROUND(SUM(O32:O35),0)</f>
        <v>0</v>
      </c>
      <c r="P37" s="54"/>
      <c r="Q37" s="1416">
        <f ca="1">ROUND(SUM(Q32:Q35),0)</f>
        <v>586098201</v>
      </c>
      <c r="R37" s="54"/>
      <c r="S37" s="54"/>
      <c r="T37" s="54"/>
      <c r="U37" s="54"/>
    </row>
    <row r="38" spans="1:21" ht="13.5" thickTop="1">
      <c r="A38" s="7"/>
      <c r="I38" s="54"/>
      <c r="J38" s="54"/>
      <c r="K38" s="54"/>
      <c r="L38" s="54"/>
      <c r="M38" s="54"/>
      <c r="N38" s="54"/>
      <c r="O38" s="54"/>
      <c r="P38" s="54"/>
      <c r="Q38" s="54"/>
      <c r="R38" s="54"/>
      <c r="S38" s="54"/>
      <c r="T38" s="54"/>
      <c r="U38" s="54"/>
    </row>
    <row r="39" spans="1:21">
      <c r="A39" s="7"/>
      <c r="I39" s="361"/>
      <c r="J39" s="54"/>
      <c r="K39" s="54"/>
      <c r="L39" s="54"/>
      <c r="M39" s="54"/>
      <c r="N39" s="54"/>
      <c r="O39" s="54"/>
      <c r="P39" s="54"/>
      <c r="Q39" s="361"/>
      <c r="R39" s="54"/>
      <c r="S39" s="54"/>
      <c r="T39" s="54"/>
      <c r="U39" s="54"/>
    </row>
    <row r="40" spans="1:21">
      <c r="A40" s="1129" t="str">
        <f>Company</f>
        <v>BLACK HILLS NEBRASKA GAS, LLC</v>
      </c>
      <c r="B40" s="1130"/>
      <c r="C40" s="1130"/>
      <c r="D40" s="1130"/>
      <c r="E40" s="1130"/>
      <c r="F40" s="1130"/>
      <c r="G40" s="1130"/>
      <c r="H40" s="1130"/>
      <c r="I40" s="1130"/>
      <c r="J40" s="1130"/>
      <c r="K40" s="1130"/>
      <c r="L40" s="1130"/>
      <c r="M40" s="1130"/>
      <c r="N40" s="1130"/>
      <c r="O40" s="1130"/>
      <c r="P40" s="1130"/>
      <c r="Q40" s="1131" t="s">
        <v>1320</v>
      </c>
      <c r="R40" s="54"/>
      <c r="S40" s="54"/>
      <c r="T40" s="54"/>
      <c r="U40" s="54"/>
    </row>
    <row r="41" spans="1:21">
      <c r="A41" s="1132" t="s">
        <v>1056</v>
      </c>
      <c r="B41" s="1130"/>
      <c r="C41" s="1130"/>
      <c r="D41" s="1130"/>
      <c r="E41" s="1130"/>
      <c r="F41" s="1130"/>
      <c r="G41" s="1130"/>
      <c r="H41" s="1130"/>
      <c r="I41" s="1133"/>
      <c r="J41" s="1130"/>
      <c r="K41" s="1134"/>
      <c r="L41" s="1130"/>
      <c r="M41" s="1130"/>
      <c r="N41" s="1130"/>
      <c r="O41" s="1135"/>
      <c r="P41" s="1130"/>
      <c r="Q41" s="1131" t="str">
        <f>Attach</f>
        <v>FINAL - BH January 15, 2021 Rev. Req. Model</v>
      </c>
      <c r="R41" s="54"/>
      <c r="S41" s="54"/>
      <c r="T41" s="54"/>
      <c r="U41" s="54"/>
    </row>
    <row r="42" spans="1:21">
      <c r="A42" s="1137" t="str">
        <f>TYEnded</f>
        <v>FOR THE TEST YEAR ENDING DECEMBER 31, 2020</v>
      </c>
      <c r="B42" s="1130"/>
      <c r="C42" s="1130"/>
      <c r="D42" s="1130"/>
      <c r="E42" s="1130"/>
      <c r="F42" s="1130"/>
      <c r="G42" s="1130"/>
      <c r="H42" s="1130"/>
      <c r="I42" s="1133"/>
      <c r="J42" s="1130"/>
      <c r="K42" s="1130"/>
      <c r="L42" s="1130"/>
      <c r="M42" s="1130"/>
      <c r="N42" s="1130"/>
      <c r="O42" s="1138"/>
      <c r="P42" s="1130"/>
      <c r="Q42" s="1136" t="s">
        <v>398</v>
      </c>
      <c r="R42" s="54"/>
      <c r="S42" s="54"/>
      <c r="T42" s="54"/>
      <c r="U42" s="54"/>
    </row>
    <row r="43" spans="1:21">
      <c r="A43" s="1139"/>
      <c r="B43" s="1139"/>
      <c r="C43" s="1139"/>
      <c r="D43" s="1139"/>
      <c r="E43" s="1139"/>
      <c r="F43" s="1139"/>
      <c r="G43" s="1139"/>
      <c r="H43" s="1139"/>
      <c r="I43" s="1139"/>
      <c r="J43" s="1139"/>
      <c r="K43" s="1139"/>
      <c r="L43" s="1139"/>
      <c r="M43" s="1139"/>
      <c r="N43" s="1139"/>
      <c r="O43" s="1140"/>
      <c r="P43" s="1139"/>
      <c r="Q43" s="1136" t="s">
        <v>1061</v>
      </c>
      <c r="R43" s="54"/>
      <c r="S43" s="54"/>
      <c r="T43" s="54"/>
      <c r="U43" s="54"/>
    </row>
    <row r="44" spans="1:21">
      <c r="A44" s="1141"/>
      <c r="B44" s="1141"/>
      <c r="C44" s="1141"/>
      <c r="D44" s="1142"/>
      <c r="E44" s="1142"/>
      <c r="F44" s="1142"/>
      <c r="G44" s="1142"/>
      <c r="H44" s="1142"/>
      <c r="I44" s="1143" t="s">
        <v>199</v>
      </c>
      <c r="J44" s="1142"/>
      <c r="K44" s="1143" t="s">
        <v>200</v>
      </c>
      <c r="L44" s="1142"/>
      <c r="M44" s="1143" t="s">
        <v>41</v>
      </c>
      <c r="N44" s="1141"/>
      <c r="O44" s="1143" t="s">
        <v>202</v>
      </c>
      <c r="P44" s="1141"/>
      <c r="Q44" s="1143" t="s">
        <v>203</v>
      </c>
      <c r="R44" s="54"/>
      <c r="S44" s="54"/>
      <c r="T44" s="54"/>
      <c r="U44" s="54"/>
    </row>
    <row r="45" spans="1:21">
      <c r="A45" s="1141"/>
      <c r="B45" s="1141"/>
      <c r="C45" s="1141"/>
      <c r="D45" s="1142"/>
      <c r="E45" s="1142"/>
      <c r="F45" s="1142"/>
      <c r="G45" s="1142"/>
      <c r="H45" s="1142"/>
      <c r="I45" s="1143"/>
      <c r="J45" s="1142"/>
      <c r="K45" s="1143"/>
      <c r="L45" s="1142"/>
      <c r="M45" s="1143" t="s">
        <v>105</v>
      </c>
      <c r="N45" s="1141"/>
      <c r="O45" s="1143"/>
      <c r="P45" s="1141"/>
      <c r="Q45" s="1143" t="s">
        <v>298</v>
      </c>
      <c r="R45" s="54"/>
      <c r="S45" s="54"/>
      <c r="T45" s="54"/>
      <c r="U45" s="54"/>
    </row>
    <row r="46" spans="1:21">
      <c r="A46" s="1141"/>
      <c r="B46" s="1141"/>
      <c r="C46" s="1141"/>
      <c r="D46" s="1141"/>
      <c r="E46" s="1141"/>
      <c r="F46" s="1141"/>
      <c r="G46" s="1141"/>
      <c r="H46" s="1141"/>
      <c r="I46" s="1139"/>
      <c r="J46" s="1141"/>
      <c r="K46" s="1141"/>
      <c r="L46" s="1141"/>
      <c r="M46" s="1141"/>
      <c r="N46" s="1141"/>
      <c r="O46" s="1144" t="s">
        <v>231</v>
      </c>
      <c r="P46" s="1141"/>
      <c r="Q46" s="1139" t="s">
        <v>212</v>
      </c>
    </row>
    <row r="47" spans="1:21">
      <c r="A47" s="1139" t="s">
        <v>59</v>
      </c>
      <c r="B47" s="1141"/>
      <c r="C47" s="1141"/>
      <c r="D47" s="1141"/>
      <c r="E47" s="1141"/>
      <c r="F47" s="1141"/>
      <c r="G47" s="1141"/>
      <c r="H47" s="1141"/>
      <c r="I47" s="1139" t="s">
        <v>1053</v>
      </c>
      <c r="J47" s="1141"/>
      <c r="K47" s="1139" t="s">
        <v>813</v>
      </c>
      <c r="L47" s="1141"/>
      <c r="M47" s="1139" t="s">
        <v>212</v>
      </c>
      <c r="N47" s="1141"/>
      <c r="O47" s="1144" t="s">
        <v>232</v>
      </c>
      <c r="P47" s="1141"/>
      <c r="Q47" s="1139" t="s">
        <v>234</v>
      </c>
    </row>
    <row r="48" spans="1:21">
      <c r="A48" s="1145" t="s">
        <v>195</v>
      </c>
      <c r="B48" s="1146"/>
      <c r="C48" s="1146" t="s">
        <v>196</v>
      </c>
      <c r="D48" s="1146"/>
      <c r="E48" s="1146"/>
      <c r="F48" s="1141"/>
      <c r="G48" s="1145" t="s">
        <v>285</v>
      </c>
      <c r="H48" s="1141"/>
      <c r="I48" s="1145" t="s">
        <v>94</v>
      </c>
      <c r="J48" s="1141"/>
      <c r="K48" s="1145" t="s">
        <v>14</v>
      </c>
      <c r="L48" s="1141"/>
      <c r="M48" s="1145" t="s">
        <v>229</v>
      </c>
      <c r="N48" s="1141"/>
      <c r="O48" s="1145" t="s">
        <v>233</v>
      </c>
      <c r="P48" s="1141"/>
      <c r="Q48" s="1145" t="s">
        <v>235</v>
      </c>
    </row>
    <row r="49" spans="1:17">
      <c r="A49" s="1144"/>
      <c r="B49" s="1147"/>
      <c r="C49" s="1147"/>
      <c r="D49" s="1147"/>
      <c r="E49" s="1147"/>
      <c r="F49" s="1141"/>
      <c r="G49" s="1144"/>
      <c r="H49" s="1141"/>
      <c r="I49" s="1144"/>
      <c r="J49" s="1141"/>
      <c r="K49" s="1144"/>
      <c r="L49" s="1141"/>
      <c r="M49" s="1144"/>
      <c r="N49" s="1141"/>
      <c r="O49" s="1144"/>
      <c r="P49" s="1141"/>
      <c r="Q49" s="1144"/>
    </row>
    <row r="50" spans="1:17">
      <c r="A50" s="1148">
        <v>1</v>
      </c>
      <c r="B50" s="1141" t="s">
        <v>315</v>
      </c>
      <c r="C50" s="1149"/>
      <c r="D50" s="1149"/>
      <c r="E50" s="1149"/>
      <c r="F50" s="1149"/>
      <c r="G50" s="1149"/>
      <c r="H50" s="1149"/>
      <c r="I50" s="1149"/>
      <c r="J50" s="1149"/>
      <c r="K50" s="1149"/>
      <c r="L50" s="1149"/>
      <c r="M50" s="1149"/>
      <c r="N50" s="1149"/>
      <c r="O50" s="1149"/>
      <c r="P50" s="1149"/>
      <c r="Q50" s="1149"/>
    </row>
    <row r="51" spans="1:17">
      <c r="A51" s="1148">
        <v>2</v>
      </c>
      <c r="B51" s="1149"/>
      <c r="C51" s="1598" t="s">
        <v>1065</v>
      </c>
      <c r="D51" s="1598"/>
      <c r="E51" s="1149"/>
      <c r="F51" s="1149"/>
      <c r="G51" s="1149" t="s">
        <v>1360</v>
      </c>
      <c r="H51" s="1149"/>
      <c r="I51" s="1411">
        <f>'Stmt N'!N297</f>
        <v>175134759.7986469</v>
      </c>
      <c r="J51" s="1150"/>
      <c r="K51" s="1150">
        <f>M51-(I51)</f>
        <v>-59770642.196732774</v>
      </c>
      <c r="L51" s="1150"/>
      <c r="M51" s="1411">
        <f>'Stmt N'!O297</f>
        <v>115364117.60191412</v>
      </c>
      <c r="N51" s="1150"/>
      <c r="O51" s="1150">
        <f>'Stmt N-X'!G27</f>
        <v>10688336.894433388</v>
      </c>
      <c r="P51" s="1150"/>
      <c r="Q51" s="1150">
        <f>ROUND(SUM(M51:P51),0)</f>
        <v>126052454</v>
      </c>
    </row>
    <row r="52" spans="1:17">
      <c r="A52" s="1148">
        <v>3</v>
      </c>
      <c r="B52" s="1149"/>
      <c r="C52" s="1149" t="s">
        <v>1064</v>
      </c>
      <c r="D52" s="1149"/>
      <c r="E52" s="1149"/>
      <c r="F52" s="1149"/>
      <c r="G52" s="1149"/>
      <c r="H52" s="1149"/>
      <c r="I52" s="1151">
        <v>0</v>
      </c>
      <c r="J52" s="1151"/>
      <c r="K52" s="1151">
        <f>M52-(I52)</f>
        <v>0</v>
      </c>
      <c r="L52" s="1151"/>
      <c r="M52" s="1151">
        <v>0</v>
      </c>
      <c r="N52" s="1151"/>
      <c r="O52" s="1151">
        <v>0</v>
      </c>
      <c r="P52" s="1151"/>
      <c r="Q52" s="1151">
        <f>ROUND(SUM(M52:P52),0)</f>
        <v>0</v>
      </c>
    </row>
    <row r="53" spans="1:17">
      <c r="A53" s="1148">
        <f>A52+1</f>
        <v>4</v>
      </c>
      <c r="B53" s="1149"/>
      <c r="C53" s="1149" t="s">
        <v>316</v>
      </c>
      <c r="D53" s="1149"/>
      <c r="E53" s="1149"/>
      <c r="F53" s="1149"/>
      <c r="G53" s="1149" t="s">
        <v>1361</v>
      </c>
      <c r="H53" s="1149"/>
      <c r="I53" s="1151">
        <f>'Stmt N'!N294</f>
        <v>3824182.4890675289</v>
      </c>
      <c r="J53" s="1151"/>
      <c r="K53" s="1151">
        <f>M53-(I53)</f>
        <v>1173309.9186630468</v>
      </c>
      <c r="L53" s="1151"/>
      <c r="M53" s="1151">
        <f>'Stmt N'!O294</f>
        <v>4997492.4077305757</v>
      </c>
      <c r="N53" s="1151"/>
      <c r="O53" s="1151">
        <v>0</v>
      </c>
      <c r="P53" s="1151"/>
      <c r="Q53" s="1151">
        <f>ROUND(SUM(M53:P53),0)</f>
        <v>4997492</v>
      </c>
    </row>
    <row r="54" spans="1:17">
      <c r="A54" s="1148">
        <f t="shared" ref="A54:A76" si="1">A53+1</f>
        <v>5</v>
      </c>
      <c r="B54" s="1149"/>
      <c r="C54" s="1149"/>
      <c r="D54" s="1149" t="s">
        <v>223</v>
      </c>
      <c r="E54" s="1149"/>
      <c r="F54" s="1149"/>
      <c r="G54" s="1149"/>
      <c r="H54" s="1149"/>
      <c r="I54" s="1152">
        <f>ROUND(SUM(I51:I53),0)</f>
        <v>178958942</v>
      </c>
      <c r="J54" s="1113"/>
      <c r="K54" s="1152">
        <f>ROUND(SUM(K51:K53),0)</f>
        <v>-58597332</v>
      </c>
      <c r="L54" s="1113"/>
      <c r="M54" s="1152">
        <f>ROUND(SUM(M51:M53),0)</f>
        <v>120361610</v>
      </c>
      <c r="N54" s="1113"/>
      <c r="O54" s="1152">
        <f>ROUND(SUM(O51:O53),0)</f>
        <v>10688337</v>
      </c>
      <c r="P54" s="1113"/>
      <c r="Q54" s="1152">
        <f>ROUND(SUM(Q51:Q53),0)</f>
        <v>131049946</v>
      </c>
    </row>
    <row r="55" spans="1:17">
      <c r="A55" s="1148">
        <f t="shared" si="1"/>
        <v>6</v>
      </c>
      <c r="B55" s="1149"/>
      <c r="C55" s="1149"/>
      <c r="D55" s="1149"/>
      <c r="E55" s="1149"/>
      <c r="F55" s="1149"/>
      <c r="G55" s="1149"/>
      <c r="H55" s="1149"/>
      <c r="I55" s="1151"/>
      <c r="J55" s="1151"/>
      <c r="K55" s="1151"/>
      <c r="L55" s="1151"/>
      <c r="M55" s="1153"/>
      <c r="N55" s="1151"/>
      <c r="O55" s="1154"/>
      <c r="P55" s="1151"/>
      <c r="Q55" s="1151"/>
    </row>
    <row r="56" spans="1:17">
      <c r="A56" s="1148">
        <f t="shared" si="1"/>
        <v>7</v>
      </c>
      <c r="B56" s="1141" t="s">
        <v>224</v>
      </c>
      <c r="C56" s="1149"/>
      <c r="D56" s="1149"/>
      <c r="E56" s="1149"/>
      <c r="F56" s="1149"/>
      <c r="G56" s="1149"/>
      <c r="H56" s="1149"/>
      <c r="I56" s="1151"/>
      <c r="J56" s="1151"/>
      <c r="K56" s="1151"/>
      <c r="L56" s="1151"/>
      <c r="M56" s="1151"/>
      <c r="N56" s="1151"/>
      <c r="O56" s="1151"/>
      <c r="P56" s="1151"/>
      <c r="Q56" s="1151"/>
    </row>
    <row r="57" spans="1:17">
      <c r="A57" s="1148">
        <f t="shared" si="1"/>
        <v>8</v>
      </c>
      <c r="B57" s="1149"/>
      <c r="C57" s="1149" t="s">
        <v>83</v>
      </c>
      <c r="D57" s="1149"/>
      <c r="E57" s="1149"/>
      <c r="F57" s="1149"/>
      <c r="G57" s="1149" t="s">
        <v>1362</v>
      </c>
      <c r="H57" s="1149"/>
      <c r="I57" s="1411">
        <f ca="1">+'Stmt N'!N265</f>
        <v>58854459.748435229</v>
      </c>
      <c r="J57" s="1151"/>
      <c r="K57" s="1411">
        <f ca="1">M57-(I57)</f>
        <v>5088946.7578234524</v>
      </c>
      <c r="L57" s="1151"/>
      <c r="M57" s="1411">
        <f>+'Stmt N'!O265</f>
        <v>63943406.506258681</v>
      </c>
      <c r="N57" s="1151"/>
      <c r="O57" s="1411">
        <v>0</v>
      </c>
      <c r="P57" s="1151"/>
      <c r="Q57" s="1411">
        <f>ROUND(SUM(M57:P57),0)</f>
        <v>63943407</v>
      </c>
    </row>
    <row r="58" spans="1:17">
      <c r="A58" s="1148">
        <f t="shared" si="1"/>
        <v>9</v>
      </c>
      <c r="B58" s="1149"/>
      <c r="C58" s="1149" t="s">
        <v>84</v>
      </c>
      <c r="D58" s="1149"/>
      <c r="E58" s="1149"/>
      <c r="F58" s="1149"/>
      <c r="G58" s="1149" t="s">
        <v>1363</v>
      </c>
      <c r="H58" s="1149"/>
      <c r="I58" s="1151">
        <f>+'Stmt N'!N276</f>
        <v>20903855.624799911</v>
      </c>
      <c r="J58" s="1151"/>
      <c r="K58" s="1151">
        <f>M58-(I58)</f>
        <v>-2074992.9716381617</v>
      </c>
      <c r="L58" s="1151"/>
      <c r="M58" s="1151">
        <f>+'Stmt N'!O276</f>
        <v>18828862.653161749</v>
      </c>
      <c r="N58" s="1151"/>
      <c r="O58" s="1151">
        <v>0</v>
      </c>
      <c r="P58" s="1151"/>
      <c r="Q58" s="1151">
        <f>ROUND(SUM(M58:P58),0)</f>
        <v>18828863</v>
      </c>
    </row>
    <row r="59" spans="1:17">
      <c r="A59" s="1148">
        <f t="shared" si="1"/>
        <v>10</v>
      </c>
      <c r="B59" s="1149"/>
      <c r="C59" s="1149" t="s">
        <v>76</v>
      </c>
      <c r="D59" s="1149"/>
      <c r="E59" s="1149"/>
      <c r="F59" s="1149"/>
      <c r="G59" s="1149" t="s">
        <v>1364</v>
      </c>
      <c r="H59" s="1149"/>
      <c r="I59" s="1151">
        <f>+'Stmt N'!N284</f>
        <v>5092587.9281896027</v>
      </c>
      <c r="J59" s="1151"/>
      <c r="K59" s="1151">
        <f>M59-(I59)</f>
        <v>1013580.8829713957</v>
      </c>
      <c r="L59" s="1151"/>
      <c r="M59" s="1151">
        <f>+'Stmt N'!O284</f>
        <v>6106168.8111609984</v>
      </c>
      <c r="N59" s="1151"/>
      <c r="O59" s="1151">
        <v>0</v>
      </c>
      <c r="P59" s="1151"/>
      <c r="Q59" s="1151">
        <f>ROUND(SUM(M59:P59),0)</f>
        <v>6106169</v>
      </c>
    </row>
    <row r="60" spans="1:17">
      <c r="A60" s="1148">
        <f t="shared" si="1"/>
        <v>11</v>
      </c>
      <c r="B60" s="1149"/>
      <c r="C60" s="1149"/>
      <c r="D60" s="1149" t="s">
        <v>77</v>
      </c>
      <c r="E60" s="1149"/>
      <c r="F60" s="1149"/>
      <c r="G60" s="1149"/>
      <c r="H60" s="1149"/>
      <c r="I60" s="1415">
        <f ca="1">ROUND(SUM(I57:I59),0)</f>
        <v>84850903</v>
      </c>
      <c r="J60" s="1113"/>
      <c r="K60" s="1415">
        <f ca="1">ROUND(SUM(K57:K59),0)</f>
        <v>4027535</v>
      </c>
      <c r="L60" s="1113"/>
      <c r="M60" s="1415">
        <f>ROUND(SUM(M57:M59),0)</f>
        <v>88878438</v>
      </c>
      <c r="N60" s="1113"/>
      <c r="O60" s="1415">
        <f>ROUND(SUM(O57:O59),0)</f>
        <v>0</v>
      </c>
      <c r="P60" s="1113"/>
      <c r="Q60" s="1415">
        <f>ROUND(SUM(Q57:Q59),0)</f>
        <v>88878439</v>
      </c>
    </row>
    <row r="61" spans="1:17">
      <c r="A61" s="1148">
        <f t="shared" si="1"/>
        <v>12</v>
      </c>
      <c r="B61" s="1149"/>
      <c r="C61" s="1149"/>
      <c r="D61" s="1149"/>
      <c r="E61" s="1149"/>
      <c r="F61" s="1149"/>
      <c r="G61" s="1149"/>
      <c r="H61" s="1149"/>
      <c r="I61" s="1151"/>
      <c r="J61" s="1151"/>
      <c r="K61" s="1151"/>
      <c r="L61" s="1151"/>
      <c r="M61" s="1151"/>
      <c r="N61" s="1151"/>
      <c r="O61" s="1151"/>
      <c r="P61" s="1151"/>
      <c r="Q61" s="1151"/>
    </row>
    <row r="62" spans="1:17">
      <c r="A62" s="1148">
        <f t="shared" si="1"/>
        <v>13</v>
      </c>
      <c r="B62" s="1141" t="s">
        <v>78</v>
      </c>
      <c r="C62" s="1149"/>
      <c r="D62" s="1149"/>
      <c r="E62" s="1149"/>
      <c r="F62" s="1149"/>
      <c r="G62" s="1149" t="s">
        <v>1121</v>
      </c>
      <c r="H62" s="1149"/>
      <c r="I62" s="1113">
        <f ca="1">ROUND(+I54-I60,0)</f>
        <v>94108039</v>
      </c>
      <c r="J62" s="1113"/>
      <c r="K62" s="1113">
        <f ca="1">M62-(I62)</f>
        <v>-62624867</v>
      </c>
      <c r="L62" s="1113"/>
      <c r="M62" s="1113">
        <f>ROUND(+M54-M60,0)</f>
        <v>31483172</v>
      </c>
      <c r="N62" s="1113"/>
      <c r="O62" s="1113">
        <f>ROUND(+O54-O60,0)</f>
        <v>10688337</v>
      </c>
      <c r="P62" s="1113"/>
      <c r="Q62" s="1113">
        <f>ROUND(+Q54-Q60,0)</f>
        <v>42171507</v>
      </c>
    </row>
    <row r="63" spans="1:17">
      <c r="A63" s="1148">
        <f t="shared" si="1"/>
        <v>14</v>
      </c>
      <c r="B63" s="1141"/>
      <c r="C63" s="1149"/>
      <c r="D63" s="1149"/>
      <c r="E63" s="1149"/>
      <c r="F63" s="1149"/>
      <c r="G63" s="1149"/>
      <c r="H63" s="1149"/>
      <c r="I63" s="1155"/>
      <c r="J63" s="1151"/>
      <c r="K63" s="1151"/>
      <c r="L63" s="1151"/>
      <c r="M63" s="1151"/>
      <c r="N63" s="1151"/>
      <c r="O63" s="1151"/>
      <c r="P63" s="1151"/>
      <c r="Q63" s="1151"/>
    </row>
    <row r="64" spans="1:17">
      <c r="A64" s="1148">
        <f t="shared" si="1"/>
        <v>15</v>
      </c>
      <c r="B64" s="1149"/>
      <c r="C64" s="1149" t="s">
        <v>634</v>
      </c>
      <c r="D64" s="1149"/>
      <c r="E64" s="1149"/>
      <c r="F64" s="1149"/>
      <c r="G64" s="1149" t="s">
        <v>1365</v>
      </c>
      <c r="H64" s="1149"/>
      <c r="I64" s="1151">
        <f ca="1">'Stmt N'!N307</f>
        <v>6040613.9630218809</v>
      </c>
      <c r="J64" s="1151"/>
      <c r="K64" s="1151">
        <f ca="1">M64-(I64)</f>
        <v>-603924.07710587233</v>
      </c>
      <c r="L64" s="1151"/>
      <c r="M64" s="1151">
        <f>'Stmt N'!O308</f>
        <v>5436689.8859160086</v>
      </c>
      <c r="N64" s="1151"/>
      <c r="O64" s="1151">
        <f>ROUND(O62*COMPRATE,0)</f>
        <v>2904010</v>
      </c>
      <c r="P64" s="1151"/>
      <c r="Q64" s="1151">
        <f>ROUND(SUM(M64:P64),0)</f>
        <v>8340700</v>
      </c>
    </row>
    <row r="65" spans="1:17">
      <c r="A65" s="1148">
        <f t="shared" si="1"/>
        <v>16</v>
      </c>
      <c r="B65" s="1149"/>
      <c r="C65" s="1149"/>
      <c r="D65" s="1149"/>
      <c r="E65" s="1149"/>
      <c r="F65" s="1149"/>
      <c r="G65" s="1149"/>
      <c r="H65" s="1149"/>
      <c r="I65" s="1151"/>
      <c r="J65" s="1151"/>
      <c r="K65" s="1151"/>
      <c r="L65" s="1151"/>
      <c r="M65" s="1151"/>
      <c r="N65" s="1151"/>
      <c r="O65" s="1151"/>
      <c r="P65" s="1151"/>
      <c r="Q65" s="1151"/>
    </row>
    <row r="66" spans="1:17" ht="13.5" thickBot="1">
      <c r="A66" s="1148">
        <f t="shared" si="1"/>
        <v>17</v>
      </c>
      <c r="B66" s="1141" t="s">
        <v>15</v>
      </c>
      <c r="C66" s="1149"/>
      <c r="D66" s="1149"/>
      <c r="E66" s="1149"/>
      <c r="F66" s="1149"/>
      <c r="G66" s="1149" t="s">
        <v>1073</v>
      </c>
      <c r="H66" s="1149"/>
      <c r="I66" s="1409">
        <f ca="1">ROUND(+I62-I64,0)</f>
        <v>88067425</v>
      </c>
      <c r="J66" s="1151"/>
      <c r="K66" s="1151"/>
      <c r="L66" s="1151"/>
      <c r="M66" s="1409">
        <f>ROUND(+M62-M64,0)</f>
        <v>26046482</v>
      </c>
      <c r="N66" s="1151"/>
      <c r="O66" s="1151"/>
      <c r="P66" s="1151"/>
      <c r="Q66" s="1409">
        <f>ROUND(+Q62-Q64,0)</f>
        <v>33830807</v>
      </c>
    </row>
    <row r="67" spans="1:17" ht="13.5" thickTop="1">
      <c r="A67" s="1148">
        <f t="shared" si="1"/>
        <v>18</v>
      </c>
      <c r="B67" s="1141"/>
      <c r="C67" s="1149"/>
      <c r="D67" s="1149"/>
      <c r="E67" s="1149"/>
      <c r="F67" s="1149"/>
      <c r="G67" s="1149"/>
      <c r="H67" s="1149"/>
      <c r="I67" s="1151"/>
      <c r="J67" s="1151"/>
      <c r="K67" s="1151"/>
      <c r="L67" s="1151"/>
      <c r="M67" s="1151"/>
      <c r="N67" s="1151"/>
      <c r="O67" s="1151"/>
      <c r="P67" s="1151"/>
      <c r="Q67" s="1151"/>
    </row>
    <row r="68" spans="1:17" ht="13.5" thickBot="1">
      <c r="A68" s="1148">
        <f t="shared" si="1"/>
        <v>19</v>
      </c>
      <c r="B68" s="1141" t="s">
        <v>16</v>
      </c>
      <c r="C68" s="1149"/>
      <c r="D68" s="1149"/>
      <c r="E68" s="1149"/>
      <c r="F68" s="1149"/>
      <c r="G68" s="1156" t="s">
        <v>1074</v>
      </c>
      <c r="H68" s="1149"/>
      <c r="I68" s="1410">
        <f ca="1">I66/I76</f>
        <v>0.19564787797777078</v>
      </c>
      <c r="J68" s="1157"/>
      <c r="K68" s="1157"/>
      <c r="L68" s="1157"/>
      <c r="M68" s="1410">
        <f>M66/M76</f>
        <v>5.166057255019843E-2</v>
      </c>
      <c r="N68" s="1151"/>
      <c r="O68" s="1151"/>
      <c r="P68" s="1151"/>
      <c r="Q68" s="1410">
        <f>Q66/Q76</f>
        <v>6.7099996823189442E-2</v>
      </c>
    </row>
    <row r="69" spans="1:17" ht="13.5" thickTop="1">
      <c r="A69" s="1148">
        <f t="shared" si="1"/>
        <v>20</v>
      </c>
      <c r="B69" s="1141"/>
      <c r="C69" s="1149"/>
      <c r="D69" s="1149"/>
      <c r="E69" s="1149"/>
      <c r="F69" s="1149"/>
      <c r="G69" s="1149"/>
      <c r="H69" s="1149"/>
      <c r="I69" s="1151"/>
      <c r="J69" s="1151"/>
      <c r="K69" s="1151"/>
      <c r="L69" s="1151"/>
      <c r="M69" s="1151"/>
      <c r="N69" s="1151"/>
      <c r="O69" s="1151"/>
      <c r="P69" s="1151"/>
      <c r="Q69" s="1151"/>
    </row>
    <row r="70" spans="1:17">
      <c r="A70" s="1148">
        <f t="shared" si="1"/>
        <v>21</v>
      </c>
      <c r="B70" s="1141" t="s">
        <v>253</v>
      </c>
      <c r="C70" s="1149"/>
      <c r="D70" s="1149"/>
      <c r="E70" s="1149"/>
      <c r="F70" s="1149"/>
      <c r="G70" s="1149"/>
      <c r="H70" s="1149"/>
      <c r="I70" s="1151"/>
      <c r="J70" s="1151"/>
      <c r="K70" s="1151"/>
      <c r="L70" s="1151"/>
      <c r="M70" s="1151"/>
      <c r="N70" s="1151"/>
      <c r="O70" s="1151"/>
      <c r="P70" s="1151"/>
      <c r="Q70" s="1151"/>
    </row>
    <row r="71" spans="1:17">
      <c r="A71" s="1148">
        <f t="shared" si="1"/>
        <v>22</v>
      </c>
      <c r="B71" s="1149"/>
      <c r="C71" s="1149" t="s">
        <v>254</v>
      </c>
      <c r="D71" s="1149"/>
      <c r="E71" s="1149"/>
      <c r="F71" s="1149"/>
      <c r="G71" s="1149" t="s">
        <v>1315</v>
      </c>
      <c r="H71" s="1149"/>
      <c r="I71" s="1411">
        <f>'Stmt N'!N68</f>
        <v>737733840.47242975</v>
      </c>
      <c r="J71" s="1151"/>
      <c r="K71" s="1411">
        <f>M71-(I71)</f>
        <v>70110086.384049177</v>
      </c>
      <c r="L71" s="1158"/>
      <c r="M71" s="1411">
        <f>'Stmt N'!O68</f>
        <v>807843926.85647893</v>
      </c>
      <c r="N71" s="1151"/>
      <c r="O71" s="1411">
        <v>0</v>
      </c>
      <c r="P71" s="1151"/>
      <c r="Q71" s="1411">
        <f>ROUND(SUM(M71:P71),0)</f>
        <v>807843927</v>
      </c>
    </row>
    <row r="72" spans="1:17">
      <c r="A72" s="1148">
        <f t="shared" si="1"/>
        <v>23</v>
      </c>
      <c r="B72" s="1149"/>
      <c r="C72" s="1149" t="s">
        <v>255</v>
      </c>
      <c r="D72" s="1149"/>
      <c r="E72" s="1149"/>
      <c r="F72" s="1149"/>
      <c r="G72" s="1149" t="s">
        <v>1316</v>
      </c>
      <c r="H72" s="1149"/>
      <c r="I72" s="1151">
        <f>'Stmt N'!N79</f>
        <v>-246429046.935958</v>
      </c>
      <c r="J72" s="1151"/>
      <c r="K72" s="1151">
        <f>M72-(I72)</f>
        <v>-1064213.7512884438</v>
      </c>
      <c r="L72" s="1158"/>
      <c r="M72" s="1151">
        <f>'Stmt N'!O79</f>
        <v>-247493260.68724644</v>
      </c>
      <c r="N72" s="1151"/>
      <c r="O72" s="1151">
        <v>0</v>
      </c>
      <c r="P72" s="1151"/>
      <c r="Q72" s="1151">
        <f>ROUND(SUM(M72:P72),0)</f>
        <v>-247493261</v>
      </c>
    </row>
    <row r="73" spans="1:17">
      <c r="A73" s="1148">
        <f t="shared" si="1"/>
        <v>24</v>
      </c>
      <c r="B73" s="1149"/>
      <c r="C73" s="1149" t="s">
        <v>256</v>
      </c>
      <c r="D73" s="1149"/>
      <c r="E73" s="1149"/>
      <c r="F73" s="1149"/>
      <c r="G73" s="1149" t="s">
        <v>1366</v>
      </c>
      <c r="H73" s="1149"/>
      <c r="I73" s="1151">
        <f ca="1">'Stmt N'!N89</f>
        <v>3798525.2742432537</v>
      </c>
      <c r="J73" s="1151"/>
      <c r="K73" s="1151">
        <f ca="1">M73-(I73)</f>
        <v>-857522.53621532256</v>
      </c>
      <c r="L73" s="1158"/>
      <c r="M73" s="1151">
        <f>'Stmt N'!O89</f>
        <v>2941002.7380279312</v>
      </c>
      <c r="N73" s="1151"/>
      <c r="O73" s="1151">
        <v>0</v>
      </c>
      <c r="P73" s="1151"/>
      <c r="Q73" s="1151">
        <f>ROUND(SUM(M73:P73),0)</f>
        <v>2941003</v>
      </c>
    </row>
    <row r="74" spans="1:17">
      <c r="A74" s="1148">
        <f t="shared" si="1"/>
        <v>25</v>
      </c>
      <c r="B74" s="1149"/>
      <c r="C74" s="1149" t="s">
        <v>386</v>
      </c>
      <c r="D74" s="1149"/>
      <c r="E74" s="1149"/>
      <c r="F74" s="1149"/>
      <c r="G74" s="1149" t="s">
        <v>1367</v>
      </c>
      <c r="H74" s="1149"/>
      <c r="I74" s="1412">
        <f ca="1">'Stmt N'!N96</f>
        <v>-44971040.795839027</v>
      </c>
      <c r="J74" s="1151"/>
      <c r="K74" s="1412">
        <f ca="1">M74-(I74)</f>
        <v>-14135701.187730126</v>
      </c>
      <c r="L74" s="1158"/>
      <c r="M74" s="1412">
        <f>'Stmt N'!O96</f>
        <v>-59106741.983569153</v>
      </c>
      <c r="N74" s="1151"/>
      <c r="O74" s="1412">
        <v>0</v>
      </c>
      <c r="P74" s="1151"/>
      <c r="Q74" s="1412">
        <f>ROUND(SUM(M74:P74),0)</f>
        <v>-59106742</v>
      </c>
    </row>
    <row r="75" spans="1:17">
      <c r="A75" s="1148">
        <f t="shared" si="1"/>
        <v>26</v>
      </c>
      <c r="B75" s="1149"/>
      <c r="C75" s="1149"/>
      <c r="D75" s="1149"/>
      <c r="E75" s="1149"/>
      <c r="F75" s="1149"/>
      <c r="G75" s="1149"/>
      <c r="H75" s="1149"/>
      <c r="I75" s="1151"/>
      <c r="J75" s="1151"/>
      <c r="K75" s="1151"/>
      <c r="L75" s="1151"/>
      <c r="M75" s="1151"/>
      <c r="N75" s="1151"/>
      <c r="O75" s="1151"/>
      <c r="P75" s="1151"/>
      <c r="Q75" s="1151"/>
    </row>
    <row r="76" spans="1:17" ht="13.5" thickBot="1">
      <c r="A76" s="1148">
        <f t="shared" si="1"/>
        <v>27</v>
      </c>
      <c r="B76" s="1141" t="s">
        <v>9</v>
      </c>
      <c r="C76" s="1149"/>
      <c r="D76" s="1149"/>
      <c r="E76" s="1149"/>
      <c r="F76" s="1149"/>
      <c r="G76" s="1149"/>
      <c r="H76" s="1149"/>
      <c r="I76" s="1409">
        <f ca="1">ROUND(SUM(I71:I74),0)</f>
        <v>450132278</v>
      </c>
      <c r="J76" s="1151"/>
      <c r="K76" s="1409">
        <f ca="1">ROUND(SUM(K71:K74),0)</f>
        <v>54052649</v>
      </c>
      <c r="L76" s="1151"/>
      <c r="M76" s="1409">
        <f>ROUND(SUM(M71:M74),0)</f>
        <v>504184927</v>
      </c>
      <c r="N76" s="1151"/>
      <c r="O76" s="1413">
        <f>ROUND(SUM(O71:O74),0)</f>
        <v>0</v>
      </c>
      <c r="P76" s="1151"/>
      <c r="Q76" s="1409">
        <f>ROUND(SUM(Q71:Q74),0)</f>
        <v>504184927</v>
      </c>
    </row>
    <row r="77" spans="1:17" ht="13.5" thickTop="1">
      <c r="A77" s="1149"/>
      <c r="B77" s="1149"/>
      <c r="C77" s="1149"/>
      <c r="D77" s="1149"/>
      <c r="E77" s="1149"/>
      <c r="F77" s="1149"/>
      <c r="G77" s="1149"/>
      <c r="H77" s="1149"/>
      <c r="I77" s="1149"/>
      <c r="J77" s="1149"/>
      <c r="K77" s="1149"/>
      <c r="L77" s="1149"/>
      <c r="M77" s="1149"/>
      <c r="N77" s="1149"/>
      <c r="O77" s="1149"/>
      <c r="P77" s="1149"/>
      <c r="Q77" s="1149"/>
    </row>
    <row r="78" spans="1:17">
      <c r="A78" s="1159" t="s">
        <v>1059</v>
      </c>
      <c r="B78" s="1159"/>
      <c r="C78" s="1159"/>
      <c r="D78" s="1159"/>
      <c r="E78" s="1159"/>
      <c r="F78" s="1159"/>
      <c r="G78" s="1159"/>
      <c r="H78" s="1159"/>
      <c r="I78" s="1414">
        <f ca="1">I76-'Stmt N'!N98</f>
        <v>-1.4875948429107666E-2</v>
      </c>
      <c r="J78" s="1159"/>
      <c r="K78" s="1159"/>
      <c r="L78" s="1159"/>
      <c r="M78" s="1159"/>
      <c r="N78" s="1159"/>
      <c r="O78" s="1159"/>
      <c r="P78" s="1159"/>
      <c r="Q78" s="1414">
        <f>Q76-'Stmt N'!O98</f>
        <v>7.6308727264404297E-2</v>
      </c>
    </row>
  </sheetData>
  <phoneticPr fontId="12" type="noConversion"/>
  <conditionalFormatting sqref="R35">
    <cfRule type="cellIs" dxfId="0" priority="1" stopIfTrue="1" operator="equal">
      <formula>FALSE</formula>
    </cfRule>
  </conditionalFormatting>
  <printOptions horizontalCentered="1"/>
  <pageMargins left="0.25" right="0.25" top="0.75" bottom="0.5" header="0.75" footer="0.5"/>
  <pageSetup scale="82" fitToHeight="2" orientation="landscape" r:id="rId1"/>
  <headerFooter alignWithMargins="0"/>
  <rowBreaks count="1" manualBreakCount="1">
    <brk id="39" max="16"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7">
    <pageSetUpPr fitToPage="1"/>
  </sheetPr>
  <dimension ref="A1:Y101"/>
  <sheetViews>
    <sheetView topLeftCell="A47" workbookViewId="0">
      <selection activeCell="I52" sqref="I52"/>
    </sheetView>
  </sheetViews>
  <sheetFormatPr defaultColWidth="9.33203125" defaultRowHeight="12.75"/>
  <cols>
    <col min="1" max="1" width="6.83203125" style="23" customWidth="1"/>
    <col min="2" max="2" width="15.33203125" style="103" customWidth="1"/>
    <col min="3" max="3" width="52.6640625" style="23" customWidth="1"/>
    <col min="4" max="4" width="8.33203125" style="23" customWidth="1"/>
    <col min="5" max="5" width="16.83203125" style="23" customWidth="1"/>
    <col min="6" max="6" width="3.33203125" style="23" customWidth="1"/>
    <col min="7" max="7" width="17.1640625" style="23" customWidth="1"/>
    <col min="8" max="8" width="3.33203125" style="23" customWidth="1"/>
    <col min="9" max="9" width="16.1640625" style="23" customWidth="1"/>
    <col min="10" max="10" width="3.33203125" style="23" customWidth="1"/>
    <col min="11" max="11" width="16.33203125" style="23" bestFit="1" customWidth="1"/>
    <col min="12" max="12" width="2.33203125" style="8" customWidth="1"/>
    <col min="13" max="13" width="3.6640625" style="66" customWidth="1"/>
    <col min="14" max="16" width="13.83203125" style="66" customWidth="1"/>
    <col min="17" max="17" width="17.83203125" style="66" customWidth="1"/>
    <col min="18" max="22" width="13.83203125" style="66" customWidth="1"/>
    <col min="23" max="23" width="15.6640625" style="66" bestFit="1" customWidth="1"/>
    <col min="24" max="16384" width="9.33203125" style="66"/>
  </cols>
  <sheetData>
    <row r="1" spans="1:25">
      <c r="A1" s="25" t="str">
        <f>Company</f>
        <v>BLACK HILLS NEBRASKA GAS, LLC</v>
      </c>
      <c r="C1" s="123"/>
      <c r="D1" s="123"/>
      <c r="E1" s="1013"/>
      <c r="F1" s="123"/>
      <c r="G1" s="1013"/>
      <c r="K1" s="615" t="s">
        <v>1325</v>
      </c>
      <c r="L1" s="72"/>
      <c r="N1" s="1012"/>
      <c r="O1" s="1012"/>
      <c r="P1" s="1012"/>
      <c r="Q1" s="1012"/>
      <c r="R1" s="1012"/>
      <c r="S1" s="1012"/>
      <c r="Y1" s="123"/>
    </row>
    <row r="2" spans="1:25">
      <c r="A2" s="25" t="s">
        <v>395</v>
      </c>
      <c r="C2" s="123"/>
      <c r="D2" s="123"/>
      <c r="E2" s="123"/>
      <c r="F2" s="123"/>
      <c r="G2" s="123"/>
      <c r="K2" s="615" t="str">
        <f>Attach</f>
        <v>FINAL - BH January 15, 2021 Rev. Req. Model</v>
      </c>
      <c r="L2" s="56"/>
      <c r="X2" s="123"/>
      <c r="Y2" s="123"/>
    </row>
    <row r="3" spans="1:25">
      <c r="A3" s="70" t="str">
        <f>TYEnded</f>
        <v>FOR THE TEST YEAR ENDING DECEMBER 31, 2020</v>
      </c>
      <c r="C3" s="123"/>
      <c r="D3" s="123"/>
      <c r="E3" s="123"/>
      <c r="F3" s="123"/>
      <c r="G3" s="123"/>
      <c r="I3" s="54"/>
      <c r="K3" s="343" t="s">
        <v>508</v>
      </c>
      <c r="Q3" s="1178"/>
      <c r="R3" s="1178"/>
      <c r="S3" s="1178"/>
      <c r="T3" s="1178"/>
      <c r="U3" s="1178"/>
      <c r="V3" s="1178"/>
      <c r="Y3" s="123"/>
    </row>
    <row r="4" spans="1:25">
      <c r="A4" s="70"/>
      <c r="C4" s="123"/>
      <c r="D4" s="123"/>
      <c r="E4" s="954"/>
      <c r="F4" s="123"/>
      <c r="G4" s="123"/>
      <c r="I4" s="54"/>
      <c r="L4" s="23"/>
      <c r="Y4" s="123"/>
    </row>
    <row r="5" spans="1:25">
      <c r="A5" s="70"/>
      <c r="C5" s="117"/>
      <c r="D5" s="123"/>
      <c r="E5" s="123"/>
      <c r="F5" s="123"/>
      <c r="G5" s="123"/>
      <c r="I5" s="54"/>
      <c r="L5" s="23"/>
      <c r="N5" s="1007" t="s">
        <v>1039</v>
      </c>
      <c r="O5" s="1007"/>
      <c r="P5" s="1007"/>
      <c r="Q5" s="1006" t="s">
        <v>1130</v>
      </c>
      <c r="R5" s="1006"/>
      <c r="S5" s="1006"/>
      <c r="T5" s="794" t="s">
        <v>1038</v>
      </c>
      <c r="U5" s="794"/>
      <c r="V5" s="794"/>
      <c r="Y5" s="123"/>
    </row>
    <row r="6" spans="1:25">
      <c r="A6" s="70"/>
      <c r="C6" s="117"/>
      <c r="D6" s="123"/>
      <c r="E6" s="123"/>
      <c r="F6" s="123"/>
      <c r="G6" s="123"/>
      <c r="I6" s="54"/>
      <c r="L6" s="23"/>
      <c r="T6" s="66" t="s">
        <v>636</v>
      </c>
      <c r="Y6" s="123"/>
    </row>
    <row r="7" spans="1:25">
      <c r="A7" s="123"/>
      <c r="C7" s="117"/>
      <c r="D7" s="123"/>
      <c r="E7" s="725" t="s">
        <v>199</v>
      </c>
      <c r="F7" s="123"/>
      <c r="G7" s="15" t="s">
        <v>200</v>
      </c>
      <c r="H7" s="15"/>
      <c r="I7" s="15" t="s">
        <v>41</v>
      </c>
      <c r="J7" s="15"/>
      <c r="K7" s="15" t="s">
        <v>202</v>
      </c>
      <c r="L7" s="15"/>
      <c r="M7" s="462"/>
      <c r="N7" s="462"/>
      <c r="O7" s="462"/>
      <c r="P7" s="462"/>
      <c r="Y7" s="123"/>
    </row>
    <row r="8" spans="1:25">
      <c r="F8" s="138"/>
      <c r="G8" s="138"/>
      <c r="I8" s="138"/>
      <c r="K8" s="383" t="s">
        <v>212</v>
      </c>
      <c r="L8" s="383"/>
      <c r="M8" s="75">
        <v>1</v>
      </c>
      <c r="N8" s="75" t="str">
        <f>References!$C$17</f>
        <v>Exhibit No. MCC-2 NEG</v>
      </c>
      <c r="O8" s="75" t="str">
        <f>References!$D$17</f>
        <v>Exhibit No. MCC-2 NEGD</v>
      </c>
      <c r="P8" s="75" t="str">
        <f>References!$E$17</f>
        <v>FINAL - BH January 15, 2021 Rev. Req. Model</v>
      </c>
      <c r="Q8" s="75" t="str">
        <f>References!$C$17</f>
        <v>Exhibit No. MCC-2 NEG</v>
      </c>
      <c r="R8" s="75" t="str">
        <f>References!$D$17</f>
        <v>Exhibit No. MCC-2 NEGD</v>
      </c>
      <c r="S8" s="75" t="str">
        <f>References!$E$17</f>
        <v>FINAL - BH January 15, 2021 Rev. Req. Model</v>
      </c>
      <c r="T8" s="75" t="str">
        <f>References!$C$17</f>
        <v>Exhibit No. MCC-2 NEG</v>
      </c>
      <c r="U8" s="75" t="str">
        <f>References!$D$17</f>
        <v>Exhibit No. MCC-2 NEGD</v>
      </c>
      <c r="V8" s="75" t="str">
        <f>References!$E$17</f>
        <v>FINAL - BH January 15, 2021 Rev. Req. Model</v>
      </c>
      <c r="Y8" s="123"/>
    </row>
    <row r="9" spans="1:25" s="123" customFormat="1" ht="38.25">
      <c r="A9" s="381" t="s">
        <v>513</v>
      </c>
      <c r="B9" s="362" t="s">
        <v>65</v>
      </c>
      <c r="C9" s="362" t="s">
        <v>196</v>
      </c>
      <c r="D9" s="362"/>
      <c r="E9" s="381" t="s">
        <v>979</v>
      </c>
      <c r="F9" s="382"/>
      <c r="G9" s="381" t="s">
        <v>1104</v>
      </c>
      <c r="H9" s="366"/>
      <c r="I9" s="381" t="s">
        <v>144</v>
      </c>
      <c r="J9" s="362"/>
      <c r="K9" s="381" t="s">
        <v>8</v>
      </c>
      <c r="L9" s="351"/>
      <c r="M9" s="75">
        <f>M8+1</f>
        <v>2</v>
      </c>
      <c r="N9" s="75" t="str">
        <f>References!$C$18</f>
        <v>NEG</v>
      </c>
      <c r="O9" s="75" t="str">
        <f>References!$D$18</f>
        <v>NEGD</v>
      </c>
      <c r="P9" s="75" t="str">
        <f>References!$E$18</f>
        <v>Tot Co</v>
      </c>
      <c r="Q9" s="75" t="str">
        <f>References!$C$18</f>
        <v>NEG</v>
      </c>
      <c r="R9" s="75" t="str">
        <f>References!$D$18</f>
        <v>NEGD</v>
      </c>
      <c r="S9" s="75" t="str">
        <f>References!$E$18</f>
        <v>Tot Co</v>
      </c>
      <c r="T9" s="75" t="str">
        <f>References!$C$18</f>
        <v>NEG</v>
      </c>
      <c r="U9" s="75" t="str">
        <f>References!$D$18</f>
        <v>NEGD</v>
      </c>
      <c r="V9" s="75" t="str">
        <f>References!$E$18</f>
        <v>Tot Co</v>
      </c>
    </row>
    <row r="10" spans="1:25" s="123" customFormat="1">
      <c r="A10" s="120"/>
      <c r="B10" s="40"/>
      <c r="C10" s="60"/>
      <c r="D10" s="60"/>
      <c r="E10" s="120"/>
      <c r="F10" s="139"/>
      <c r="G10" s="120"/>
      <c r="H10" s="41"/>
      <c r="I10" s="120"/>
      <c r="J10" s="40"/>
      <c r="K10" s="120"/>
      <c r="L10" s="120"/>
      <c r="M10" s="75">
        <f>M9+1</f>
        <v>3</v>
      </c>
      <c r="N10" s="75"/>
      <c r="O10" s="75"/>
      <c r="P10" s="75"/>
      <c r="Q10" s="14"/>
      <c r="R10" s="14"/>
      <c r="S10" s="506"/>
      <c r="T10" s="14"/>
      <c r="U10" s="14"/>
      <c r="V10" s="506"/>
    </row>
    <row r="11" spans="1:25" s="123" customFormat="1">
      <c r="A11" s="120">
        <v>1</v>
      </c>
      <c r="B11" s="996"/>
      <c r="C11" s="1014" t="s">
        <v>338</v>
      </c>
      <c r="D11" s="1014"/>
      <c r="E11" s="1015"/>
      <c r="F11" s="1016"/>
      <c r="G11" s="1015"/>
      <c r="H11" s="81"/>
      <c r="I11" s="1015"/>
      <c r="J11" s="82"/>
      <c r="K11" s="1015"/>
      <c r="L11" s="120"/>
      <c r="M11" s="75">
        <f t="shared" ref="M11:M72" si="0">M10+1</f>
        <v>4</v>
      </c>
      <c r="N11" s="465"/>
      <c r="P11" s="506"/>
      <c r="Q11" s="465"/>
      <c r="S11" s="506"/>
      <c r="T11" s="465"/>
      <c r="V11" s="506"/>
    </row>
    <row r="12" spans="1:25">
      <c r="A12" s="1015">
        <f t="shared" ref="A12:A21" si="1">A11+1</f>
        <v>2</v>
      </c>
      <c r="B12" s="996">
        <v>190300</v>
      </c>
      <c r="C12" s="1017" t="s">
        <v>717</v>
      </c>
      <c r="D12" s="1017"/>
      <c r="E12" s="1545">
        <f t="shared" ref="E12:E33" si="2">HLOOKUP(Attach,$N$8:$Y$235,M12,FALSE)</f>
        <v>163072.20000000001</v>
      </c>
      <c r="F12" s="1548"/>
      <c r="G12" s="1545">
        <f t="shared" ref="G12:G33" si="3">HLOOKUP(Attach,$Q$8:$Y$235,M12,FALSE)</f>
        <v>167440</v>
      </c>
      <c r="H12" s="659"/>
      <c r="I12" s="1545">
        <f>HLOOKUP(Attach,$T$8:$Y$235,$M12,FALSE)</f>
        <v>0</v>
      </c>
      <c r="J12" s="1539"/>
      <c r="K12" s="1545">
        <f t="shared" ref="K12:K33" si="4">+I12+G12</f>
        <v>167440</v>
      </c>
      <c r="L12" s="667"/>
      <c r="M12" s="75">
        <f t="shared" si="0"/>
        <v>5</v>
      </c>
      <c r="N12" s="980">
        <v>64144.76</v>
      </c>
      <c r="O12" s="980">
        <v>98927.44</v>
      </c>
      <c r="P12" s="937">
        <f t="shared" ref="P12:P33" si="5">+N12+O12</f>
        <v>163072.20000000001</v>
      </c>
      <c r="Q12" s="980">
        <v>56688</v>
      </c>
      <c r="R12" s="980">
        <v>110752</v>
      </c>
      <c r="S12" s="937">
        <f t="shared" ref="S12:S33" si="6">+Q12+R12</f>
        <v>167440</v>
      </c>
      <c r="T12" s="928"/>
      <c r="U12" s="928"/>
      <c r="V12" s="937">
        <f t="shared" ref="V12:V34" si="7">+T12+U12</f>
        <v>0</v>
      </c>
      <c r="Y12" s="123"/>
    </row>
    <row r="13" spans="1:25">
      <c r="A13" s="1015">
        <f t="shared" si="1"/>
        <v>3</v>
      </c>
      <c r="B13" s="996">
        <v>190300</v>
      </c>
      <c r="C13" s="1017" t="s">
        <v>718</v>
      </c>
      <c r="D13" s="1017"/>
      <c r="E13" s="1541">
        <f t="shared" si="2"/>
        <v>1672345.18</v>
      </c>
      <c r="F13" s="1555"/>
      <c r="G13" s="1541">
        <f t="shared" si="3"/>
        <v>736429</v>
      </c>
      <c r="H13" s="804"/>
      <c r="I13" s="1541">
        <f ca="1">'Sched M-2'!O88</f>
        <v>39534.297389945459</v>
      </c>
      <c r="J13" s="804"/>
      <c r="K13" s="1541">
        <f t="shared" ca="1" si="4"/>
        <v>775963.29738994548</v>
      </c>
      <c r="L13" s="667"/>
      <c r="M13" s="75">
        <f t="shared" si="0"/>
        <v>6</v>
      </c>
      <c r="N13" s="980">
        <v>1589063.72</v>
      </c>
      <c r="O13" s="980">
        <v>83281.460000000006</v>
      </c>
      <c r="P13" s="937">
        <f t="shared" si="5"/>
        <v>1672345.18</v>
      </c>
      <c r="Q13" s="980">
        <v>696250</v>
      </c>
      <c r="R13" s="980">
        <v>40179</v>
      </c>
      <c r="S13" s="937">
        <f t="shared" si="6"/>
        <v>736429</v>
      </c>
      <c r="T13" s="928"/>
      <c r="U13" s="928"/>
      <c r="V13" s="937">
        <f t="shared" si="7"/>
        <v>0</v>
      </c>
      <c r="Y13" s="123"/>
    </row>
    <row r="14" spans="1:25">
      <c r="A14" s="1015">
        <f t="shared" si="1"/>
        <v>4</v>
      </c>
      <c r="B14" s="996">
        <v>190300</v>
      </c>
      <c r="C14" s="1017" t="s">
        <v>719</v>
      </c>
      <c r="D14" s="1017"/>
      <c r="E14" s="1541">
        <f t="shared" si="2"/>
        <v>35983.980000000003</v>
      </c>
      <c r="F14" s="1555"/>
      <c r="G14" s="1541">
        <f t="shared" si="3"/>
        <v>85292</v>
      </c>
      <c r="H14" s="804"/>
      <c r="I14" s="1541">
        <f t="shared" ref="I14:I20" si="8">HLOOKUP(Attach,$T$8:$Y$235,$M14,FALSE)</f>
        <v>0</v>
      </c>
      <c r="J14" s="804"/>
      <c r="K14" s="1541">
        <f t="shared" si="4"/>
        <v>85292</v>
      </c>
      <c r="L14" s="667"/>
      <c r="M14" s="75">
        <f t="shared" si="0"/>
        <v>7</v>
      </c>
      <c r="N14" s="980">
        <v>2167.48</v>
      </c>
      <c r="O14" s="980">
        <v>33816.5</v>
      </c>
      <c r="P14" s="937">
        <f t="shared" si="5"/>
        <v>35983.980000000003</v>
      </c>
      <c r="Q14" s="980">
        <v>46928</v>
      </c>
      <c r="R14" s="980">
        <v>38364</v>
      </c>
      <c r="S14" s="937">
        <f t="shared" si="6"/>
        <v>85292</v>
      </c>
      <c r="T14" s="928"/>
      <c r="U14" s="928"/>
      <c r="V14" s="937">
        <f t="shared" si="7"/>
        <v>0</v>
      </c>
      <c r="Y14" s="123"/>
    </row>
    <row r="15" spans="1:25">
      <c r="A15" s="1015">
        <f t="shared" si="1"/>
        <v>5</v>
      </c>
      <c r="B15" s="996">
        <v>190300</v>
      </c>
      <c r="C15" s="1017" t="s">
        <v>720</v>
      </c>
      <c r="D15" s="1017"/>
      <c r="E15" s="1541">
        <f t="shared" si="2"/>
        <v>336237.35</v>
      </c>
      <c r="F15" s="1555"/>
      <c r="G15" s="1541">
        <f t="shared" si="3"/>
        <v>269758</v>
      </c>
      <c r="H15" s="804"/>
      <c r="I15" s="1541">
        <f t="shared" si="8"/>
        <v>0</v>
      </c>
      <c r="J15" s="804"/>
      <c r="K15" s="1541">
        <f t="shared" si="4"/>
        <v>269758</v>
      </c>
      <c r="L15" s="667"/>
      <c r="M15" s="75">
        <f t="shared" si="0"/>
        <v>8</v>
      </c>
      <c r="N15" s="980">
        <v>229560.08</v>
      </c>
      <c r="O15" s="980">
        <v>106677.27</v>
      </c>
      <c r="P15" s="937">
        <f t="shared" si="5"/>
        <v>336237.35</v>
      </c>
      <c r="Q15" s="980">
        <v>170981</v>
      </c>
      <c r="R15" s="980">
        <v>98777</v>
      </c>
      <c r="S15" s="937">
        <f t="shared" si="6"/>
        <v>269758</v>
      </c>
      <c r="T15" s="980"/>
      <c r="U15" s="980"/>
      <c r="V15" s="937">
        <f t="shared" si="7"/>
        <v>0</v>
      </c>
      <c r="Y15" s="123"/>
    </row>
    <row r="16" spans="1:25">
      <c r="A16" s="1015">
        <f t="shared" si="1"/>
        <v>6</v>
      </c>
      <c r="B16" s="996">
        <v>190300</v>
      </c>
      <c r="C16" s="1017" t="s">
        <v>721</v>
      </c>
      <c r="D16" s="1017"/>
      <c r="E16" s="1541">
        <f t="shared" si="2"/>
        <v>189747.6</v>
      </c>
      <c r="F16" s="1555"/>
      <c r="G16" s="1541">
        <f t="shared" si="3"/>
        <v>179287</v>
      </c>
      <c r="H16" s="804"/>
      <c r="I16" s="1541">
        <f t="shared" si="8"/>
        <v>0</v>
      </c>
      <c r="J16" s="804"/>
      <c r="K16" s="1541">
        <f t="shared" si="4"/>
        <v>179287</v>
      </c>
      <c r="L16" s="667"/>
      <c r="M16" s="75">
        <f t="shared" si="0"/>
        <v>9</v>
      </c>
      <c r="N16" s="980">
        <v>150817.25</v>
      </c>
      <c r="O16" s="980">
        <v>38930.35</v>
      </c>
      <c r="P16" s="937">
        <f t="shared" si="5"/>
        <v>189747.6</v>
      </c>
      <c r="Q16" s="980">
        <v>118617</v>
      </c>
      <c r="R16" s="980">
        <v>60670</v>
      </c>
      <c r="S16" s="937">
        <f t="shared" si="6"/>
        <v>179287</v>
      </c>
      <c r="T16" s="980"/>
      <c r="U16" s="980"/>
      <c r="V16" s="937">
        <f t="shared" si="7"/>
        <v>0</v>
      </c>
      <c r="Y16" s="123"/>
    </row>
    <row r="17" spans="1:25">
      <c r="A17" s="1015">
        <f t="shared" si="1"/>
        <v>7</v>
      </c>
      <c r="B17" s="996">
        <v>190300</v>
      </c>
      <c r="C17" s="1017" t="s">
        <v>998</v>
      </c>
      <c r="D17" s="1017"/>
      <c r="E17" s="1541">
        <f t="shared" si="2"/>
        <v>3892.14</v>
      </c>
      <c r="F17" s="1555"/>
      <c r="G17" s="1541">
        <f t="shared" si="3"/>
        <v>3743</v>
      </c>
      <c r="H17" s="804"/>
      <c r="I17" s="1754">
        <f t="shared" si="8"/>
        <v>-3743</v>
      </c>
      <c r="J17" s="1755"/>
      <c r="K17" s="1754">
        <f t="shared" si="4"/>
        <v>0</v>
      </c>
      <c r="L17" s="667"/>
      <c r="M17" s="75">
        <f t="shared" si="0"/>
        <v>10</v>
      </c>
      <c r="N17" s="980">
        <v>3892.14</v>
      </c>
      <c r="O17" s="980"/>
      <c r="P17" s="937">
        <f t="shared" si="5"/>
        <v>3892.14</v>
      </c>
      <c r="Q17" s="980">
        <v>3743</v>
      </c>
      <c r="R17" s="980">
        <v>0</v>
      </c>
      <c r="S17" s="937">
        <f t="shared" si="6"/>
        <v>3743</v>
      </c>
      <c r="T17" s="980">
        <f>IF($I$84="Y",-Q17,0)</f>
        <v>-3743</v>
      </c>
      <c r="U17" s="980">
        <f>IF($I$84="Y",-R17,0)</f>
        <v>0</v>
      </c>
      <c r="V17" s="937">
        <f t="shared" si="7"/>
        <v>-3743</v>
      </c>
      <c r="Y17" s="123"/>
    </row>
    <row r="18" spans="1:25">
      <c r="A18" s="1015">
        <f t="shared" si="1"/>
        <v>8</v>
      </c>
      <c r="B18" s="996">
        <v>190300</v>
      </c>
      <c r="C18" s="1017" t="s">
        <v>708</v>
      </c>
      <c r="D18" s="1017"/>
      <c r="E18" s="1541">
        <f t="shared" si="2"/>
        <v>103337.86</v>
      </c>
      <c r="F18" s="1555"/>
      <c r="G18" s="1541">
        <f t="shared" si="3"/>
        <v>158751</v>
      </c>
      <c r="H18" s="804"/>
      <c r="I18" s="1754">
        <f t="shared" si="8"/>
        <v>-158751</v>
      </c>
      <c r="J18" s="1755"/>
      <c r="K18" s="1754">
        <f t="shared" si="4"/>
        <v>0</v>
      </c>
      <c r="L18" s="667"/>
      <c r="M18" s="75">
        <f t="shared" si="0"/>
        <v>11</v>
      </c>
      <c r="N18" s="980">
        <v>103337.86</v>
      </c>
      <c r="O18" s="980"/>
      <c r="P18" s="937">
        <f t="shared" si="5"/>
        <v>103337.86</v>
      </c>
      <c r="Q18" s="980">
        <v>97961</v>
      </c>
      <c r="R18" s="980">
        <v>60790</v>
      </c>
      <c r="S18" s="937">
        <f t="shared" si="6"/>
        <v>158751</v>
      </c>
      <c r="T18" s="1011">
        <f>IF($I$84="Y",-Q18,0)</f>
        <v>-97961</v>
      </c>
      <c r="U18" s="1011">
        <f>IF($I$84="Y",-R18,0)</f>
        <v>-60790</v>
      </c>
      <c r="V18" s="937">
        <f>+T18+U18+IF(I84="Y",0,'Sched M-2'!O86)</f>
        <v>-158751</v>
      </c>
      <c r="Y18" s="123"/>
    </row>
    <row r="19" spans="1:25">
      <c r="A19" s="1015">
        <f t="shared" si="1"/>
        <v>9</v>
      </c>
      <c r="B19" s="996">
        <v>190300</v>
      </c>
      <c r="C19" s="1017" t="s">
        <v>1000</v>
      </c>
      <c r="D19" s="1017"/>
      <c r="E19" s="1541">
        <f t="shared" si="2"/>
        <v>4110481.62</v>
      </c>
      <c r="F19" s="1555"/>
      <c r="G19" s="1541">
        <f t="shared" si="3"/>
        <v>2962262</v>
      </c>
      <c r="H19" s="804"/>
      <c r="I19" s="1541">
        <f>IF('MCC Testimony Table'!F37="Y",'Sched M-1'!K94+HLOOKUP(Attach,$T$8:$Y$235,$M19,FALSE),HLOOKUP(Attach,$T$8:$Y$235,$M19,FALSE))</f>
        <v>1599756.3574745301</v>
      </c>
      <c r="J19" s="804"/>
      <c r="K19" s="1541">
        <f t="shared" si="4"/>
        <v>4562018.3574745301</v>
      </c>
      <c r="L19" s="667"/>
      <c r="M19" s="75">
        <f t="shared" si="0"/>
        <v>12</v>
      </c>
      <c r="N19" s="980">
        <v>3685263.85</v>
      </c>
      <c r="O19" s="980">
        <v>425217.77</v>
      </c>
      <c r="P19" s="937">
        <f t="shared" si="5"/>
        <v>4110481.62</v>
      </c>
      <c r="Q19" s="980">
        <v>2859182</v>
      </c>
      <c r="R19" s="980">
        <v>103080</v>
      </c>
      <c r="S19" s="937">
        <f t="shared" si="6"/>
        <v>2962262</v>
      </c>
      <c r="T19" s="980">
        <f>-T42*COMPRATE</f>
        <v>-1293194.6830186602</v>
      </c>
      <c r="U19" s="1011">
        <f>-U42*COMPRATE</f>
        <v>882259.89495910215</v>
      </c>
      <c r="V19" s="937">
        <f t="shared" si="7"/>
        <v>-410934.78805955802</v>
      </c>
    </row>
    <row r="20" spans="1:25">
      <c r="A20" s="1015">
        <f t="shared" si="1"/>
        <v>10</v>
      </c>
      <c r="B20" s="996">
        <v>190300</v>
      </c>
      <c r="C20" s="1017" t="s">
        <v>709</v>
      </c>
      <c r="D20" s="1017"/>
      <c r="E20" s="1541">
        <f t="shared" si="2"/>
        <v>3086.48</v>
      </c>
      <c r="F20" s="1555"/>
      <c r="G20" s="1541">
        <f t="shared" si="3"/>
        <v>140</v>
      </c>
      <c r="H20" s="804"/>
      <c r="I20" s="1541">
        <f t="shared" si="8"/>
        <v>0</v>
      </c>
      <c r="J20" s="804"/>
      <c r="K20" s="1541">
        <f t="shared" si="4"/>
        <v>140</v>
      </c>
      <c r="L20" s="667"/>
      <c r="M20" s="75">
        <f t="shared" si="0"/>
        <v>13</v>
      </c>
      <c r="N20" s="980">
        <v>3086.48</v>
      </c>
      <c r="O20" s="980"/>
      <c r="P20" s="937">
        <f t="shared" si="5"/>
        <v>3086.48</v>
      </c>
      <c r="Q20" s="980">
        <v>140</v>
      </c>
      <c r="R20" s="980"/>
      <c r="S20" s="937">
        <f t="shared" si="6"/>
        <v>140</v>
      </c>
      <c r="T20" s="980"/>
      <c r="U20" s="1011"/>
      <c r="V20" s="937">
        <f t="shared" si="7"/>
        <v>0</v>
      </c>
      <c r="W20" s="1775"/>
      <c r="Y20" s="123"/>
    </row>
    <row r="21" spans="1:25">
      <c r="A21" s="1015">
        <f t="shared" si="1"/>
        <v>11</v>
      </c>
      <c r="B21" s="996">
        <v>190300</v>
      </c>
      <c r="C21" s="1017" t="s">
        <v>1002</v>
      </c>
      <c r="D21" s="1017"/>
      <c r="E21" s="1541">
        <f t="shared" si="2"/>
        <v>-1165.47</v>
      </c>
      <c r="F21" s="1555"/>
      <c r="G21" s="1541">
        <f t="shared" si="3"/>
        <v>-1040</v>
      </c>
      <c r="H21" s="804"/>
      <c r="I21" s="1541">
        <f t="shared" ref="I21:I28" si="9">IFERROR(HLOOKUP(Attach,$T$8:$Y$235,$M21,FALSE),0)</f>
        <v>0</v>
      </c>
      <c r="J21" s="804"/>
      <c r="K21" s="1541">
        <f t="shared" si="4"/>
        <v>-1040</v>
      </c>
      <c r="L21" s="667"/>
      <c r="M21" s="75">
        <f t="shared" si="0"/>
        <v>14</v>
      </c>
      <c r="N21" s="980">
        <v>-1165.3800000000001</v>
      </c>
      <c r="O21" s="980">
        <v>-0.09</v>
      </c>
      <c r="P21" s="937">
        <f t="shared" si="5"/>
        <v>-1165.47</v>
      </c>
      <c r="Q21" s="980">
        <v>-1040</v>
      </c>
      <c r="R21" s="980">
        <v>0</v>
      </c>
      <c r="S21" s="937">
        <f t="shared" si="6"/>
        <v>-1040</v>
      </c>
      <c r="T21" s="980"/>
      <c r="U21" s="1011"/>
      <c r="V21" s="937">
        <f t="shared" si="7"/>
        <v>0</v>
      </c>
      <c r="Y21" s="123"/>
    </row>
    <row r="22" spans="1:25">
      <c r="A22" s="1015">
        <f t="shared" ref="A22:A74" si="10">A21+1</f>
        <v>12</v>
      </c>
      <c r="B22" s="996">
        <v>190300</v>
      </c>
      <c r="C22" s="1017" t="s">
        <v>1003</v>
      </c>
      <c r="D22" s="1017"/>
      <c r="E22" s="1541">
        <f t="shared" si="2"/>
        <v>-1716296.54</v>
      </c>
      <c r="F22" s="1555"/>
      <c r="G22" s="1541">
        <f t="shared" si="3"/>
        <v>-1837486</v>
      </c>
      <c r="H22" s="804"/>
      <c r="I22" s="1754">
        <f t="shared" si="9"/>
        <v>1837486</v>
      </c>
      <c r="J22" s="1755"/>
      <c r="K22" s="1754">
        <f t="shared" si="4"/>
        <v>0</v>
      </c>
      <c r="L22" s="667"/>
      <c r="M22" s="75">
        <f t="shared" si="0"/>
        <v>15</v>
      </c>
      <c r="N22" s="980">
        <v>-1716296.54</v>
      </c>
      <c r="O22" s="980"/>
      <c r="P22" s="937">
        <f t="shared" si="5"/>
        <v>-1716296.54</v>
      </c>
      <c r="Q22" s="980">
        <v>-1837486</v>
      </c>
      <c r="R22" s="980"/>
      <c r="S22" s="937">
        <f t="shared" si="6"/>
        <v>-1837486</v>
      </c>
      <c r="T22" s="1011">
        <f t="shared" ref="T22:U26" si="11">IF($I$84="Y",-Q22,0)</f>
        <v>1837486</v>
      </c>
      <c r="U22" s="1011">
        <f t="shared" si="11"/>
        <v>0</v>
      </c>
      <c r="V22" s="937">
        <f>+T22+U22+IF(I84="Y",0,'Sched M-2'!O87)</f>
        <v>1837486</v>
      </c>
      <c r="Y22" s="123"/>
    </row>
    <row r="23" spans="1:25">
      <c r="A23" s="1015">
        <f t="shared" si="10"/>
        <v>13</v>
      </c>
      <c r="B23" s="996">
        <v>190300</v>
      </c>
      <c r="C23" s="1017" t="s">
        <v>1129</v>
      </c>
      <c r="D23" s="1017"/>
      <c r="E23" s="1541">
        <f t="shared" si="2"/>
        <v>0</v>
      </c>
      <c r="F23" s="1555"/>
      <c r="G23" s="1541">
        <f t="shared" si="3"/>
        <v>2522</v>
      </c>
      <c r="H23" s="804"/>
      <c r="I23" s="1754">
        <f t="shared" si="9"/>
        <v>-2522</v>
      </c>
      <c r="J23" s="1755"/>
      <c r="K23" s="1754">
        <f>+I23+G23</f>
        <v>0</v>
      </c>
      <c r="L23" s="667"/>
      <c r="M23" s="75">
        <f t="shared" si="0"/>
        <v>16</v>
      </c>
      <c r="N23" s="980"/>
      <c r="O23" s="980"/>
      <c r="P23" s="937">
        <f t="shared" si="5"/>
        <v>0</v>
      </c>
      <c r="Q23" s="980"/>
      <c r="R23" s="980">
        <v>2522</v>
      </c>
      <c r="S23" s="937">
        <f t="shared" si="6"/>
        <v>2522</v>
      </c>
      <c r="T23" s="1011">
        <f t="shared" si="11"/>
        <v>0</v>
      </c>
      <c r="U23" s="1011">
        <f t="shared" si="11"/>
        <v>-2522</v>
      </c>
      <c r="V23" s="937">
        <f t="shared" si="7"/>
        <v>-2522</v>
      </c>
      <c r="Y23" s="123"/>
    </row>
    <row r="24" spans="1:25">
      <c r="A24" s="1015">
        <f t="shared" si="10"/>
        <v>14</v>
      </c>
      <c r="B24" s="996">
        <v>190300</v>
      </c>
      <c r="C24" s="1017" t="s">
        <v>1004</v>
      </c>
      <c r="D24" s="1017"/>
      <c r="E24" s="1541">
        <f t="shared" si="2"/>
        <v>3925153.14</v>
      </c>
      <c r="F24" s="1555"/>
      <c r="G24" s="1541">
        <f t="shared" si="3"/>
        <v>4001446</v>
      </c>
      <c r="H24" s="1556"/>
      <c r="I24" s="1754">
        <f t="shared" si="9"/>
        <v>-4001446</v>
      </c>
      <c r="J24" s="1756"/>
      <c r="K24" s="1754">
        <f>+I24+G24</f>
        <v>0</v>
      </c>
      <c r="L24" s="570"/>
      <c r="M24" s="75">
        <f t="shared" si="0"/>
        <v>17</v>
      </c>
      <c r="N24" s="980">
        <v>3835544.29</v>
      </c>
      <c r="O24" s="1011">
        <v>89608.85</v>
      </c>
      <c r="P24" s="937">
        <f t="shared" si="5"/>
        <v>3925153.14</v>
      </c>
      <c r="Q24" s="980">
        <v>4010734</v>
      </c>
      <c r="R24" s="1011">
        <v>-9288</v>
      </c>
      <c r="S24" s="937">
        <f t="shared" si="6"/>
        <v>4001446</v>
      </c>
      <c r="T24" s="1011">
        <f t="shared" si="11"/>
        <v>-4010734</v>
      </c>
      <c r="U24" s="1011">
        <f t="shared" si="11"/>
        <v>9288</v>
      </c>
      <c r="V24" s="937">
        <f t="shared" si="7"/>
        <v>-4001446</v>
      </c>
      <c r="Y24" s="123"/>
    </row>
    <row r="25" spans="1:25">
      <c r="A25" s="1015">
        <f t="shared" si="10"/>
        <v>15</v>
      </c>
      <c r="B25" s="996">
        <v>190300</v>
      </c>
      <c r="C25" s="1017" t="s">
        <v>1005</v>
      </c>
      <c r="D25" s="1017"/>
      <c r="E25" s="1541">
        <f t="shared" si="2"/>
        <v>72295.709999999992</v>
      </c>
      <c r="F25" s="1555"/>
      <c r="G25" s="1541">
        <f t="shared" si="3"/>
        <v>320280</v>
      </c>
      <c r="H25" s="804"/>
      <c r="I25" s="1754">
        <f t="shared" si="9"/>
        <v>-320280</v>
      </c>
      <c r="J25" s="1755"/>
      <c r="K25" s="1754">
        <f>+I25+G25</f>
        <v>0</v>
      </c>
      <c r="L25" s="667"/>
      <c r="M25" s="75">
        <f t="shared" si="0"/>
        <v>18</v>
      </c>
      <c r="N25" s="980">
        <v>23103.69</v>
      </c>
      <c r="O25" s="1011">
        <v>49192.02</v>
      </c>
      <c r="P25" s="937">
        <f t="shared" si="5"/>
        <v>72295.709999999992</v>
      </c>
      <c r="Q25" s="980">
        <v>219423</v>
      </c>
      <c r="R25" s="1011">
        <v>100857</v>
      </c>
      <c r="S25" s="937">
        <f t="shared" si="6"/>
        <v>320280</v>
      </c>
      <c r="T25" s="1011">
        <f t="shared" si="11"/>
        <v>-219423</v>
      </c>
      <c r="U25" s="1011">
        <f t="shared" si="11"/>
        <v>-100857</v>
      </c>
      <c r="V25" s="937">
        <f t="shared" si="7"/>
        <v>-320280</v>
      </c>
      <c r="Y25" s="123"/>
    </row>
    <row r="26" spans="1:25">
      <c r="A26" s="1015">
        <f t="shared" si="10"/>
        <v>16</v>
      </c>
      <c r="B26" s="996">
        <v>190300</v>
      </c>
      <c r="C26" s="1017" t="s">
        <v>1006</v>
      </c>
      <c r="D26" s="1017"/>
      <c r="E26" s="1541">
        <f t="shared" si="2"/>
        <v>1647073.25</v>
      </c>
      <c r="F26" s="1555"/>
      <c r="G26" s="1541">
        <f t="shared" si="3"/>
        <v>1453579</v>
      </c>
      <c r="H26" s="804"/>
      <c r="I26" s="1754">
        <f t="shared" si="9"/>
        <v>-1453579</v>
      </c>
      <c r="J26" s="1755"/>
      <c r="K26" s="1754">
        <f>+I26+G26</f>
        <v>0</v>
      </c>
      <c r="L26" s="667"/>
      <c r="M26" s="75">
        <f t="shared" si="0"/>
        <v>19</v>
      </c>
      <c r="N26" s="980">
        <v>892496.26</v>
      </c>
      <c r="O26" s="1011">
        <v>754576.99</v>
      </c>
      <c r="P26" s="937">
        <f t="shared" si="5"/>
        <v>1647073.25</v>
      </c>
      <c r="Q26" s="980">
        <v>771498</v>
      </c>
      <c r="R26" s="1011">
        <v>682081</v>
      </c>
      <c r="S26" s="937">
        <f t="shared" si="6"/>
        <v>1453579</v>
      </c>
      <c r="T26" s="1011">
        <f t="shared" si="11"/>
        <v>-771498</v>
      </c>
      <c r="U26" s="1011">
        <f t="shared" si="11"/>
        <v>-682081</v>
      </c>
      <c r="V26" s="937">
        <f t="shared" si="7"/>
        <v>-1453579</v>
      </c>
      <c r="Y26" s="123"/>
    </row>
    <row r="27" spans="1:25">
      <c r="A27" s="1015">
        <f t="shared" si="10"/>
        <v>17</v>
      </c>
      <c r="B27" s="996">
        <v>190300</v>
      </c>
      <c r="C27" s="1017" t="s">
        <v>1007</v>
      </c>
      <c r="D27" s="1017"/>
      <c r="E27" s="1541">
        <f t="shared" si="2"/>
        <v>0</v>
      </c>
      <c r="F27" s="1555"/>
      <c r="G27" s="1541">
        <f t="shared" si="3"/>
        <v>0</v>
      </c>
      <c r="H27" s="804"/>
      <c r="I27" s="1541">
        <f t="shared" si="9"/>
        <v>0</v>
      </c>
      <c r="J27" s="804"/>
      <c r="K27" s="1541">
        <f t="shared" ref="K27" si="12">+I27+G27</f>
        <v>0</v>
      </c>
      <c r="L27" s="667"/>
      <c r="M27" s="75">
        <f t="shared" si="0"/>
        <v>20</v>
      </c>
      <c r="N27" s="980"/>
      <c r="O27" s="980"/>
      <c r="P27" s="937">
        <f t="shared" si="5"/>
        <v>0</v>
      </c>
      <c r="Q27" s="980"/>
      <c r="R27" s="980"/>
      <c r="S27" s="937">
        <f t="shared" si="6"/>
        <v>0</v>
      </c>
      <c r="T27" s="980"/>
      <c r="U27" s="1011"/>
      <c r="V27" s="937">
        <f t="shared" si="7"/>
        <v>0</v>
      </c>
      <c r="Y27" s="123"/>
    </row>
    <row r="28" spans="1:25">
      <c r="A28" s="1015">
        <f t="shared" si="10"/>
        <v>18</v>
      </c>
      <c r="B28" s="996">
        <v>190300</v>
      </c>
      <c r="C28" s="1017" t="s">
        <v>711</v>
      </c>
      <c r="D28" s="1017"/>
      <c r="E28" s="1541">
        <f t="shared" si="2"/>
        <v>38809.47</v>
      </c>
      <c r="F28" s="1555"/>
      <c r="G28" s="1541">
        <f t="shared" si="3"/>
        <v>0</v>
      </c>
      <c r="H28" s="804"/>
      <c r="I28" s="1541">
        <f t="shared" si="9"/>
        <v>0</v>
      </c>
      <c r="J28" s="804"/>
      <c r="K28" s="1541">
        <f>+I28+G28</f>
        <v>0</v>
      </c>
      <c r="L28" s="667"/>
      <c r="M28" s="75">
        <f t="shared" si="0"/>
        <v>21</v>
      </c>
      <c r="N28" s="980">
        <v>38809.47</v>
      </c>
      <c r="O28" s="1011"/>
      <c r="P28" s="937">
        <f t="shared" si="5"/>
        <v>38809.47</v>
      </c>
      <c r="Q28" s="980">
        <v>0</v>
      </c>
      <c r="R28" s="1011"/>
      <c r="S28" s="937">
        <f t="shared" si="6"/>
        <v>0</v>
      </c>
      <c r="T28" s="980"/>
      <c r="U28" s="1011"/>
      <c r="V28" s="937">
        <f t="shared" si="7"/>
        <v>0</v>
      </c>
      <c r="Y28" s="123"/>
    </row>
    <row r="29" spans="1:25">
      <c r="A29" s="1015">
        <f t="shared" si="10"/>
        <v>19</v>
      </c>
      <c r="B29" s="996">
        <v>190300</v>
      </c>
      <c r="C29" s="1017" t="s">
        <v>1008</v>
      </c>
      <c r="D29" s="1017"/>
      <c r="E29" s="1541">
        <f t="shared" si="2"/>
        <v>5029650.6167725204</v>
      </c>
      <c r="F29" s="1555"/>
      <c r="G29" s="1541">
        <f t="shared" si="3"/>
        <v>7611459</v>
      </c>
      <c r="H29" s="804"/>
      <c r="I29" s="1765">
        <f>IF(I86="Y",I78,IFERROR(HLOOKUP(Attach,$T$8:$Y$235,$M29,FALSE),0))</f>
        <v>1821520</v>
      </c>
      <c r="J29" s="804"/>
      <c r="K29" s="1541">
        <f>+I29+G29</f>
        <v>9432979</v>
      </c>
      <c r="L29" s="667"/>
      <c r="M29" s="75">
        <f t="shared" si="0"/>
        <v>22</v>
      </c>
      <c r="N29" s="980"/>
      <c r="O29" s="1011">
        <v>5029650.6167725204</v>
      </c>
      <c r="P29" s="937">
        <f t="shared" si="5"/>
        <v>5029650.6167725204</v>
      </c>
      <c r="Q29" s="980"/>
      <c r="R29" s="1011">
        <v>7611459</v>
      </c>
      <c r="S29" s="937">
        <f t="shared" si="6"/>
        <v>7611459</v>
      </c>
      <c r="T29" s="980"/>
      <c r="U29" s="1011">
        <v>1684782</v>
      </c>
      <c r="V29" s="937">
        <f t="shared" si="7"/>
        <v>1684782</v>
      </c>
      <c r="Y29" s="123"/>
    </row>
    <row r="30" spans="1:25">
      <c r="A30" s="1015">
        <f t="shared" si="10"/>
        <v>20</v>
      </c>
      <c r="B30" s="996">
        <v>190300</v>
      </c>
      <c r="C30" s="1017" t="s">
        <v>1009</v>
      </c>
      <c r="D30" s="1017"/>
      <c r="E30" s="1541">
        <f t="shared" si="2"/>
        <v>50000</v>
      </c>
      <c r="F30" s="1555"/>
      <c r="G30" s="1541">
        <f t="shared" si="3"/>
        <v>50000</v>
      </c>
      <c r="H30" s="804"/>
      <c r="I30" s="1754">
        <f>IFERROR(HLOOKUP(Attach,$T$8:$Y$235,$M30,FALSE),0)</f>
        <v>-50000</v>
      </c>
      <c r="J30" s="1755"/>
      <c r="K30" s="1754">
        <f t="shared" si="4"/>
        <v>0</v>
      </c>
      <c r="L30" s="667"/>
      <c r="M30" s="75">
        <f t="shared" si="0"/>
        <v>23</v>
      </c>
      <c r="N30" s="980">
        <v>50000</v>
      </c>
      <c r="O30" s="980"/>
      <c r="P30" s="937">
        <f t="shared" si="5"/>
        <v>50000</v>
      </c>
      <c r="Q30" s="980">
        <v>50000</v>
      </c>
      <c r="R30" s="980"/>
      <c r="S30" s="937">
        <f t="shared" si="6"/>
        <v>50000</v>
      </c>
      <c r="T30" s="1011">
        <f t="shared" ref="T30:U32" si="13">IF($I$84="Y",-Q30,0)</f>
        <v>-50000</v>
      </c>
      <c r="U30" s="1011">
        <f t="shared" si="13"/>
        <v>0</v>
      </c>
      <c r="V30" s="937">
        <f t="shared" si="7"/>
        <v>-50000</v>
      </c>
      <c r="Y30" s="123"/>
    </row>
    <row r="31" spans="1:25">
      <c r="A31" s="1015">
        <f t="shared" si="10"/>
        <v>21</v>
      </c>
      <c r="B31" s="996">
        <v>190300</v>
      </c>
      <c r="C31" s="1017" t="s">
        <v>1010</v>
      </c>
      <c r="D31" s="1017"/>
      <c r="E31" s="1541">
        <f t="shared" si="2"/>
        <v>7286</v>
      </c>
      <c r="F31" s="1555"/>
      <c r="G31" s="1541">
        <f t="shared" si="3"/>
        <v>7286</v>
      </c>
      <c r="H31" s="804"/>
      <c r="I31" s="1754">
        <f>IFERROR(HLOOKUP(Attach,$T$8:$Y$235,$M31,FALSE),0)</f>
        <v>-7286</v>
      </c>
      <c r="J31" s="1755"/>
      <c r="K31" s="1754">
        <f t="shared" si="4"/>
        <v>0</v>
      </c>
      <c r="L31" s="667"/>
      <c r="M31" s="75">
        <f t="shared" si="0"/>
        <v>24</v>
      </c>
      <c r="N31" s="980">
        <v>7286</v>
      </c>
      <c r="O31" s="980"/>
      <c r="P31" s="937">
        <f t="shared" si="5"/>
        <v>7286</v>
      </c>
      <c r="Q31" s="980">
        <v>7286</v>
      </c>
      <c r="R31" s="980"/>
      <c r="S31" s="937">
        <f t="shared" si="6"/>
        <v>7286</v>
      </c>
      <c r="T31" s="1011">
        <f t="shared" si="13"/>
        <v>-7286</v>
      </c>
      <c r="U31" s="1011">
        <f t="shared" si="13"/>
        <v>0</v>
      </c>
      <c r="V31" s="937">
        <f t="shared" si="7"/>
        <v>-7286</v>
      </c>
      <c r="Y31" s="123"/>
    </row>
    <row r="32" spans="1:25">
      <c r="A32" s="1015">
        <f t="shared" si="10"/>
        <v>22</v>
      </c>
      <c r="B32" s="996">
        <v>190300</v>
      </c>
      <c r="C32" s="1017" t="s">
        <v>1011</v>
      </c>
      <c r="D32" s="1017"/>
      <c r="E32" s="1541">
        <f t="shared" si="2"/>
        <v>76065.61</v>
      </c>
      <c r="F32" s="1555"/>
      <c r="G32" s="1541">
        <f t="shared" si="3"/>
        <v>82809</v>
      </c>
      <c r="H32" s="804"/>
      <c r="I32" s="1754">
        <f>IFERROR(HLOOKUP(Attach,$T$8:$Y$235,$M32,FALSE),0)</f>
        <v>-82809</v>
      </c>
      <c r="J32" s="1755"/>
      <c r="K32" s="1754">
        <f t="shared" si="4"/>
        <v>0</v>
      </c>
      <c r="L32" s="667"/>
      <c r="M32" s="75">
        <f t="shared" si="0"/>
        <v>25</v>
      </c>
      <c r="N32" s="980">
        <v>-981.95</v>
      </c>
      <c r="O32" s="980">
        <v>77047.56</v>
      </c>
      <c r="P32" s="937">
        <f t="shared" si="5"/>
        <v>76065.61</v>
      </c>
      <c r="Q32" s="980">
        <v>-931</v>
      </c>
      <c r="R32" s="980">
        <v>83740</v>
      </c>
      <c r="S32" s="937">
        <f t="shared" si="6"/>
        <v>82809</v>
      </c>
      <c r="T32" s="1011">
        <f t="shared" si="13"/>
        <v>931</v>
      </c>
      <c r="U32" s="1011">
        <f t="shared" si="13"/>
        <v>-83740</v>
      </c>
      <c r="V32" s="937">
        <f t="shared" si="7"/>
        <v>-82809</v>
      </c>
      <c r="Y32" s="123"/>
    </row>
    <row r="33" spans="1:25">
      <c r="A33" s="1015">
        <f t="shared" si="10"/>
        <v>23</v>
      </c>
      <c r="B33" s="996">
        <v>190300</v>
      </c>
      <c r="C33" s="1017" t="s">
        <v>710</v>
      </c>
      <c r="D33" s="1017"/>
      <c r="E33" s="1542">
        <f t="shared" si="2"/>
        <v>1502652.8399999999</v>
      </c>
      <c r="F33" s="1555"/>
      <c r="G33" s="1542">
        <f t="shared" si="3"/>
        <v>0</v>
      </c>
      <c r="H33" s="804"/>
      <c r="I33" s="1541">
        <f>IFERROR(HLOOKUP(Attach,$T$8:$Y$235,$M33,FALSE),0)</f>
        <v>0</v>
      </c>
      <c r="J33" s="804"/>
      <c r="K33" s="1542">
        <f t="shared" si="4"/>
        <v>0</v>
      </c>
      <c r="L33" s="667"/>
      <c r="M33" s="75">
        <f t="shared" si="0"/>
        <v>26</v>
      </c>
      <c r="N33" s="1009">
        <v>553977.59</v>
      </c>
      <c r="O33" s="1009">
        <v>948675.25</v>
      </c>
      <c r="P33" s="946">
        <f t="shared" si="5"/>
        <v>1502652.8399999999</v>
      </c>
      <c r="Q33" s="1009"/>
      <c r="R33" s="1009"/>
      <c r="S33" s="946">
        <f t="shared" si="6"/>
        <v>0</v>
      </c>
      <c r="T33" s="1202"/>
      <c r="U33" s="1202"/>
      <c r="V33" s="946">
        <f t="shared" si="7"/>
        <v>0</v>
      </c>
      <c r="Y33" s="123"/>
    </row>
    <row r="34" spans="1:25">
      <c r="A34" s="1015">
        <f t="shared" si="10"/>
        <v>24</v>
      </c>
      <c r="B34" s="996"/>
      <c r="C34" s="1020" t="s">
        <v>339</v>
      </c>
      <c r="D34" s="1020"/>
      <c r="E34" s="1547">
        <f>SUM(E12:E33)</f>
        <v>17249709.036772523</v>
      </c>
      <c r="F34" s="1549"/>
      <c r="G34" s="1547">
        <f>SUM(G12:G33)</f>
        <v>16253957</v>
      </c>
      <c r="H34" s="1538"/>
      <c r="I34" s="1547">
        <f ca="1">SUM(I12:I33)</f>
        <v>-782119.3451355244</v>
      </c>
      <c r="J34" s="1539"/>
      <c r="K34" s="1547">
        <f ca="1">SUM(K12:K33)</f>
        <v>15471837.654864475</v>
      </c>
      <c r="L34" s="751"/>
      <c r="M34" s="75">
        <f t="shared" si="0"/>
        <v>27</v>
      </c>
      <c r="N34" s="979">
        <f>SUM(N12:N33)</f>
        <v>9514107.0500000026</v>
      </c>
      <c r="O34" s="979">
        <f>SUM(O12:O33)</f>
        <v>7735601.9867725195</v>
      </c>
      <c r="P34" s="946">
        <f>+N34+O34</f>
        <v>17249709.036772523</v>
      </c>
      <c r="Q34" s="979">
        <f>SUM(Q12:Q33)</f>
        <v>7269974</v>
      </c>
      <c r="R34" s="979">
        <f>SUM(R12:R33)</f>
        <v>8983983</v>
      </c>
      <c r="S34" s="946">
        <f>+Q34+R34</f>
        <v>16253957</v>
      </c>
      <c r="T34" s="979">
        <f>SUM(T12:T33)</f>
        <v>-4615422.6830186602</v>
      </c>
      <c r="U34" s="979">
        <f>SUM(U12:U33)</f>
        <v>1646339.8949591022</v>
      </c>
      <c r="V34" s="946">
        <f t="shared" si="7"/>
        <v>-2969082.7880595578</v>
      </c>
      <c r="Y34" s="123"/>
    </row>
    <row r="35" spans="1:25">
      <c r="A35" s="1015">
        <f t="shared" si="10"/>
        <v>25</v>
      </c>
      <c r="B35" s="996"/>
      <c r="C35" s="82"/>
      <c r="D35" s="82"/>
      <c r="E35" s="1024"/>
      <c r="F35" s="1024"/>
      <c r="G35" s="1024">
        <f>2046802-G26-G25-G18</f>
        <v>114192</v>
      </c>
      <c r="H35" s="81"/>
      <c r="I35" s="1024"/>
      <c r="J35" s="82"/>
      <c r="K35" s="1024"/>
      <c r="L35" s="47"/>
      <c r="M35" s="75">
        <f t="shared" si="0"/>
        <v>28</v>
      </c>
      <c r="N35" s="976"/>
      <c r="O35" s="976"/>
      <c r="P35" s="506"/>
      <c r="Q35" s="976"/>
      <c r="R35" s="976"/>
      <c r="S35" s="506"/>
      <c r="T35" s="976"/>
      <c r="U35" s="976"/>
      <c r="V35" s="506"/>
      <c r="Y35" s="123"/>
    </row>
    <row r="36" spans="1:25">
      <c r="A36" s="1015">
        <f t="shared" si="10"/>
        <v>26</v>
      </c>
      <c r="B36" s="996"/>
      <c r="C36" s="1025" t="s">
        <v>1012</v>
      </c>
      <c r="D36" s="1025"/>
      <c r="E36" s="1024"/>
      <c r="F36" s="1024"/>
      <c r="G36" s="1024"/>
      <c r="H36" s="82"/>
      <c r="I36" s="1024"/>
      <c r="J36" s="82"/>
      <c r="K36" s="1024"/>
      <c r="L36" s="47"/>
      <c r="M36" s="75">
        <f t="shared" si="0"/>
        <v>29</v>
      </c>
      <c r="N36" s="976"/>
      <c r="O36" s="976"/>
      <c r="P36" s="506"/>
      <c r="Q36" s="976"/>
      <c r="R36" s="976"/>
      <c r="S36" s="506"/>
      <c r="T36" s="976"/>
      <c r="U36" s="976"/>
      <c r="V36" s="506"/>
      <c r="Y36" s="123"/>
    </row>
    <row r="37" spans="1:25">
      <c r="A37" s="1015">
        <f t="shared" si="10"/>
        <v>27</v>
      </c>
      <c r="B37" s="996">
        <v>254015</v>
      </c>
      <c r="C37" s="75" t="s">
        <v>1013</v>
      </c>
      <c r="D37" s="81"/>
      <c r="E37" s="1026">
        <f>HLOOKUP(Attach,$N$8:$Y$235,M37,FALSE)</f>
        <v>-20047883.75</v>
      </c>
      <c r="F37" s="1549"/>
      <c r="G37" s="1026">
        <f>HLOOKUP(Attach,$Q$8:$Y$235,M37,FALSE)</f>
        <v>-20763764</v>
      </c>
      <c r="H37" s="1539"/>
      <c r="I37" s="1026">
        <f>HLOOKUP(Attach,$T$8:$Y$235,$M37,FALSE)</f>
        <v>736832.71065122797</v>
      </c>
      <c r="J37" s="1539"/>
      <c r="K37" s="1026">
        <f>+I37+G37</f>
        <v>-20026931.289348774</v>
      </c>
      <c r="L37" s="570"/>
      <c r="M37" s="75">
        <f t="shared" si="0"/>
        <v>30</v>
      </c>
      <c r="N37" s="980">
        <v>-14298675.75</v>
      </c>
      <c r="O37" s="980">
        <v>-5749208</v>
      </c>
      <c r="P37" s="937">
        <f t="shared" ref="P37:P46" si="14">+N37+O37</f>
        <v>-20047883.75</v>
      </c>
      <c r="Q37" s="980">
        <v>-14633621</v>
      </c>
      <c r="R37" s="980">
        <v>-6130143</v>
      </c>
      <c r="S37" s="937">
        <f t="shared" ref="S37:S46" si="15">+Q37+R37</f>
        <v>-20763764</v>
      </c>
      <c r="T37" s="928"/>
      <c r="U37" s="928">
        <f>IF(I82="Y",'Stmt K'!G74*-'Stmt N'!K354,0)</f>
        <v>736832.71065122797</v>
      </c>
      <c r="V37" s="937">
        <f t="shared" ref="V37:V46" si="16">+T37+U37</f>
        <v>736832.71065122797</v>
      </c>
      <c r="Y37" s="123"/>
    </row>
    <row r="38" spans="1:25">
      <c r="A38" s="1015">
        <f t="shared" si="10"/>
        <v>28</v>
      </c>
      <c r="B38" s="996">
        <v>254015</v>
      </c>
      <c r="C38" s="75" t="s">
        <v>1456</v>
      </c>
      <c r="D38" s="81"/>
      <c r="E38" s="1541">
        <f>HLOOKUP(Attach,$N$8:$Y$235,M38,FALSE)</f>
        <v>-5007957.4399999995</v>
      </c>
      <c r="F38" s="1557"/>
      <c r="G38" s="1541">
        <f>HLOOKUP(Attach,$Q$8:$Y$235,M38,FALSE)</f>
        <v>-3620477</v>
      </c>
      <c r="H38" s="719"/>
      <c r="I38" s="1541">
        <f>HLOOKUP(Attach,$T$8:$Y$235,$M38,FALSE)</f>
        <v>3620477</v>
      </c>
      <c r="J38" s="719"/>
      <c r="K38" s="1541">
        <f t="shared" ref="K38:K45" si="17">+I38+G38</f>
        <v>0</v>
      </c>
      <c r="L38" s="570"/>
      <c r="M38" s="75">
        <f t="shared" si="0"/>
        <v>31</v>
      </c>
      <c r="N38" s="980">
        <v>-4059220.34</v>
      </c>
      <c r="O38" s="980">
        <v>-948737.1</v>
      </c>
      <c r="P38" s="937">
        <f t="shared" si="14"/>
        <v>-5007957.4399999995</v>
      </c>
      <c r="Q38" s="980">
        <v>-2785728</v>
      </c>
      <c r="R38" s="980">
        <v>-834749</v>
      </c>
      <c r="S38" s="937">
        <f t="shared" si="15"/>
        <v>-3620477</v>
      </c>
      <c r="T38" s="980">
        <f>-Q38</f>
        <v>2785728</v>
      </c>
      <c r="U38" s="980">
        <f>-R38</f>
        <v>834749</v>
      </c>
      <c r="V38" s="937">
        <f t="shared" si="16"/>
        <v>3620477</v>
      </c>
      <c r="Y38" s="123"/>
    </row>
    <row r="39" spans="1:25">
      <c r="A39" s="1015">
        <f t="shared" si="10"/>
        <v>29</v>
      </c>
      <c r="B39" s="996">
        <v>254015</v>
      </c>
      <c r="C39" s="75" t="s">
        <v>1014</v>
      </c>
      <c r="D39" s="81"/>
      <c r="E39" s="1192">
        <f>HLOOKUP(Attach,$N$8:$Y$235,M39,FALSE)</f>
        <v>3528550.9</v>
      </c>
      <c r="F39" s="1557"/>
      <c r="G39" s="1192">
        <f>HLOOKUP(Attach,$Q$8:$Y$235,M39,FALSE)</f>
        <v>3722221.23</v>
      </c>
      <c r="H39" s="719"/>
      <c r="I39" s="1541">
        <f>HLOOKUP(Attach,$T$8:$Y$235,$M39,FALSE)</f>
        <v>-3722221.23</v>
      </c>
      <c r="J39" s="719"/>
      <c r="K39" s="1192">
        <f t="shared" si="17"/>
        <v>0</v>
      </c>
      <c r="L39" s="667"/>
      <c r="M39" s="75">
        <f t="shared" si="0"/>
        <v>32</v>
      </c>
      <c r="N39" s="980"/>
      <c r="O39" s="980">
        <v>3528550.9</v>
      </c>
      <c r="P39" s="937">
        <f t="shared" si="14"/>
        <v>3528550.9</v>
      </c>
      <c r="Q39" s="980"/>
      <c r="R39" s="980">
        <v>3722221.23</v>
      </c>
      <c r="S39" s="937">
        <f t="shared" si="15"/>
        <v>3722221.23</v>
      </c>
      <c r="T39" s="980"/>
      <c r="U39" s="980">
        <f>IF(I82="Y",-R39,0)</f>
        <v>-3722221.23</v>
      </c>
      <c r="V39" s="937">
        <f t="shared" si="16"/>
        <v>-3722221.23</v>
      </c>
      <c r="Y39" s="123"/>
    </row>
    <row r="40" spans="1:25">
      <c r="A40" s="1015">
        <f t="shared" si="10"/>
        <v>30</v>
      </c>
      <c r="B40" s="996">
        <v>254015</v>
      </c>
      <c r="C40" s="75" t="s">
        <v>1015</v>
      </c>
      <c r="D40" s="81"/>
      <c r="E40" s="1192">
        <f>HLOOKUP(Attach,$N$8:$Y$235,M40,FALSE)</f>
        <v>2059536.0699999998</v>
      </c>
      <c r="F40" s="1557"/>
      <c r="G40" s="1192">
        <f>HLOOKUP(Attach,$Q$8:$Y$235,M40,FALSE)</f>
        <v>2172577.1</v>
      </c>
      <c r="H40" s="719"/>
      <c r="I40" s="1192">
        <f>HLOOKUP(Attach,$T$8:$Y$235,$M40,FALSE)</f>
        <v>-2172577.1</v>
      </c>
      <c r="J40" s="719"/>
      <c r="K40" s="1192">
        <f>+I40+G40</f>
        <v>0</v>
      </c>
      <c r="L40" s="886"/>
      <c r="M40" s="75">
        <f t="shared" si="0"/>
        <v>33</v>
      </c>
      <c r="N40" s="980">
        <v>972246.32</v>
      </c>
      <c r="O40" s="980">
        <v>1087289.75</v>
      </c>
      <c r="P40" s="937">
        <f t="shared" si="14"/>
        <v>2059536.0699999998</v>
      </c>
      <c r="Q40" s="980">
        <v>1025609.66</v>
      </c>
      <c r="R40" s="980">
        <v>1146967.44</v>
      </c>
      <c r="S40" s="937">
        <f t="shared" si="15"/>
        <v>2172577.1</v>
      </c>
      <c r="T40" s="980">
        <f>-Q40</f>
        <v>-1025609.66</v>
      </c>
      <c r="U40" s="980">
        <f>-R40</f>
        <v>-1146967.44</v>
      </c>
      <c r="V40" s="937">
        <f t="shared" si="16"/>
        <v>-2172577.1</v>
      </c>
      <c r="Y40" s="123"/>
    </row>
    <row r="41" spans="1:25">
      <c r="A41" s="1015">
        <f t="shared" si="10"/>
        <v>31</v>
      </c>
      <c r="B41" s="996">
        <v>254015</v>
      </c>
      <c r="C41" s="81" t="s">
        <v>1016</v>
      </c>
      <c r="D41" s="81"/>
      <c r="E41" s="1384">
        <f>HLOOKUP(Attach,$N$8:$Y$235,M41,FALSE)</f>
        <v>-581204.14</v>
      </c>
      <c r="F41" s="1557"/>
      <c r="G41" s="1384">
        <f>HLOOKUP(Attach,$Q$8:$Y$235,M41,FALSE)</f>
        <v>-3049952</v>
      </c>
      <c r="H41" s="719"/>
      <c r="I41" s="1384">
        <f>HLOOKUP(Attach,$T$8:$Y$235,$M41,FALSE)</f>
        <v>3049952</v>
      </c>
      <c r="J41" s="719"/>
      <c r="K41" s="1384">
        <f>+I41+G41</f>
        <v>0</v>
      </c>
      <c r="L41" s="886"/>
      <c r="M41" s="75">
        <f t="shared" si="0"/>
        <v>34</v>
      </c>
      <c r="N41" s="1009">
        <v>-581204.14</v>
      </c>
      <c r="O41" s="1009"/>
      <c r="P41" s="946">
        <f t="shared" si="14"/>
        <v>-581204.14</v>
      </c>
      <c r="Q41" s="1009">
        <v>-2999541</v>
      </c>
      <c r="R41" s="1009">
        <v>-50411</v>
      </c>
      <c r="S41" s="946">
        <f t="shared" si="15"/>
        <v>-3049952</v>
      </c>
      <c r="T41" s="1009">
        <f>-Q41</f>
        <v>2999541</v>
      </c>
      <c r="U41" s="1009">
        <f>-R41</f>
        <v>50411</v>
      </c>
      <c r="V41" s="946">
        <f t="shared" si="16"/>
        <v>3049952</v>
      </c>
      <c r="Y41" s="123"/>
    </row>
    <row r="42" spans="1:25">
      <c r="A42" s="1015">
        <f t="shared" si="10"/>
        <v>32</v>
      </c>
      <c r="B42" s="996"/>
      <c r="C42" s="1025" t="s">
        <v>1017</v>
      </c>
      <c r="D42" s="81"/>
      <c r="E42" s="1550">
        <f>SUM(E37:E41)</f>
        <v>-20048958.359999999</v>
      </c>
      <c r="F42" s="1549"/>
      <c r="G42" s="1550">
        <f>SUM(G37:G41)</f>
        <v>-21539394.669999998</v>
      </c>
      <c r="H42" s="1539"/>
      <c r="I42" s="1550">
        <f>SUM(I37:I41)</f>
        <v>1512463.3806512281</v>
      </c>
      <c r="J42" s="1539"/>
      <c r="K42" s="1550">
        <f t="shared" ref="K42" si="18">+I42+G42</f>
        <v>-20026931.28934877</v>
      </c>
      <c r="L42" s="667"/>
      <c r="M42" s="75">
        <f t="shared" si="0"/>
        <v>35</v>
      </c>
      <c r="N42" s="1008">
        <f>SUM(N37:N41)</f>
        <v>-17966853.91</v>
      </c>
      <c r="O42" s="1008">
        <f>SUM(O37:O41)</f>
        <v>-2082104.4499999997</v>
      </c>
      <c r="P42" s="937">
        <f t="shared" si="14"/>
        <v>-20048958.359999999</v>
      </c>
      <c r="Q42" s="1008">
        <f>SUM(Q37:Q41)</f>
        <v>-19393280.34</v>
      </c>
      <c r="R42" s="1008">
        <f>SUM(R37:R41)</f>
        <v>-2146114.33</v>
      </c>
      <c r="S42" s="937">
        <f t="shared" si="15"/>
        <v>-21539394.670000002</v>
      </c>
      <c r="T42" s="1008">
        <f>SUM(T37:T41)</f>
        <v>4759659.34</v>
      </c>
      <c r="U42" s="1008">
        <f>SUM(U37:U41)</f>
        <v>-3247195.9593487722</v>
      </c>
      <c r="V42" s="937">
        <f t="shared" si="16"/>
        <v>1512463.3806512277</v>
      </c>
      <c r="W42" s="1776"/>
      <c r="Y42" s="123"/>
    </row>
    <row r="43" spans="1:25">
      <c r="A43" s="1015">
        <f t="shared" si="10"/>
        <v>33</v>
      </c>
      <c r="B43" s="996"/>
      <c r="C43" s="1025"/>
      <c r="D43" s="81"/>
      <c r="E43" s="1024"/>
      <c r="F43" s="1024"/>
      <c r="G43" s="1024"/>
      <c r="H43" s="680"/>
      <c r="I43" s="1024"/>
      <c r="J43" s="680"/>
      <c r="K43" s="1024"/>
      <c r="L43" s="667"/>
      <c r="M43" s="75">
        <f t="shared" si="0"/>
        <v>36</v>
      </c>
      <c r="N43" s="976"/>
      <c r="O43" s="976"/>
      <c r="P43" s="976"/>
      <c r="Q43" s="976"/>
      <c r="R43" s="976"/>
      <c r="S43" s="976"/>
      <c r="T43" s="976"/>
      <c r="U43" s="976"/>
      <c r="V43" s="976"/>
      <c r="W43" s="1776"/>
      <c r="Y43" s="123"/>
    </row>
    <row r="44" spans="1:25">
      <c r="A44" s="1015">
        <f t="shared" si="10"/>
        <v>34</v>
      </c>
      <c r="B44" s="996"/>
      <c r="C44" s="1025" t="s">
        <v>523</v>
      </c>
      <c r="D44" s="81"/>
      <c r="E44" s="1027"/>
      <c r="F44" s="1024"/>
      <c r="G44" s="1027"/>
      <c r="H44" s="668"/>
      <c r="I44" s="1027"/>
      <c r="J44" s="680"/>
      <c r="K44" s="1027"/>
      <c r="L44" s="667"/>
      <c r="M44" s="75">
        <f t="shared" si="0"/>
        <v>37</v>
      </c>
      <c r="N44" s="976"/>
      <c r="O44" s="976"/>
      <c r="P44" s="976"/>
      <c r="Q44" s="976"/>
      <c r="R44" s="976"/>
      <c r="S44" s="976"/>
      <c r="T44" s="976"/>
      <c r="U44" s="976"/>
      <c r="V44" s="976"/>
      <c r="Y44" s="123"/>
    </row>
    <row r="45" spans="1:25">
      <c r="A45" s="1015">
        <f t="shared" si="10"/>
        <v>35</v>
      </c>
      <c r="B45" s="996">
        <v>282300</v>
      </c>
      <c r="C45" s="1017" t="s">
        <v>524</v>
      </c>
      <c r="D45" s="81"/>
      <c r="E45" s="1026">
        <f>HLOOKUP(Attach,$N$8:$Y$235,M45,FALSE)</f>
        <v>-36324563.409999996</v>
      </c>
      <c r="F45" s="1549"/>
      <c r="G45" s="1026">
        <f>HLOOKUP(Attach,$Q$8:$Y$235,M45,FALSE)</f>
        <v>-37136762</v>
      </c>
      <c r="H45" s="1539"/>
      <c r="I45" s="1026">
        <f>SUM('Sched M-2'!O84,'Sched M-3'!O18)</f>
        <v>-5916792.5003393935</v>
      </c>
      <c r="J45" s="1539"/>
      <c r="K45" s="1026">
        <f t="shared" si="17"/>
        <v>-43053554.500339396</v>
      </c>
      <c r="L45" s="667"/>
      <c r="M45" s="75">
        <f t="shared" si="0"/>
        <v>38</v>
      </c>
      <c r="N45" s="1608">
        <v>-23868963.460000001</v>
      </c>
      <c r="O45" s="1608">
        <v>-12455599.949999999</v>
      </c>
      <c r="P45" s="946">
        <f t="shared" si="14"/>
        <v>-36324563.409999996</v>
      </c>
      <c r="Q45" s="1009">
        <v>-25879938</v>
      </c>
      <c r="R45" s="1009">
        <v>-11256824</v>
      </c>
      <c r="S45" s="946">
        <f t="shared" si="15"/>
        <v>-37136762</v>
      </c>
      <c r="T45" s="1202"/>
      <c r="U45" s="1202"/>
      <c r="V45" s="946">
        <f t="shared" si="16"/>
        <v>0</v>
      </c>
      <c r="Y45" s="123"/>
    </row>
    <row r="46" spans="1:25">
      <c r="A46" s="1015">
        <f t="shared" si="10"/>
        <v>36</v>
      </c>
      <c r="B46" s="996"/>
      <c r="C46" s="1020" t="s">
        <v>340</v>
      </c>
      <c r="D46" s="1025"/>
      <c r="E46" s="1547">
        <f>SUM(E45:E45)</f>
        <v>-36324563.409999996</v>
      </c>
      <c r="F46" s="1549"/>
      <c r="G46" s="1547">
        <f>SUM(G45:G45)</f>
        <v>-37136762</v>
      </c>
      <c r="H46" s="1538"/>
      <c r="I46" s="1547">
        <f>SUM(I45:I45)</f>
        <v>-5916792.5003393935</v>
      </c>
      <c r="J46" s="1539"/>
      <c r="K46" s="1547">
        <f>SUM(K45:K45)</f>
        <v>-43053554.500339396</v>
      </c>
      <c r="L46" s="751"/>
      <c r="M46" s="75">
        <f t="shared" si="0"/>
        <v>39</v>
      </c>
      <c r="N46" s="978">
        <f>SUM(N45:N45)</f>
        <v>-23868963.460000001</v>
      </c>
      <c r="O46" s="978">
        <f>SUM(O45:O45)</f>
        <v>-12455599.949999999</v>
      </c>
      <c r="P46" s="1609">
        <f t="shared" si="14"/>
        <v>-36324563.409999996</v>
      </c>
      <c r="Q46" s="978">
        <f>SUM(Q45:Q45)</f>
        <v>-25879938</v>
      </c>
      <c r="R46" s="978">
        <f>SUM(R45:R45)</f>
        <v>-11256824</v>
      </c>
      <c r="S46" s="1609">
        <f t="shared" si="15"/>
        <v>-37136762</v>
      </c>
      <c r="T46" s="978">
        <f>SUM(T45:T45)</f>
        <v>0</v>
      </c>
      <c r="U46" s="978">
        <f>SUM(U45:U45)</f>
        <v>0</v>
      </c>
      <c r="V46" s="1609">
        <f t="shared" si="16"/>
        <v>0</v>
      </c>
      <c r="Y46" s="123"/>
    </row>
    <row r="47" spans="1:25">
      <c r="A47" s="1015">
        <f t="shared" si="10"/>
        <v>37</v>
      </c>
      <c r="B47" s="996"/>
      <c r="C47" s="1020"/>
      <c r="D47" s="1025"/>
      <c r="E47" s="1550"/>
      <c r="F47" s="1549"/>
      <c r="G47" s="1550"/>
      <c r="H47" s="1538"/>
      <c r="I47" s="1550"/>
      <c r="J47" s="1539"/>
      <c r="K47" s="1550"/>
      <c r="L47" s="751"/>
      <c r="M47" s="75">
        <f t="shared" si="0"/>
        <v>40</v>
      </c>
      <c r="N47" s="751"/>
      <c r="O47" s="751"/>
      <c r="P47" s="751"/>
      <c r="Q47" s="751"/>
      <c r="R47" s="751"/>
      <c r="S47" s="751"/>
      <c r="T47" s="751"/>
      <c r="U47" s="751"/>
      <c r="V47" s="751"/>
      <c r="Y47" s="123"/>
    </row>
    <row r="48" spans="1:25">
      <c r="A48" s="1015">
        <f t="shared" si="10"/>
        <v>38</v>
      </c>
      <c r="B48" s="996"/>
      <c r="C48" s="1025" t="s">
        <v>1481</v>
      </c>
      <c r="D48" s="1025"/>
      <c r="E48" s="1550"/>
      <c r="F48" s="1549"/>
      <c r="G48" s="1550"/>
      <c r="H48" s="1538"/>
      <c r="I48" s="1550"/>
      <c r="J48" s="1539"/>
      <c r="K48" s="1550"/>
      <c r="L48" s="751"/>
      <c r="M48" s="75">
        <f t="shared" si="0"/>
        <v>41</v>
      </c>
      <c r="N48" s="751"/>
      <c r="O48" s="751"/>
      <c r="P48" s="751"/>
      <c r="Q48" s="751"/>
      <c r="R48" s="751"/>
      <c r="S48" s="751"/>
      <c r="T48" s="751"/>
      <c r="U48" s="751"/>
      <c r="V48" s="751"/>
      <c r="Y48" s="123"/>
    </row>
    <row r="49" spans="1:25">
      <c r="A49" s="1015">
        <f t="shared" si="10"/>
        <v>39</v>
      </c>
      <c r="B49" s="996">
        <v>190300</v>
      </c>
      <c r="C49" s="1017" t="s">
        <v>999</v>
      </c>
      <c r="D49" s="1025"/>
      <c r="E49" s="1545">
        <f>HLOOKUP(Attach,$N$8:$Y$235,M49,FALSE)</f>
        <v>1619123.6199999999</v>
      </c>
      <c r="F49" s="1549"/>
      <c r="G49" s="1545">
        <f>HLOOKUP(Attach,$Q$8:$Y$235,M49,FALSE)</f>
        <v>3718721</v>
      </c>
      <c r="H49" s="1538"/>
      <c r="I49" s="1757">
        <f>HLOOKUP(Attach,$T$8:$Y$235,$M49,FALSE)</f>
        <v>-2670781.2707951167</v>
      </c>
      <c r="J49" s="1758"/>
      <c r="K49" s="1759">
        <f>+I49+G49</f>
        <v>1047939.7292048833</v>
      </c>
      <c r="L49" s="751"/>
      <c r="M49" s="75">
        <f t="shared" si="0"/>
        <v>42</v>
      </c>
      <c r="N49" s="980">
        <v>1254752.6499999999</v>
      </c>
      <c r="O49" s="980">
        <v>364370.97</v>
      </c>
      <c r="P49" s="937">
        <f t="shared" ref="P49:P53" si="19">+N49+O49</f>
        <v>1619123.6199999999</v>
      </c>
      <c r="Q49" s="980">
        <v>2804570</v>
      </c>
      <c r="R49" s="980">
        <v>914151</v>
      </c>
      <c r="S49" s="937">
        <f t="shared" ref="S49:S53" si="20">+Q49+R49</f>
        <v>3718721</v>
      </c>
      <c r="T49" s="1011">
        <f>IF($I$84="Y",-Q49*$S$55,0)</f>
        <v>-2014239.0431102146</v>
      </c>
      <c r="U49" s="1011">
        <f>IF($I$84="Y",-R49*$S$55,0)</f>
        <v>-656542.22768490203</v>
      </c>
      <c r="V49" s="937">
        <f t="shared" ref="V49:V53" si="21">+T49+U49</f>
        <v>-2670781.2707951167</v>
      </c>
      <c r="Y49" s="123"/>
    </row>
    <row r="50" spans="1:25">
      <c r="A50" s="1015">
        <f t="shared" si="10"/>
        <v>40</v>
      </c>
      <c r="B50" s="996">
        <v>190300</v>
      </c>
      <c r="C50" s="1017" t="s">
        <v>1001</v>
      </c>
      <c r="D50" s="1025"/>
      <c r="E50" s="1192">
        <f>HLOOKUP(Attach,$N$8:$Y$235,M50,FALSE)</f>
        <v>731392.18312000018</v>
      </c>
      <c r="F50" s="1549"/>
      <c r="G50" s="1192">
        <f>HLOOKUP(Attach,$Q$8:$Y$235,M50,FALSE)</f>
        <v>2200756</v>
      </c>
      <c r="H50" s="1538"/>
      <c r="I50" s="1766">
        <f>IF(I86="Y",I89,HLOOKUP(Attach,$T$8:$Y$235,$M50,FALSE))</f>
        <v>1604614</v>
      </c>
      <c r="J50" s="1539"/>
      <c r="K50" s="1541">
        <f t="shared" ref="K50:K54" si="22">+I50+G50</f>
        <v>3805370</v>
      </c>
      <c r="L50" s="751"/>
      <c r="M50" s="75">
        <f t="shared" si="0"/>
        <v>43</v>
      </c>
      <c r="N50" s="980"/>
      <c r="O50" s="980">
        <v>731392.18312000018</v>
      </c>
      <c r="P50" s="937">
        <f t="shared" si="19"/>
        <v>731392.18312000018</v>
      </c>
      <c r="Q50" s="980"/>
      <c r="R50" s="980">
        <v>2200756</v>
      </c>
      <c r="S50" s="937">
        <f t="shared" si="20"/>
        <v>2200756</v>
      </c>
      <c r="T50" s="980"/>
      <c r="U50" s="980">
        <v>1601138</v>
      </c>
      <c r="V50" s="937">
        <f t="shared" si="21"/>
        <v>1601138</v>
      </c>
      <c r="Y50" s="123"/>
    </row>
    <row r="51" spans="1:25">
      <c r="A51" s="1015">
        <f t="shared" si="10"/>
        <v>41</v>
      </c>
      <c r="B51" s="996">
        <v>282300</v>
      </c>
      <c r="C51" s="1017" t="s">
        <v>1484</v>
      </c>
      <c r="D51" s="1025"/>
      <c r="E51" s="1192">
        <f>HLOOKUP(Attach,$N$8:$Y$235,M51,FALSE)</f>
        <v>-4891298.83</v>
      </c>
      <c r="F51" s="1549"/>
      <c r="G51" s="1192">
        <f>HLOOKUP(Attach,$Q$8:$Y$235,M51,FALSE)</f>
        <v>-14981386</v>
      </c>
      <c r="H51" s="1538"/>
      <c r="I51" s="1192">
        <f>IF('MCC Testimony Table'!F37="Y",'Sched M-1'!K95,HLOOKUP(Attach,$T$8:$Y$235,$M51,FALSE))</f>
        <v>5389745.166465912</v>
      </c>
      <c r="J51" s="1539"/>
      <c r="K51" s="1192">
        <f t="shared" si="22"/>
        <v>-9591640.833534088</v>
      </c>
      <c r="L51" s="751"/>
      <c r="M51" s="75">
        <f t="shared" si="0"/>
        <v>44</v>
      </c>
      <c r="N51" s="980">
        <v>-3214084.99</v>
      </c>
      <c r="O51" s="980">
        <v>-1677213.84</v>
      </c>
      <c r="P51" s="937">
        <f t="shared" si="19"/>
        <v>-4891298.83</v>
      </c>
      <c r="Q51" s="980">
        <v>-10440258</v>
      </c>
      <c r="R51" s="980">
        <v>-4541128</v>
      </c>
      <c r="S51" s="937">
        <f t="shared" si="20"/>
        <v>-14981386</v>
      </c>
      <c r="T51" s="980"/>
      <c r="U51" s="980"/>
      <c r="V51" s="937">
        <f t="shared" si="21"/>
        <v>0</v>
      </c>
      <c r="Y51" s="123"/>
    </row>
    <row r="52" spans="1:25">
      <c r="A52" s="1015">
        <f t="shared" si="10"/>
        <v>42</v>
      </c>
      <c r="B52" s="996">
        <v>254015</v>
      </c>
      <c r="C52" s="1017" t="s">
        <v>1482</v>
      </c>
      <c r="D52" s="1025"/>
      <c r="E52" s="1192">
        <f>HLOOKUP(Attach,$N$8:$Y$235,M52,FALSE)</f>
        <v>0</v>
      </c>
      <c r="F52" s="1549"/>
      <c r="G52" s="1192">
        <f>HLOOKUP(Attach,$Q$8:$Y$235,M52,FALSE)</f>
        <v>7400436.3119999999</v>
      </c>
      <c r="H52" s="1538"/>
      <c r="I52" s="1760">
        <f>IF('MCC Testimony Table'!F37="Y",'Sched M-1'!K96,HLOOKUP(Attach,$T$8:$Y$235,$M52,FALSE))</f>
        <v>-7400436.3119999999</v>
      </c>
      <c r="J52" s="1758"/>
      <c r="K52" s="1760">
        <f t="shared" si="22"/>
        <v>0</v>
      </c>
      <c r="L52" s="751"/>
      <c r="M52" s="75">
        <f t="shared" si="0"/>
        <v>45</v>
      </c>
      <c r="N52" s="980"/>
      <c r="O52" s="980"/>
      <c r="P52" s="937">
        <f t="shared" si="19"/>
        <v>0</v>
      </c>
      <c r="Q52" s="980">
        <v>5783595.6163999997</v>
      </c>
      <c r="R52" s="980">
        <v>1616840.6956</v>
      </c>
      <c r="S52" s="937">
        <f t="shared" si="20"/>
        <v>7400436.3119999999</v>
      </c>
      <c r="T52" s="1011">
        <f>IF($I$84="Y",-Q52*U55,0)</f>
        <v>-1156719.1232799999</v>
      </c>
      <c r="U52" s="1011">
        <f>IF($I$84="Y",-R52*U55,0)</f>
        <v>-323368.13912000001</v>
      </c>
      <c r="V52" s="937">
        <f t="shared" si="21"/>
        <v>-1480087.2623999999</v>
      </c>
      <c r="Y52" s="123"/>
    </row>
    <row r="53" spans="1:25">
      <c r="A53" s="1015">
        <f t="shared" si="10"/>
        <v>43</v>
      </c>
      <c r="B53" s="996">
        <v>283300</v>
      </c>
      <c r="C53" s="1017" t="s">
        <v>1027</v>
      </c>
      <c r="D53" s="1025"/>
      <c r="E53" s="1384">
        <f>HLOOKUP(Attach,$N$8:$Y$235,M53,FALSE)</f>
        <v>-122822.09000000001</v>
      </c>
      <c r="F53" s="1549"/>
      <c r="G53" s="1384">
        <f>HLOOKUP(Attach,$Q$8:$Y$235,M53,FALSE)</f>
        <v>40823</v>
      </c>
      <c r="H53" s="1538"/>
      <c r="I53" s="1761">
        <f>HLOOKUP(Attach,$T$8:$Y$235,$M53,FALSE)</f>
        <v>-29319.033027126545</v>
      </c>
      <c r="J53" s="1758"/>
      <c r="K53" s="1761">
        <f t="shared" si="22"/>
        <v>11503.966972873455</v>
      </c>
      <c r="L53" s="751"/>
      <c r="M53" s="75">
        <f t="shared" si="0"/>
        <v>46</v>
      </c>
      <c r="N53" s="1009">
        <v>-131372.32</v>
      </c>
      <c r="O53" s="1009">
        <v>8550.23</v>
      </c>
      <c r="P53" s="946">
        <f t="shared" si="19"/>
        <v>-122822.09000000001</v>
      </c>
      <c r="Q53" s="1009">
        <v>-5376</v>
      </c>
      <c r="R53" s="1009">
        <v>46199</v>
      </c>
      <c r="S53" s="946">
        <f t="shared" si="20"/>
        <v>40823</v>
      </c>
      <c r="T53" s="1011">
        <f>IF($I$84="Y",-Q53*$S$55,0)</f>
        <v>3861.0371984869389</v>
      </c>
      <c r="U53" s="1011">
        <f>IF($I$84="Y",-R53*$S$55,0)</f>
        <v>-33180.070225613483</v>
      </c>
      <c r="V53" s="946">
        <f t="shared" si="21"/>
        <v>-29319.033027126545</v>
      </c>
      <c r="Y53" s="123"/>
    </row>
    <row r="54" spans="1:25">
      <c r="A54" s="1015">
        <f t="shared" si="10"/>
        <v>44</v>
      </c>
      <c r="B54" s="996"/>
      <c r="C54" s="1020" t="s">
        <v>1483</v>
      </c>
      <c r="D54" s="1025"/>
      <c r="E54" s="1550">
        <f>SUM(E49:E53)</f>
        <v>-2663605.1168799996</v>
      </c>
      <c r="F54" s="1549"/>
      <c r="G54" s="1550">
        <f>SUM(G49:G53)</f>
        <v>-1620649.6880000001</v>
      </c>
      <c r="H54" s="1538"/>
      <c r="I54" s="1550">
        <f>SUM(I49:I53)</f>
        <v>-3106177.4493563306</v>
      </c>
      <c r="J54" s="1539"/>
      <c r="K54" s="1550">
        <f t="shared" si="22"/>
        <v>-4726827.1373563306</v>
      </c>
      <c r="L54" s="751"/>
      <c r="M54" s="75">
        <f t="shared" si="0"/>
        <v>47</v>
      </c>
      <c r="N54" s="1008">
        <f t="shared" ref="N54:V54" si="23">SUM(N49:N53)</f>
        <v>-2090704.6600000004</v>
      </c>
      <c r="O54" s="1008">
        <f t="shared" si="23"/>
        <v>-572900.45687999995</v>
      </c>
      <c r="P54" s="1008">
        <f t="shared" si="23"/>
        <v>-2663605.1168799996</v>
      </c>
      <c r="Q54" s="1008">
        <f t="shared" si="23"/>
        <v>-1857468.3836000003</v>
      </c>
      <c r="R54" s="1008">
        <f t="shared" si="23"/>
        <v>236818.69559999998</v>
      </c>
      <c r="S54" s="1008">
        <f t="shared" si="23"/>
        <v>-1620649.6880000001</v>
      </c>
      <c r="T54" s="1748">
        <f t="shared" si="23"/>
        <v>-3167097.1291917278</v>
      </c>
      <c r="U54" s="1748">
        <f t="shared" si="23"/>
        <v>588047.5629694846</v>
      </c>
      <c r="V54" s="1008">
        <f t="shared" si="23"/>
        <v>-2579049.566222243</v>
      </c>
      <c r="Y54" s="123"/>
    </row>
    <row r="55" spans="1:25">
      <c r="A55" s="1015">
        <f t="shared" si="10"/>
        <v>45</v>
      </c>
      <c r="B55" s="996"/>
      <c r="C55" s="1025"/>
      <c r="D55" s="1025"/>
      <c r="E55" s="1024"/>
      <c r="F55" s="1024"/>
      <c r="G55" s="1024"/>
      <c r="H55" s="81"/>
      <c r="I55" s="1024"/>
      <c r="J55" s="82"/>
      <c r="K55" s="1024"/>
      <c r="L55" s="47"/>
      <c r="M55" s="75">
        <f t="shared" si="0"/>
        <v>48</v>
      </c>
      <c r="N55" s="976"/>
      <c r="O55" s="976"/>
      <c r="P55" s="506"/>
      <c r="Q55" s="976"/>
      <c r="R55" s="976"/>
      <c r="S55" s="506">
        <v>0.71819888364712403</v>
      </c>
      <c r="T55" s="976">
        <f>T49+T53+U53+U49</f>
        <v>-2700100.3038222431</v>
      </c>
      <c r="U55" s="976">
        <v>0.2</v>
      </c>
      <c r="V55" s="506"/>
      <c r="Y55" s="123"/>
    </row>
    <row r="56" spans="1:25">
      <c r="A56" s="1015">
        <f t="shared" si="10"/>
        <v>46</v>
      </c>
      <c r="B56" s="996"/>
      <c r="C56" s="1025" t="s">
        <v>525</v>
      </c>
      <c r="D56" s="1025"/>
      <c r="E56" s="1027"/>
      <c r="F56" s="1027"/>
      <c r="G56" s="1027"/>
      <c r="H56" s="82"/>
      <c r="I56" s="1027"/>
      <c r="J56" s="82"/>
      <c r="K56" s="1027"/>
      <c r="L56" s="138"/>
      <c r="M56" s="75">
        <f t="shared" si="0"/>
        <v>49</v>
      </c>
      <c r="N56" s="976"/>
      <c r="O56" s="976"/>
      <c r="P56" s="506"/>
      <c r="Q56" s="976"/>
      <c r="R56" s="976"/>
      <c r="S56" s="506"/>
      <c r="T56" s="976"/>
      <c r="U56" s="976"/>
      <c r="V56" s="506"/>
      <c r="Y56" s="123"/>
    </row>
    <row r="57" spans="1:25">
      <c r="A57" s="1015">
        <f t="shared" si="10"/>
        <v>47</v>
      </c>
      <c r="B57" s="996">
        <v>283300</v>
      </c>
      <c r="C57" s="1017" t="s">
        <v>754</v>
      </c>
      <c r="D57" s="1017"/>
      <c r="E57" s="1545">
        <f t="shared" ref="E57:E66" si="24">HLOOKUP(Attach,$N$8:$Y$235,M57,FALSE)</f>
        <v>0</v>
      </c>
      <c r="F57" s="1548"/>
      <c r="G57" s="1545">
        <f t="shared" ref="G57:G66" si="25">HLOOKUP(Attach,$Q$8:$Y$235,M57,FALSE)</f>
        <v>0</v>
      </c>
      <c r="H57" s="1539"/>
      <c r="I57" s="1545">
        <f>HLOOKUP(Attach,$T$8:$Y$235,$M57,FALSE)</f>
        <v>0</v>
      </c>
      <c r="J57" s="1551"/>
      <c r="K57" s="1545">
        <f>+I57+G57</f>
        <v>0</v>
      </c>
      <c r="L57" s="570"/>
      <c r="M57" s="75">
        <f t="shared" si="0"/>
        <v>50</v>
      </c>
      <c r="N57" s="980"/>
      <c r="O57" s="980"/>
      <c r="P57" s="937">
        <f t="shared" ref="P57:P74" si="26">+N57+O57</f>
        <v>0</v>
      </c>
      <c r="Q57" s="980"/>
      <c r="R57" s="980"/>
      <c r="S57" s="937">
        <f t="shared" ref="S57:S61" si="27">+Q57+R57</f>
        <v>0</v>
      </c>
      <c r="T57" s="980"/>
      <c r="U57" s="980"/>
      <c r="V57" s="937">
        <f t="shared" ref="V57:V59" si="28">+T57+U57</f>
        <v>0</v>
      </c>
      <c r="Y57" s="123"/>
    </row>
    <row r="58" spans="1:25">
      <c r="A58" s="1015">
        <f t="shared" si="10"/>
        <v>48</v>
      </c>
      <c r="B58" s="996">
        <v>283300</v>
      </c>
      <c r="C58" s="1017" t="s">
        <v>1018</v>
      </c>
      <c r="D58" s="1017"/>
      <c r="E58" s="1192">
        <f t="shared" si="24"/>
        <v>49477.87</v>
      </c>
      <c r="F58" s="1555"/>
      <c r="G58" s="1192">
        <f t="shared" si="25"/>
        <v>0</v>
      </c>
      <c r="H58" s="719"/>
      <c r="I58" s="1192">
        <f>HLOOKUP(Attach,$T$8:$Y$235,$M58,FALSE)</f>
        <v>0</v>
      </c>
      <c r="J58" s="1558"/>
      <c r="K58" s="1192">
        <f t="shared" ref="K58:K66" si="29">+I58+G58</f>
        <v>0</v>
      </c>
      <c r="L58" s="666"/>
      <c r="M58" s="75">
        <f t="shared" si="0"/>
        <v>51</v>
      </c>
      <c r="N58" s="970">
        <v>-7.0000000000000007E-2</v>
      </c>
      <c r="O58" s="970">
        <v>49477.94</v>
      </c>
      <c r="P58" s="937">
        <f t="shared" si="26"/>
        <v>49477.87</v>
      </c>
      <c r="Q58" s="980"/>
      <c r="R58" s="980"/>
      <c r="S58" s="937">
        <f t="shared" si="27"/>
        <v>0</v>
      </c>
      <c r="T58" s="980"/>
      <c r="U58" s="980"/>
      <c r="V58" s="937">
        <f t="shared" si="28"/>
        <v>0</v>
      </c>
      <c r="Y58" s="123"/>
    </row>
    <row r="59" spans="1:25">
      <c r="A59" s="1015">
        <f t="shared" si="10"/>
        <v>49</v>
      </c>
      <c r="B59" s="996">
        <v>283300</v>
      </c>
      <c r="C59" s="1017" t="s">
        <v>1019</v>
      </c>
      <c r="D59" s="1020"/>
      <c r="E59" s="1192">
        <f t="shared" si="24"/>
        <v>803541.12614479987</v>
      </c>
      <c r="F59" s="1557"/>
      <c r="G59" s="1192">
        <f t="shared" si="25"/>
        <v>-462159</v>
      </c>
      <c r="H59" s="1198"/>
      <c r="I59" s="1764">
        <f>IF(I86="Y",I90,HLOOKUP(Attach,$T$8:$Y$235,$M59,FALSE))</f>
        <v>-336968.94</v>
      </c>
      <c r="J59" s="1558"/>
      <c r="K59" s="1192">
        <f t="shared" si="29"/>
        <v>-799127.94</v>
      </c>
      <c r="L59" s="751"/>
      <c r="M59" s="75">
        <f t="shared" si="0"/>
        <v>52</v>
      </c>
      <c r="N59" s="970">
        <v>957133.48</v>
      </c>
      <c r="O59" s="970">
        <v>-153592.35385520017</v>
      </c>
      <c r="P59" s="937">
        <f t="shared" si="26"/>
        <v>803541.12614479987</v>
      </c>
      <c r="Q59" s="980"/>
      <c r="R59" s="980">
        <v>-462159</v>
      </c>
      <c r="S59" s="937">
        <f t="shared" si="27"/>
        <v>-462159</v>
      </c>
      <c r="T59" s="980"/>
      <c r="U59" s="980">
        <f>-U50*0.21</f>
        <v>-336238.98</v>
      </c>
      <c r="V59" s="937">
        <f t="shared" si="28"/>
        <v>-336238.98</v>
      </c>
      <c r="Y59" s="123"/>
    </row>
    <row r="60" spans="1:25">
      <c r="A60" s="1015">
        <f t="shared" si="10"/>
        <v>50</v>
      </c>
      <c r="B60" s="996">
        <v>283300</v>
      </c>
      <c r="C60" s="1017" t="s">
        <v>1020</v>
      </c>
      <c r="D60" s="1020"/>
      <c r="E60" s="1192">
        <f t="shared" si="24"/>
        <v>-190828.74</v>
      </c>
      <c r="F60" s="1557"/>
      <c r="G60" s="1192">
        <f t="shared" si="25"/>
        <v>-209303</v>
      </c>
      <c r="H60" s="79"/>
      <c r="I60" s="1760">
        <f t="shared" ref="I60:I66" si="30">HLOOKUP(Attach,$T$8:$Y$235,$M60,FALSE)</f>
        <v>209303</v>
      </c>
      <c r="J60" s="1762"/>
      <c r="K60" s="1760">
        <f t="shared" si="29"/>
        <v>0</v>
      </c>
      <c r="L60" s="47"/>
      <c r="M60" s="75">
        <f t="shared" si="0"/>
        <v>53</v>
      </c>
      <c r="N60" s="980"/>
      <c r="O60" s="980">
        <v>-190828.74</v>
      </c>
      <c r="P60" s="937">
        <f t="shared" si="26"/>
        <v>-190828.74</v>
      </c>
      <c r="Q60" s="980"/>
      <c r="R60" s="980">
        <v>-209303</v>
      </c>
      <c r="S60" s="937">
        <f t="shared" si="27"/>
        <v>-209303</v>
      </c>
      <c r="T60" s="1011">
        <f>IF($I$84="Y",-Q60)</f>
        <v>0</v>
      </c>
      <c r="U60" s="1011">
        <f>IF($I$84="Y",-R60)</f>
        <v>209303</v>
      </c>
      <c r="V60" s="937">
        <f t="shared" ref="V60:V61" si="31">+T60+U60</f>
        <v>209303</v>
      </c>
      <c r="Y60" s="123"/>
    </row>
    <row r="61" spans="1:25">
      <c r="A61" s="1015">
        <f t="shared" si="10"/>
        <v>51</v>
      </c>
      <c r="B61" s="996">
        <v>283300</v>
      </c>
      <c r="C61" s="1017" t="s">
        <v>1021</v>
      </c>
      <c r="D61" s="1025"/>
      <c r="E61" s="1192">
        <f t="shared" si="24"/>
        <v>-19626.64</v>
      </c>
      <c r="F61" s="1560"/>
      <c r="G61" s="1192">
        <f t="shared" si="25"/>
        <v>-19692</v>
      </c>
      <c r="H61" s="804"/>
      <c r="I61" s="1192">
        <f t="shared" si="30"/>
        <v>0</v>
      </c>
      <c r="J61" s="1559"/>
      <c r="K61" s="1192">
        <f t="shared" si="29"/>
        <v>-19692</v>
      </c>
      <c r="L61" s="138"/>
      <c r="M61" s="75">
        <f t="shared" si="0"/>
        <v>54</v>
      </c>
      <c r="N61" s="980">
        <v>-7571.27</v>
      </c>
      <c r="O61" s="980">
        <v>-12055.37</v>
      </c>
      <c r="P61" s="937">
        <f t="shared" si="26"/>
        <v>-19626.64</v>
      </c>
      <c r="Q61" s="980">
        <v>-9591</v>
      </c>
      <c r="R61" s="980">
        <v>-10101</v>
      </c>
      <c r="S61" s="937">
        <f t="shared" si="27"/>
        <v>-19692</v>
      </c>
      <c r="T61" s="980"/>
      <c r="U61" s="980"/>
      <c r="V61" s="937">
        <f t="shared" si="31"/>
        <v>0</v>
      </c>
      <c r="Y61" s="123"/>
    </row>
    <row r="62" spans="1:25">
      <c r="A62" s="1015">
        <f t="shared" si="10"/>
        <v>52</v>
      </c>
      <c r="B62" s="996">
        <v>283300</v>
      </c>
      <c r="C62" s="1017" t="s">
        <v>1022</v>
      </c>
      <c r="D62" s="1017"/>
      <c r="E62" s="1192">
        <f t="shared" si="24"/>
        <v>-1616568</v>
      </c>
      <c r="F62" s="1555"/>
      <c r="G62" s="1192">
        <f t="shared" si="25"/>
        <v>0</v>
      </c>
      <c r="H62" s="719"/>
      <c r="I62" s="1192">
        <f t="shared" si="30"/>
        <v>0</v>
      </c>
      <c r="J62" s="1558"/>
      <c r="K62" s="1192">
        <f t="shared" si="29"/>
        <v>0</v>
      </c>
      <c r="L62" s="570"/>
      <c r="M62" s="75">
        <f t="shared" si="0"/>
        <v>55</v>
      </c>
      <c r="N62" s="980">
        <v>-1616568</v>
      </c>
      <c r="O62" s="980"/>
      <c r="P62" s="937">
        <f t="shared" si="26"/>
        <v>-1616568</v>
      </c>
      <c r="Q62" s="980"/>
      <c r="R62" s="980"/>
      <c r="S62" s="937">
        <f t="shared" ref="S62:S71" si="32">+Q62+R62</f>
        <v>0</v>
      </c>
      <c r="T62" s="980"/>
      <c r="U62" s="980"/>
      <c r="V62" s="937">
        <f t="shared" ref="V62:V67" si="33">+T62+U62</f>
        <v>0</v>
      </c>
      <c r="Y62" s="123"/>
    </row>
    <row r="63" spans="1:25">
      <c r="A63" s="1015">
        <f t="shared" si="10"/>
        <v>53</v>
      </c>
      <c r="B63" s="996">
        <v>283300</v>
      </c>
      <c r="C63" s="1017" t="s">
        <v>1023</v>
      </c>
      <c r="D63" s="1017"/>
      <c r="E63" s="1192">
        <f t="shared" si="24"/>
        <v>-173735.57</v>
      </c>
      <c r="F63" s="1555"/>
      <c r="G63" s="1192">
        <f t="shared" si="25"/>
        <v>-230454</v>
      </c>
      <c r="H63" s="719"/>
      <c r="I63" s="1760">
        <f t="shared" si="30"/>
        <v>230454</v>
      </c>
      <c r="J63" s="1763"/>
      <c r="K63" s="1760">
        <f t="shared" si="29"/>
        <v>0</v>
      </c>
      <c r="L63" s="570"/>
      <c r="M63" s="75">
        <f t="shared" si="0"/>
        <v>56</v>
      </c>
      <c r="N63" s="980">
        <v>-0.31</v>
      </c>
      <c r="O63" s="980">
        <v>-173735.26</v>
      </c>
      <c r="P63" s="937">
        <f t="shared" si="26"/>
        <v>-173735.57</v>
      </c>
      <c r="Q63" s="980">
        <v>-7478</v>
      </c>
      <c r="R63" s="980">
        <v>-222976</v>
      </c>
      <c r="S63" s="937">
        <f t="shared" si="32"/>
        <v>-230454</v>
      </c>
      <c r="T63" s="1011">
        <f>IF($I$84="Y",-Q63)</f>
        <v>7478</v>
      </c>
      <c r="U63" s="1011">
        <f>IF($I$84="Y",-R63)</f>
        <v>222976</v>
      </c>
      <c r="V63" s="937">
        <f t="shared" si="33"/>
        <v>230454</v>
      </c>
      <c r="Y63" s="123"/>
    </row>
    <row r="64" spans="1:25">
      <c r="A64" s="1015">
        <f t="shared" si="10"/>
        <v>54</v>
      </c>
      <c r="B64" s="996">
        <v>283300</v>
      </c>
      <c r="C64" s="1017" t="s">
        <v>1024</v>
      </c>
      <c r="D64" s="1017"/>
      <c r="E64" s="1192">
        <f t="shared" si="24"/>
        <v>390638.42</v>
      </c>
      <c r="F64" s="1555"/>
      <c r="G64" s="1192">
        <f t="shared" si="25"/>
        <v>0</v>
      </c>
      <c r="H64" s="719"/>
      <c r="I64" s="1192">
        <f t="shared" si="30"/>
        <v>0</v>
      </c>
      <c r="J64" s="1558"/>
      <c r="K64" s="1192">
        <f t="shared" si="29"/>
        <v>0</v>
      </c>
      <c r="L64" s="570"/>
      <c r="M64" s="75">
        <f t="shared" si="0"/>
        <v>57</v>
      </c>
      <c r="N64" s="980">
        <v>-0.09</v>
      </c>
      <c r="O64" s="980">
        <v>390638.51</v>
      </c>
      <c r="P64" s="937">
        <f t="shared" si="26"/>
        <v>390638.42</v>
      </c>
      <c r="Q64" s="980"/>
      <c r="R64" s="980"/>
      <c r="S64" s="937">
        <f t="shared" si="32"/>
        <v>0</v>
      </c>
      <c r="T64" s="980"/>
      <c r="U64" s="980"/>
      <c r="V64" s="937">
        <f t="shared" si="33"/>
        <v>0</v>
      </c>
      <c r="Y64" s="123"/>
    </row>
    <row r="65" spans="1:25">
      <c r="A65" s="1015">
        <f t="shared" si="10"/>
        <v>55</v>
      </c>
      <c r="B65" s="996">
        <v>283300</v>
      </c>
      <c r="C65" s="1017" t="s">
        <v>1025</v>
      </c>
      <c r="D65" s="1017"/>
      <c r="E65" s="1192">
        <f t="shared" si="24"/>
        <v>-311646.77</v>
      </c>
      <c r="F65" s="1555"/>
      <c r="G65" s="1192">
        <f t="shared" si="25"/>
        <v>-295432</v>
      </c>
      <c r="H65" s="719"/>
      <c r="I65" s="1760">
        <f t="shared" si="30"/>
        <v>295432</v>
      </c>
      <c r="J65" s="1763"/>
      <c r="K65" s="1760">
        <f t="shared" si="29"/>
        <v>0</v>
      </c>
      <c r="L65" s="570"/>
      <c r="M65" s="75">
        <f t="shared" si="0"/>
        <v>58</v>
      </c>
      <c r="N65" s="980">
        <v>-311646.77</v>
      </c>
      <c r="O65" s="980"/>
      <c r="P65" s="937">
        <f t="shared" si="26"/>
        <v>-311646.77</v>
      </c>
      <c r="Q65" s="980">
        <v>-295432</v>
      </c>
      <c r="R65" s="980"/>
      <c r="S65" s="937">
        <f t="shared" si="32"/>
        <v>-295432</v>
      </c>
      <c r="T65" s="1011">
        <f>IF($I$84="Y",-Q65)</f>
        <v>295432</v>
      </c>
      <c r="U65" s="1011">
        <f>IF($I$84="Y",-R65)</f>
        <v>0</v>
      </c>
      <c r="V65" s="937">
        <f t="shared" si="33"/>
        <v>295432</v>
      </c>
      <c r="Y65" s="123"/>
    </row>
    <row r="66" spans="1:25">
      <c r="A66" s="1015">
        <f t="shared" si="10"/>
        <v>56</v>
      </c>
      <c r="B66" s="996">
        <v>283300</v>
      </c>
      <c r="C66" s="1017" t="s">
        <v>1026</v>
      </c>
      <c r="D66" s="1017"/>
      <c r="E66" s="1384">
        <f t="shared" si="24"/>
        <v>0.68</v>
      </c>
      <c r="F66" s="1555"/>
      <c r="G66" s="1384">
        <f t="shared" si="25"/>
        <v>0</v>
      </c>
      <c r="H66" s="719"/>
      <c r="I66" s="1384">
        <f t="shared" si="30"/>
        <v>0</v>
      </c>
      <c r="J66" s="1558"/>
      <c r="K66" s="1384">
        <f t="shared" si="29"/>
        <v>0</v>
      </c>
      <c r="L66" s="570"/>
      <c r="M66" s="75">
        <f t="shared" si="0"/>
        <v>59</v>
      </c>
      <c r="N66" s="1009">
        <v>0.68</v>
      </c>
      <c r="O66" s="1009"/>
      <c r="P66" s="946">
        <f t="shared" si="26"/>
        <v>0.68</v>
      </c>
      <c r="Q66" s="1009"/>
      <c r="R66" s="1009"/>
      <c r="S66" s="946">
        <f t="shared" si="32"/>
        <v>0</v>
      </c>
      <c r="T66" s="1009"/>
      <c r="U66" s="1009"/>
      <c r="V66" s="946">
        <f t="shared" si="33"/>
        <v>0</v>
      </c>
      <c r="Y66" s="123"/>
    </row>
    <row r="67" spans="1:25">
      <c r="A67" s="1015">
        <f t="shared" si="10"/>
        <v>57</v>
      </c>
      <c r="B67" s="996"/>
      <c r="C67" s="1020" t="s">
        <v>341</v>
      </c>
      <c r="D67" s="1017"/>
      <c r="E67" s="1550">
        <f>SUM(E57:E66)</f>
        <v>-1068747.6238552004</v>
      </c>
      <c r="F67" s="1548"/>
      <c r="G67" s="1550">
        <f>SUM(G57:G66)</f>
        <v>-1217040</v>
      </c>
      <c r="H67" s="1539"/>
      <c r="I67" s="1550">
        <f>SUM(I57:I66)</f>
        <v>398220.06</v>
      </c>
      <c r="J67" s="1551"/>
      <c r="K67" s="1550">
        <f>SUM(K57:K66)</f>
        <v>-818819.94</v>
      </c>
      <c r="L67" s="570"/>
      <c r="M67" s="75">
        <f t="shared" si="0"/>
        <v>60</v>
      </c>
      <c r="N67" s="1008">
        <f>SUM(N57:N66)</f>
        <v>-978652.35</v>
      </c>
      <c r="O67" s="1008">
        <f>SUM(O57:O66)</f>
        <v>-90095.273855200154</v>
      </c>
      <c r="P67" s="937">
        <f t="shared" si="26"/>
        <v>-1068747.6238552001</v>
      </c>
      <c r="Q67" s="1008">
        <f>SUM(Q57:Q66)</f>
        <v>-312501</v>
      </c>
      <c r="R67" s="1008">
        <f>SUM(R57:R66)</f>
        <v>-904539</v>
      </c>
      <c r="S67" s="937">
        <f t="shared" si="32"/>
        <v>-1217040</v>
      </c>
      <c r="T67" s="1008">
        <f>SUM(T57:T66)</f>
        <v>302910</v>
      </c>
      <c r="U67" s="1008">
        <f>SUM(U57:U66)</f>
        <v>96040.020000000019</v>
      </c>
      <c r="V67" s="937">
        <f t="shared" si="33"/>
        <v>398950.02</v>
      </c>
      <c r="Y67" s="123"/>
    </row>
    <row r="68" spans="1:25">
      <c r="A68" s="1015">
        <f t="shared" si="10"/>
        <v>58</v>
      </c>
      <c r="B68" s="996"/>
      <c r="C68" s="1017"/>
      <c r="D68" s="1017"/>
      <c r="E68" s="1024"/>
      <c r="F68" s="1021"/>
      <c r="G68" s="1024"/>
      <c r="H68" s="668"/>
      <c r="I68" s="1024"/>
      <c r="J68" s="826"/>
      <c r="K68" s="1024"/>
      <c r="L68" s="570"/>
      <c r="M68" s="75">
        <f t="shared" si="0"/>
        <v>61</v>
      </c>
      <c r="N68" s="976"/>
      <c r="O68" s="976"/>
      <c r="P68" s="506"/>
      <c r="Q68" s="976"/>
      <c r="R68" s="976"/>
      <c r="S68" s="506"/>
      <c r="T68" s="976"/>
      <c r="U68" s="976"/>
      <c r="V68" s="506"/>
      <c r="Y68" s="123"/>
    </row>
    <row r="69" spans="1:25">
      <c r="A69" s="1015">
        <f t="shared" si="10"/>
        <v>59</v>
      </c>
      <c r="B69" s="996"/>
      <c r="C69" s="1025"/>
      <c r="D69" s="1020"/>
      <c r="E69" s="915"/>
      <c r="F69" s="1024"/>
      <c r="G69" s="915"/>
      <c r="H69" s="683"/>
      <c r="I69" s="915"/>
      <c r="J69" s="826"/>
      <c r="K69" s="915"/>
      <c r="L69" s="751"/>
      <c r="M69" s="75">
        <f t="shared" si="0"/>
        <v>62</v>
      </c>
      <c r="N69" s="976"/>
      <c r="O69" s="976"/>
      <c r="P69" s="506"/>
      <c r="Q69" s="976"/>
      <c r="R69" s="976"/>
      <c r="S69" s="506"/>
      <c r="T69" s="976"/>
      <c r="U69" s="976"/>
      <c r="V69" s="506"/>
      <c r="Y69" s="123"/>
    </row>
    <row r="70" spans="1:25">
      <c r="A70" s="1015">
        <f t="shared" si="10"/>
        <v>60</v>
      </c>
      <c r="B70" s="996" t="s">
        <v>1487</v>
      </c>
      <c r="C70" s="81" t="s">
        <v>1028</v>
      </c>
      <c r="D70" s="1025"/>
      <c r="E70" s="1545">
        <f>HLOOKUP(Attach,$N$8:$Y$235,M70,FALSE)</f>
        <v>-9099262.2428843267</v>
      </c>
      <c r="F70" s="1549"/>
      <c r="G70" s="1545">
        <f>HLOOKUP(Attach,$Q$8:$Y$235,M70,FALSE)</f>
        <v>0</v>
      </c>
      <c r="H70" s="1535"/>
      <c r="I70" s="1545">
        <f>HLOOKUP(Attach,$T$8:$Y$235,$M70,FALSE)+'Sched M-3'!O11</f>
        <v>-8954892.4481274653</v>
      </c>
      <c r="J70" s="1546"/>
      <c r="K70" s="1545">
        <f t="shared" ref="K70:K72" si="34">+I70+G70</f>
        <v>-8954892.4481274653</v>
      </c>
      <c r="L70" s="47"/>
      <c r="M70" s="75">
        <f t="shared" si="0"/>
        <v>63</v>
      </c>
      <c r="N70" s="1010">
        <v>-4143038.4173124735</v>
      </c>
      <c r="O70" s="1010">
        <v>-4956223.8255718527</v>
      </c>
      <c r="P70" s="937">
        <f t="shared" si="26"/>
        <v>-9099262.2428843267</v>
      </c>
      <c r="Q70" s="951"/>
      <c r="R70" s="951"/>
      <c r="S70" s="937">
        <f t="shared" si="32"/>
        <v>0</v>
      </c>
      <c r="T70" s="980">
        <v>-4399863</v>
      </c>
      <c r="U70" s="980">
        <v>-5031629</v>
      </c>
      <c r="V70" s="937">
        <f t="shared" ref="V70:V71" si="35">+T70+U70</f>
        <v>-9431492</v>
      </c>
      <c r="Y70" s="123"/>
    </row>
    <row r="71" spans="1:25" s="123" customFormat="1">
      <c r="A71" s="1015">
        <f t="shared" si="10"/>
        <v>61</v>
      </c>
      <c r="B71" s="996">
        <v>235000</v>
      </c>
      <c r="C71" s="82" t="s">
        <v>145</v>
      </c>
      <c r="D71" s="82"/>
      <c r="E71" s="1192">
        <f>HLOOKUP(Attach,$N$8:$Y$235,M71,FALSE)</f>
        <v>0</v>
      </c>
      <c r="F71" s="79"/>
      <c r="G71" s="1192">
        <f>HLOOKUP(Attach,$Q$8:$Y$235,M71,FALSE)</f>
        <v>-3518846</v>
      </c>
      <c r="H71" s="79"/>
      <c r="I71" s="1192">
        <f>HLOOKUP(Attach,$T$8:$Y$235,$M71,FALSE)</f>
        <v>0</v>
      </c>
      <c r="J71" s="1554"/>
      <c r="K71" s="1192">
        <f t="shared" si="34"/>
        <v>-3518846</v>
      </c>
      <c r="L71" s="140"/>
      <c r="M71" s="75">
        <f t="shared" si="0"/>
        <v>64</v>
      </c>
      <c r="N71" s="951"/>
      <c r="O71" s="951"/>
      <c r="P71" s="937">
        <f t="shared" si="26"/>
        <v>0</v>
      </c>
      <c r="Q71" s="951">
        <f>-'Stmt A pg 2'!H25</f>
        <v>-2323624</v>
      </c>
      <c r="R71" s="951">
        <f>-'Stmt A pg 2'!I25</f>
        <v>-1195222</v>
      </c>
      <c r="S71" s="937">
        <f t="shared" si="32"/>
        <v>-3518846</v>
      </c>
      <c r="T71" s="980"/>
      <c r="U71" s="980"/>
      <c r="V71" s="937">
        <f t="shared" si="35"/>
        <v>0</v>
      </c>
    </row>
    <row r="72" spans="1:25" s="123" customFormat="1">
      <c r="A72" s="1015">
        <f t="shared" si="10"/>
        <v>62</v>
      </c>
      <c r="B72" s="996" t="s">
        <v>626</v>
      </c>
      <c r="C72" s="82" t="s">
        <v>146</v>
      </c>
      <c r="D72" s="81"/>
      <c r="E72" s="1192">
        <f>HLOOKUP(Attach,$N$8:$Y$235,M72,FALSE)</f>
        <v>0</v>
      </c>
      <c r="F72" s="79"/>
      <c r="G72" s="1192">
        <f>HLOOKUP(Attach,$Q$8:$Y$235,M72,FALSE)</f>
        <v>0</v>
      </c>
      <c r="H72" s="719"/>
      <c r="I72" s="1192">
        <f>HLOOKUP(Attach,$T$8:$Y$235,$M72,FALSE)</f>
        <v>0</v>
      </c>
      <c r="J72" s="1558"/>
      <c r="K72" s="1192">
        <f t="shared" si="34"/>
        <v>0</v>
      </c>
      <c r="L72" s="353"/>
      <c r="M72" s="75">
        <f t="shared" si="0"/>
        <v>65</v>
      </c>
      <c r="N72" s="951"/>
      <c r="O72" s="951"/>
      <c r="P72" s="937">
        <f t="shared" si="26"/>
        <v>0</v>
      </c>
      <c r="Q72" s="951"/>
      <c r="R72" s="951"/>
      <c r="S72" s="937">
        <f t="shared" ref="S72:S74" si="36">+Q72+R72</f>
        <v>0</v>
      </c>
      <c r="T72" s="980"/>
      <c r="U72" s="980"/>
      <c r="V72" s="937">
        <f t="shared" ref="V72" si="37">+T72+U72</f>
        <v>0</v>
      </c>
    </row>
    <row r="73" spans="1:25" s="123" customFormat="1">
      <c r="A73" s="1015">
        <f t="shared" si="10"/>
        <v>63</v>
      </c>
      <c r="B73" s="996"/>
      <c r="C73" s="82"/>
      <c r="D73" s="82"/>
      <c r="E73" s="1029"/>
      <c r="F73" s="1022"/>
      <c r="G73" s="1029"/>
      <c r="H73" s="574"/>
      <c r="I73" s="1029"/>
      <c r="J73" s="1028"/>
      <c r="K73" s="1029"/>
      <c r="L73" s="353"/>
      <c r="M73" s="82"/>
      <c r="N73" s="497"/>
      <c r="O73" s="497"/>
      <c r="P73" s="506"/>
      <c r="Q73" s="497"/>
      <c r="R73" s="497"/>
      <c r="S73" s="506"/>
      <c r="T73" s="14"/>
      <c r="U73" s="14"/>
      <c r="V73" s="506"/>
    </row>
    <row r="74" spans="1:25" s="123" customFormat="1" ht="13.5" thickBot="1">
      <c r="A74" s="1015">
        <f t="shared" si="10"/>
        <v>64</v>
      </c>
      <c r="B74" s="996"/>
      <c r="C74" s="1030" t="s">
        <v>511</v>
      </c>
      <c r="D74" s="82"/>
      <c r="E74" s="1552">
        <f>+E34+E42+E46+E54+E67+E71+E72+E70</f>
        <v>-51955427.716847003</v>
      </c>
      <c r="F74" s="1553"/>
      <c r="G74" s="1552">
        <f>+G34+G42+G46+G54+G67+G71+G72+G70</f>
        <v>-48778735.358000003</v>
      </c>
      <c r="H74" s="1539"/>
      <c r="I74" s="1552">
        <f ca="1">+I34+I42+I46+I54+I67+I71+I72+I70</f>
        <v>-16849298.302307487</v>
      </c>
      <c r="J74" s="1551"/>
      <c r="K74" s="1552">
        <f ca="1">+K34+K42+K46+K54+K67+K71+K72+K70</f>
        <v>-65628033.660307489</v>
      </c>
      <c r="L74" s="353"/>
      <c r="M74" s="75"/>
      <c r="N74" s="1563">
        <f>+N34+N42+N46+N67+N71+N72+N70</f>
        <v>-37443401.087312475</v>
      </c>
      <c r="O74" s="1563">
        <f>+O34+O42+O46+O67+O71+O72+O70</f>
        <v>-11848421.512654532</v>
      </c>
      <c r="P74" s="1473">
        <f t="shared" si="26"/>
        <v>-49291822.599967003</v>
      </c>
      <c r="Q74" s="1563">
        <f>+Q34+Q42+Q46+Q67+Q71+Q72+Q70</f>
        <v>-40639369.340000004</v>
      </c>
      <c r="R74" s="1563">
        <f>+R34+R42+R46+R67+R71+R72+R70</f>
        <v>-6518716.3300000001</v>
      </c>
      <c r="S74" s="1473">
        <f t="shared" si="36"/>
        <v>-47158085.670000002</v>
      </c>
      <c r="T74" s="1563">
        <f>+T34+T42+T46+T67+T71+T72+T70</f>
        <v>-3952716.3430186603</v>
      </c>
      <c r="U74" s="1563">
        <f>+U34+U42+U46+U67+U71+U72+U70</f>
        <v>-6536445.0443896698</v>
      </c>
      <c r="V74" s="1473">
        <f t="shared" ref="V74" si="38">+T74+U74</f>
        <v>-10489161.387408331</v>
      </c>
    </row>
    <row r="75" spans="1:25" s="123" customFormat="1" ht="13.5" thickTop="1">
      <c r="A75" s="120"/>
      <c r="B75" s="40"/>
      <c r="C75" s="23"/>
      <c r="D75" s="23"/>
      <c r="E75" s="613"/>
      <c r="F75" s="54"/>
      <c r="G75" s="613"/>
      <c r="H75" s="353"/>
      <c r="I75" s="683"/>
      <c r="J75" s="608"/>
      <c r="K75" s="613"/>
      <c r="L75" s="708"/>
      <c r="M75" s="75"/>
      <c r="N75" s="75"/>
      <c r="O75" s="75"/>
      <c r="P75" s="66"/>
      <c r="Q75" s="155"/>
      <c r="R75" s="66"/>
      <c r="S75" s="66"/>
      <c r="T75" s="155"/>
      <c r="U75" s="66"/>
      <c r="V75" s="66"/>
    </row>
    <row r="76" spans="1:25" s="123" customFormat="1">
      <c r="A76" s="120"/>
      <c r="B76" s="40"/>
      <c r="C76" s="23"/>
      <c r="D76" s="23"/>
      <c r="E76" s="1249"/>
      <c r="F76" s="19"/>
      <c r="G76" s="361"/>
      <c r="H76" s="361"/>
      <c r="I76" s="573"/>
      <c r="J76" s="608"/>
      <c r="K76" s="361"/>
      <c r="L76" s="353"/>
      <c r="M76" s="75"/>
      <c r="N76" s="75"/>
      <c r="O76" s="75"/>
      <c r="P76" s="75"/>
      <c r="Q76" s="341"/>
      <c r="R76" s="66"/>
      <c r="S76" s="66"/>
      <c r="T76" s="341"/>
      <c r="U76" s="66"/>
      <c r="V76" s="66"/>
    </row>
    <row r="77" spans="1:25" s="123" customFormat="1">
      <c r="A77" s="120"/>
      <c r="B77" s="40"/>
      <c r="D77" s="20"/>
      <c r="E77" s="20" t="s">
        <v>1592</v>
      </c>
      <c r="F77" s="463"/>
      <c r="G77" s="622"/>
      <c r="H77" s="622"/>
      <c r="J77" s="622"/>
      <c r="K77" s="622"/>
      <c r="L77" s="622"/>
      <c r="M77" s="75"/>
      <c r="N77" s="75"/>
      <c r="O77" s="75"/>
      <c r="P77" s="75"/>
      <c r="Q77" s="155"/>
      <c r="R77" s="66"/>
      <c r="S77" s="66"/>
      <c r="T77" s="155"/>
      <c r="U77" s="66"/>
      <c r="V77" s="66"/>
    </row>
    <row r="78" spans="1:25">
      <c r="E78" s="1249"/>
      <c r="F78" s="41"/>
      <c r="G78" s="1018" t="s">
        <v>1646</v>
      </c>
      <c r="H78" s="41"/>
      <c r="I78" s="209">
        <f>IF($K$86="Y",K88,I88)</f>
        <v>1821520</v>
      </c>
      <c r="J78" s="41"/>
      <c r="K78" s="41"/>
      <c r="M78" s="155"/>
      <c r="N78" s="155"/>
      <c r="O78" s="155"/>
      <c r="P78" s="155"/>
      <c r="Q78" s="341"/>
      <c r="T78" s="155"/>
      <c r="Y78" s="123"/>
    </row>
    <row r="79" spans="1:25">
      <c r="G79" s="1018" t="s">
        <v>1647</v>
      </c>
      <c r="I79" s="209">
        <f>IF($K$86="Y",K89,I89)</f>
        <v>1604614</v>
      </c>
      <c r="K79" s="160"/>
      <c r="M79" s="155"/>
      <c r="N79" s="155"/>
      <c r="O79" s="155"/>
      <c r="P79" s="155"/>
      <c r="Q79" s="155"/>
      <c r="T79" s="155"/>
    </row>
    <row r="80" spans="1:25">
      <c r="E80" s="1249"/>
      <c r="G80" s="1208" t="s">
        <v>1593</v>
      </c>
      <c r="I80" s="209">
        <f>IF($K$86="Y",K90,I90)</f>
        <v>-336968.94</v>
      </c>
      <c r="M80" s="155"/>
      <c r="N80" s="155"/>
      <c r="O80" s="155"/>
      <c r="P80" s="155"/>
      <c r="Q80" s="341"/>
      <c r="T80" s="341"/>
    </row>
    <row r="81" spans="5:22">
      <c r="M81" s="155"/>
      <c r="N81" s="155"/>
      <c r="O81" s="155"/>
      <c r="P81" s="155"/>
      <c r="Q81" s="155"/>
      <c r="S81" s="155"/>
      <c r="T81" s="155"/>
      <c r="V81" s="155"/>
    </row>
    <row r="82" spans="5:22">
      <c r="E82" s="23" t="s">
        <v>1615</v>
      </c>
      <c r="I82" s="23" t="str">
        <f>'MCC Testimony Table'!F20</f>
        <v>Y</v>
      </c>
      <c r="M82" s="155"/>
      <c r="N82" s="155"/>
      <c r="O82" s="155"/>
      <c r="P82" s="155"/>
      <c r="Q82" s="155"/>
      <c r="S82" s="155"/>
      <c r="T82" s="155"/>
      <c r="V82" s="155"/>
    </row>
    <row r="84" spans="5:22">
      <c r="E84" s="23" t="s">
        <v>1636</v>
      </c>
      <c r="I84" s="23" t="str">
        <f>'MCC Testimony Table'!F27</f>
        <v>Y</v>
      </c>
    </row>
    <row r="85" spans="5:22">
      <c r="M85" s="155"/>
      <c r="N85" s="155"/>
      <c r="O85" s="155"/>
      <c r="P85" s="155"/>
      <c r="Q85" s="155"/>
      <c r="S85" s="155"/>
      <c r="T85" s="155"/>
      <c r="V85" s="155"/>
    </row>
    <row r="86" spans="5:22">
      <c r="E86" s="23" t="s">
        <v>1648</v>
      </c>
      <c r="I86" s="622" t="str">
        <f>'Stmt N'!AT1</f>
        <v>Y</v>
      </c>
      <c r="K86" s="23" t="str">
        <f>'MCC Testimony Table'!F30</f>
        <v>Y</v>
      </c>
      <c r="M86" s="155"/>
      <c r="N86" s="155"/>
      <c r="O86" s="155"/>
      <c r="P86" s="155"/>
      <c r="Q86" s="155"/>
      <c r="S86" s="155"/>
      <c r="T86" s="155"/>
      <c r="V86" s="155"/>
    </row>
    <row r="87" spans="5:22">
      <c r="I87" s="23" t="s">
        <v>1649</v>
      </c>
      <c r="K87" s="23" t="s">
        <v>1650</v>
      </c>
      <c r="M87" s="155"/>
      <c r="N87" s="155"/>
      <c r="O87" s="155"/>
      <c r="P87" s="155"/>
      <c r="Q87" s="155"/>
      <c r="S87" s="155"/>
      <c r="T87" s="155"/>
      <c r="V87" s="155"/>
    </row>
    <row r="88" spans="5:22">
      <c r="G88" s="1018" t="s">
        <v>1646</v>
      </c>
      <c r="I88" s="326">
        <v>1821520</v>
      </c>
      <c r="K88" s="1752">
        <v>1821520</v>
      </c>
      <c r="M88" s="155"/>
      <c r="N88" s="155"/>
      <c r="O88" s="155"/>
      <c r="P88" s="155"/>
      <c r="Q88" s="155"/>
      <c r="S88" s="155"/>
      <c r="T88" s="155"/>
      <c r="V88" s="155"/>
    </row>
    <row r="89" spans="5:22">
      <c r="G89" s="1018" t="s">
        <v>1647</v>
      </c>
      <c r="I89" s="207">
        <v>1604614</v>
      </c>
      <c r="K89" s="1753">
        <v>1604614</v>
      </c>
      <c r="M89" s="155"/>
      <c r="N89" s="155"/>
      <c r="O89" s="155"/>
      <c r="P89" s="155"/>
      <c r="Q89" s="155"/>
      <c r="S89" s="155"/>
      <c r="T89" s="155"/>
      <c r="V89" s="155"/>
    </row>
    <row r="90" spans="5:22">
      <c r="G90" s="1208" t="s">
        <v>1593</v>
      </c>
      <c r="I90" s="207">
        <v>-336968.94</v>
      </c>
      <c r="K90" s="1753">
        <v>-336968.94</v>
      </c>
      <c r="S90" s="155"/>
      <c r="V90" s="155"/>
    </row>
    <row r="93" spans="5:22">
      <c r="E93" s="23" t="s">
        <v>1678</v>
      </c>
      <c r="K93" s="23" t="str">
        <f>'MCC Testimony Table'!F37</f>
        <v>Y</v>
      </c>
    </row>
    <row r="94" spans="5:22">
      <c r="E94" s="23" t="s">
        <v>1679</v>
      </c>
      <c r="G94" s="1017" t="s">
        <v>1000</v>
      </c>
      <c r="J94" s="66"/>
      <c r="K94" s="1775">
        <f>K96*-COMPRATE</f>
        <v>2010691.1455340881</v>
      </c>
    </row>
    <row r="95" spans="5:22">
      <c r="E95" s="23" t="s">
        <v>1680</v>
      </c>
      <c r="G95" s="1017" t="s">
        <v>1484</v>
      </c>
      <c r="I95" s="614"/>
      <c r="K95" s="1775">
        <f>-K96-K94</f>
        <v>5389745.166465912</v>
      </c>
      <c r="L95" s="66"/>
      <c r="N95" s="244"/>
    </row>
    <row r="96" spans="5:22">
      <c r="E96" s="23" t="s">
        <v>1681</v>
      </c>
      <c r="G96" s="1017" t="s">
        <v>1482</v>
      </c>
      <c r="I96" s="207"/>
      <c r="K96" s="1775">
        <f>-G52</f>
        <v>-7400436.3119999999</v>
      </c>
      <c r="L96" s="66"/>
      <c r="N96" s="614"/>
    </row>
    <row r="97" spans="9:14">
      <c r="I97" s="614"/>
      <c r="N97" s="614"/>
    </row>
    <row r="98" spans="9:14">
      <c r="I98" s="614"/>
    </row>
    <row r="101" spans="9:14">
      <c r="I101" s="614"/>
    </row>
  </sheetData>
  <phoneticPr fontId="12" type="noConversion"/>
  <printOptions horizontalCentered="1"/>
  <pageMargins left="0.2" right="0.2" top="0.75" bottom="0.25" header="0.75" footer="0.25"/>
  <pageSetup scale="64" orientation="portrait" r:id="rId1"/>
  <headerFooter alignWithMargins="0"/>
  <rowBreaks count="1" manualBreakCount="1">
    <brk id="75" max="1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D105"/>
  <sheetViews>
    <sheetView topLeftCell="C1" workbookViewId="0">
      <selection activeCell="O2" sqref="O2"/>
    </sheetView>
  </sheetViews>
  <sheetFormatPr defaultColWidth="9.33203125" defaultRowHeight="12.75"/>
  <cols>
    <col min="1" max="1" width="6.83203125" style="82" customWidth="1"/>
    <col min="2" max="2" width="52.1640625" style="82" customWidth="1"/>
    <col min="3" max="3" width="15.6640625" style="82" customWidth="1"/>
    <col min="4" max="4" width="15.33203125" style="82" customWidth="1"/>
    <col min="5" max="5" width="15.1640625" style="82" customWidth="1"/>
    <col min="6" max="6" width="15.33203125" style="82" customWidth="1"/>
    <col min="7" max="7" width="11.6640625" style="82" customWidth="1"/>
    <col min="8" max="8" width="13.6640625" style="82" customWidth="1"/>
    <col min="9" max="9" width="16" style="82" customWidth="1"/>
    <col min="10" max="10" width="15.33203125" style="82" customWidth="1"/>
    <col min="11" max="11" width="2" style="82" customWidth="1"/>
    <col min="12" max="12" width="10" style="82" customWidth="1"/>
    <col min="13" max="13" width="2.6640625" style="82" customWidth="1"/>
    <col min="14" max="14" width="16.33203125" style="82" customWidth="1"/>
    <col min="15" max="15" width="16.83203125" style="82" customWidth="1"/>
    <col min="16" max="16" width="9.33203125" style="75" customWidth="1"/>
    <col min="17" max="17" width="5.1640625" style="82" customWidth="1"/>
    <col min="18" max="20" width="14.83203125" style="82" customWidth="1"/>
    <col min="21" max="21" width="5.33203125" style="82" customWidth="1"/>
    <col min="22" max="22" width="5.1640625" style="82" customWidth="1"/>
    <col min="23" max="25" width="14.83203125" style="82" customWidth="1"/>
    <col min="26" max="26" width="4.33203125" style="82" customWidth="1"/>
    <col min="27" max="27" width="5.1640625" style="82" customWidth="1"/>
    <col min="28" max="30" width="14.83203125" style="82" customWidth="1"/>
    <col min="31" max="16384" width="9.33203125" style="75"/>
  </cols>
  <sheetData>
    <row r="1" spans="1:30">
      <c r="A1" s="342" t="str">
        <f>Company</f>
        <v>BLACK HILLS NEBRASKA GAS, LLC</v>
      </c>
      <c r="N1" s="803"/>
      <c r="O1" s="803" t="s">
        <v>1322</v>
      </c>
      <c r="Q1" s="75"/>
      <c r="R1" s="75"/>
      <c r="S1" s="75"/>
      <c r="T1" s="75"/>
      <c r="V1" s="75"/>
      <c r="W1" s="75"/>
      <c r="X1" s="75"/>
      <c r="Y1" s="75"/>
      <c r="Z1" s="75"/>
      <c r="AA1" s="75"/>
      <c r="AB1" s="75"/>
      <c r="AC1" s="75"/>
      <c r="AD1" s="75"/>
    </row>
    <row r="2" spans="1:30">
      <c r="A2" s="342" t="s">
        <v>853</v>
      </c>
      <c r="N2" s="925"/>
      <c r="O2" s="803" t="str">
        <f>Attach</f>
        <v>FINAL - BH January 15, 2021 Rev. Req. Model</v>
      </c>
      <c r="Q2" s="75"/>
      <c r="R2" s="75"/>
      <c r="S2" s="75"/>
      <c r="T2" s="75"/>
      <c r="V2" s="75"/>
      <c r="W2" s="75"/>
      <c r="X2" s="75"/>
      <c r="Y2" s="75"/>
      <c r="Z2" s="75"/>
      <c r="AA2" s="75"/>
      <c r="AB2" s="75"/>
      <c r="AC2" s="75"/>
      <c r="AD2" s="75"/>
    </row>
    <row r="3" spans="1:30">
      <c r="A3" s="1571" t="str">
        <f>TYEnded</f>
        <v>FOR THE TEST YEAR ENDING DECEMBER 31, 2020</v>
      </c>
      <c r="O3" s="925" t="s">
        <v>502</v>
      </c>
      <c r="Q3" s="75"/>
      <c r="R3" s="75" t="s">
        <v>746</v>
      </c>
      <c r="S3" s="75"/>
      <c r="T3" s="75"/>
      <c r="V3" s="75"/>
      <c r="W3" s="75" t="s">
        <v>712</v>
      </c>
      <c r="X3" s="75"/>
      <c r="Y3" s="75"/>
      <c r="Z3" s="75"/>
      <c r="AA3" s="75"/>
      <c r="AB3" s="75" t="s">
        <v>504</v>
      </c>
      <c r="AC3" s="75"/>
      <c r="AD3" s="75"/>
    </row>
    <row r="4" spans="1:30">
      <c r="Q4" s="75"/>
      <c r="R4" s="75"/>
      <c r="S4" s="75"/>
      <c r="T4" s="75"/>
      <c r="V4" s="75"/>
      <c r="W4" s="75"/>
      <c r="X4" s="75"/>
      <c r="Y4" s="75"/>
      <c r="Z4" s="75"/>
      <c r="AA4" s="75"/>
      <c r="AB4" s="75"/>
      <c r="AC4" s="75"/>
      <c r="AD4" s="75"/>
    </row>
    <row r="5" spans="1:30">
      <c r="A5" s="1572"/>
      <c r="B5" s="1573"/>
      <c r="C5" s="469" t="s">
        <v>199</v>
      </c>
      <c r="D5" s="469" t="s">
        <v>200</v>
      </c>
      <c r="E5" s="469" t="s">
        <v>41</v>
      </c>
      <c r="F5" s="469" t="s">
        <v>202</v>
      </c>
      <c r="G5" s="469" t="s">
        <v>203</v>
      </c>
      <c r="H5" s="469" t="s">
        <v>204</v>
      </c>
      <c r="I5" s="469" t="s">
        <v>205</v>
      </c>
      <c r="J5" s="469" t="s">
        <v>206</v>
      </c>
      <c r="K5" s="469"/>
      <c r="L5" s="469" t="s">
        <v>207</v>
      </c>
      <c r="M5" s="469"/>
      <c r="N5" s="469" t="s">
        <v>208</v>
      </c>
      <c r="O5" s="469" t="s">
        <v>209</v>
      </c>
      <c r="Q5" s="75"/>
      <c r="R5" s="75"/>
      <c r="S5" s="75"/>
      <c r="T5" s="75"/>
      <c r="V5" s="75"/>
      <c r="W5" s="75"/>
      <c r="X5" s="75"/>
      <c r="Y5" s="75"/>
      <c r="Z5" s="75"/>
      <c r="AA5" s="75"/>
      <c r="AB5" s="75"/>
      <c r="AC5" s="75"/>
      <c r="AD5" s="75"/>
    </row>
    <row r="6" spans="1:30">
      <c r="E6" s="1572" t="s">
        <v>657</v>
      </c>
      <c r="F6" s="1572"/>
      <c r="I6" s="1572" t="s">
        <v>658</v>
      </c>
      <c r="J6" s="1572" t="s">
        <v>659</v>
      </c>
      <c r="N6" s="1572" t="s">
        <v>660</v>
      </c>
      <c r="O6" s="1572"/>
      <c r="Q6" s="75">
        <v>1</v>
      </c>
      <c r="R6" s="75" t="str">
        <f>References!$C$17</f>
        <v>Exhibit No. MCC-2 NEG</v>
      </c>
      <c r="S6" s="75" t="str">
        <f>References!$D$17</f>
        <v>Exhibit No. MCC-2 NEGD</v>
      </c>
      <c r="T6" s="75" t="str">
        <f>References!$E$17</f>
        <v>FINAL - BH January 15, 2021 Rev. Req. Model</v>
      </c>
      <c r="V6" s="75">
        <v>1</v>
      </c>
      <c r="W6" s="75" t="str">
        <f>References!$C$17</f>
        <v>Exhibit No. MCC-2 NEG</v>
      </c>
      <c r="X6" s="75" t="str">
        <f>References!$D$17</f>
        <v>Exhibit No. MCC-2 NEGD</v>
      </c>
      <c r="Y6" s="75" t="str">
        <f>References!$E$17</f>
        <v>FINAL - BH January 15, 2021 Rev. Req. Model</v>
      </c>
      <c r="Z6" s="75"/>
      <c r="AA6" s="75">
        <v>1</v>
      </c>
      <c r="AB6" s="75" t="str">
        <f>References!$C$17</f>
        <v>Exhibit No. MCC-2 NEG</v>
      </c>
      <c r="AC6" s="75" t="str">
        <f>References!$D$17</f>
        <v>Exhibit No. MCC-2 NEGD</v>
      </c>
      <c r="AD6" s="75" t="str">
        <f>References!$E$17</f>
        <v>FINAL - BH January 15, 2021 Rev. Req. Model</v>
      </c>
    </row>
    <row r="7" spans="1:30" ht="38.25">
      <c r="A7" s="1574" t="s">
        <v>117</v>
      </c>
      <c r="B7" s="1574" t="s">
        <v>503</v>
      </c>
      <c r="C7" s="1574" t="s">
        <v>716</v>
      </c>
      <c r="D7" s="1574" t="s">
        <v>1244</v>
      </c>
      <c r="E7" s="1574" t="s">
        <v>650</v>
      </c>
      <c r="F7" s="1574" t="s">
        <v>791</v>
      </c>
      <c r="G7" s="1574" t="s">
        <v>652</v>
      </c>
      <c r="H7" s="1574" t="s">
        <v>653</v>
      </c>
      <c r="I7" s="1574" t="s">
        <v>504</v>
      </c>
      <c r="J7" s="1574" t="s">
        <v>333</v>
      </c>
      <c r="K7" s="1575"/>
      <c r="L7" s="1574" t="s">
        <v>359</v>
      </c>
      <c r="M7" s="1575"/>
      <c r="N7" s="1574" t="s">
        <v>656</v>
      </c>
      <c r="O7" s="1574" t="s">
        <v>786</v>
      </c>
      <c r="Q7" s="75">
        <f>1+Q6</f>
        <v>2</v>
      </c>
      <c r="R7" s="75" t="str">
        <f>References!$C$18</f>
        <v>NEG</v>
      </c>
      <c r="S7" s="75" t="str">
        <f>References!$D$18</f>
        <v>NEGD</v>
      </c>
      <c r="T7" s="75" t="str">
        <f>References!$E$18</f>
        <v>Tot Co</v>
      </c>
      <c r="V7" s="75">
        <f>1+V6</f>
        <v>2</v>
      </c>
      <c r="W7" s="75" t="str">
        <f>References!$C$18</f>
        <v>NEG</v>
      </c>
      <c r="X7" s="75" t="str">
        <f>References!$D$18</f>
        <v>NEGD</v>
      </c>
      <c r="Y7" s="75" t="str">
        <f>References!$E$18</f>
        <v>Tot Co</v>
      </c>
      <c r="Z7" s="75"/>
      <c r="AA7" s="75">
        <f>1+AA6</f>
        <v>2</v>
      </c>
      <c r="AB7" s="75" t="str">
        <f>References!$C$18</f>
        <v>NEG</v>
      </c>
      <c r="AC7" s="75" t="str">
        <f>References!$D$18</f>
        <v>NEGD</v>
      </c>
      <c r="AD7" s="75" t="str">
        <f>References!$E$18</f>
        <v>Tot Co</v>
      </c>
    </row>
    <row r="8" spans="1:30">
      <c r="A8" s="1576"/>
      <c r="C8" s="1577"/>
      <c r="D8" s="1577"/>
      <c r="E8" s="1577"/>
      <c r="F8" s="1577"/>
      <c r="G8" s="1577"/>
      <c r="H8" s="1577"/>
      <c r="I8" s="1577"/>
      <c r="J8" s="1577"/>
      <c r="K8" s="1578"/>
      <c r="L8" s="1577"/>
      <c r="M8" s="1578"/>
      <c r="N8" s="1577"/>
      <c r="O8" s="1577"/>
      <c r="Q8" s="75">
        <f t="shared" ref="Q8:Q69" si="0">1+Q7</f>
        <v>3</v>
      </c>
      <c r="R8" s="75"/>
      <c r="S8" s="75"/>
      <c r="T8" s="75"/>
      <c r="V8" s="75">
        <f t="shared" ref="V8:V72" si="1">1+V7</f>
        <v>3</v>
      </c>
      <c r="W8" s="75"/>
      <c r="X8" s="75"/>
      <c r="Y8" s="75"/>
      <c r="Z8" s="75"/>
      <c r="AA8" s="75">
        <f t="shared" ref="AA8:AA76" si="2">1+AA7</f>
        <v>3</v>
      </c>
      <c r="AB8" s="75"/>
      <c r="AC8" s="75"/>
      <c r="AD8" s="75"/>
    </row>
    <row r="9" spans="1:30">
      <c r="A9" s="1572">
        <v>1</v>
      </c>
      <c r="B9" s="1579" t="s">
        <v>651</v>
      </c>
      <c r="Q9" s="75">
        <f t="shared" si="0"/>
        <v>4</v>
      </c>
      <c r="T9" s="790"/>
      <c r="U9" s="790"/>
      <c r="V9" s="75">
        <f t="shared" si="1"/>
        <v>4</v>
      </c>
      <c r="Y9" s="75"/>
      <c r="Z9" s="75"/>
      <c r="AA9" s="75">
        <f t="shared" si="2"/>
        <v>4</v>
      </c>
      <c r="AD9" s="75"/>
    </row>
    <row r="10" spans="1:30">
      <c r="A10" s="1572">
        <f>A9+1</f>
        <v>2</v>
      </c>
      <c r="B10" s="469"/>
      <c r="F10" s="1580"/>
      <c r="I10" s="659"/>
      <c r="J10" s="574"/>
      <c r="K10" s="842"/>
      <c r="L10" s="834"/>
      <c r="M10" s="842"/>
      <c r="N10" s="1581"/>
      <c r="Q10" s="75">
        <f t="shared" si="0"/>
        <v>5</v>
      </c>
      <c r="T10" s="790"/>
      <c r="U10" s="790"/>
      <c r="V10" s="75">
        <f t="shared" si="1"/>
        <v>5</v>
      </c>
      <c r="Y10" s="75"/>
      <c r="Z10" s="75"/>
      <c r="AA10" s="75">
        <f t="shared" si="2"/>
        <v>5</v>
      </c>
      <c r="AD10" s="75"/>
    </row>
    <row r="11" spans="1:30">
      <c r="A11" s="1572">
        <f t="shared" ref="A11:A72" si="3">A10+1</f>
        <v>3</v>
      </c>
      <c r="B11" s="469">
        <f>'Sched D-2'!B11</f>
        <v>374.01</v>
      </c>
      <c r="C11" s="1018">
        <f>IFERROR(VLOOKUP(B11,'Sched D-2'!B:E,4,FALSE),0)-C55</f>
        <v>0</v>
      </c>
      <c r="D11" s="1582">
        <f>IFERROR(VLOOKUP(B11,'Sched J-1'!B:K,10,FALSE),0)</f>
        <v>0</v>
      </c>
      <c r="E11" s="1018">
        <f t="shared" ref="E11:E50" si="4">D11*C11</f>
        <v>0</v>
      </c>
      <c r="F11" s="1018">
        <f t="shared" ref="F11:F50" si="5">E11/2</f>
        <v>0</v>
      </c>
      <c r="G11" s="829" t="s">
        <v>1469</v>
      </c>
      <c r="H11" s="829">
        <v>0</v>
      </c>
      <c r="I11" s="1018">
        <f t="shared" ref="I11:I50" si="6">H11*C11</f>
        <v>0</v>
      </c>
      <c r="J11" s="1018">
        <f>+E11-I11</f>
        <v>0</v>
      </c>
      <c r="K11" s="842"/>
      <c r="L11" s="834">
        <f t="shared" ref="L11:L50" si="7">COMPRATE</f>
        <v>0.27169900000000002</v>
      </c>
      <c r="M11" s="842"/>
      <c r="N11" s="1018">
        <f t="shared" ref="N11" si="8">+J11*L11</f>
        <v>0</v>
      </c>
      <c r="O11" s="1018">
        <f>N11</f>
        <v>0</v>
      </c>
      <c r="Q11" s="75">
        <f t="shared" si="0"/>
        <v>6</v>
      </c>
      <c r="R11" s="960"/>
      <c r="S11" s="960"/>
      <c r="T11" s="1511">
        <f>+R11+S11</f>
        <v>0</v>
      </c>
      <c r="U11" s="790"/>
      <c r="V11" s="75">
        <f t="shared" si="1"/>
        <v>6</v>
      </c>
      <c r="W11" s="960"/>
      <c r="X11" s="960"/>
      <c r="Y11" s="1511">
        <f t="shared" ref="Y11:Y38" si="9">+W11+X11</f>
        <v>0</v>
      </c>
      <c r="Z11" s="75"/>
      <c r="AA11" s="75">
        <f t="shared" si="2"/>
        <v>6</v>
      </c>
      <c r="AB11" s="960"/>
      <c r="AC11" s="960"/>
      <c r="AD11" s="1511">
        <f t="shared" ref="AD11:AD68" si="10">+AB11+AC11</f>
        <v>0</v>
      </c>
    </row>
    <row r="12" spans="1:30">
      <c r="A12" s="1572">
        <f t="shared" si="3"/>
        <v>4</v>
      </c>
      <c r="B12" s="469">
        <f>'Sched D-2'!B12</f>
        <v>374.02</v>
      </c>
      <c r="C12" s="1019">
        <f>IFERROR(VLOOKUP(B12,'Sched D-2'!B:E,4,FALSE),0)-C56</f>
        <v>1517003.5573682757</v>
      </c>
      <c r="D12" s="1582">
        <f>IFERROR(VLOOKUP(B12,'Sched J-1'!B:K,10,FALSE),0)</f>
        <v>0</v>
      </c>
      <c r="E12" s="790">
        <f t="shared" si="4"/>
        <v>0</v>
      </c>
      <c r="F12" s="790">
        <f>E12/2</f>
        <v>0</v>
      </c>
      <c r="G12" s="829" t="s">
        <v>1469</v>
      </c>
      <c r="H12" s="829">
        <v>0</v>
      </c>
      <c r="I12" s="790">
        <f t="shared" si="6"/>
        <v>0</v>
      </c>
      <c r="J12" s="790">
        <f t="shared" ref="J12:J50" si="11">+E12-I12</f>
        <v>0</v>
      </c>
      <c r="K12" s="842"/>
      <c r="L12" s="834">
        <f t="shared" si="7"/>
        <v>0.27169900000000002</v>
      </c>
      <c r="M12" s="842"/>
      <c r="N12" s="790">
        <f t="shared" ref="N12:N50" si="12">+J12*L12</f>
        <v>0</v>
      </c>
      <c r="O12" s="790">
        <f>N12</f>
        <v>0</v>
      </c>
      <c r="Q12" s="75">
        <f t="shared" si="0"/>
        <v>7</v>
      </c>
      <c r="R12" s="960"/>
      <c r="S12" s="960"/>
      <c r="T12" s="1511">
        <f t="shared" ref="T12:T70" si="13">+R12+S12</f>
        <v>0</v>
      </c>
      <c r="U12" s="790"/>
      <c r="V12" s="75">
        <f t="shared" si="1"/>
        <v>7</v>
      </c>
      <c r="W12" s="960"/>
      <c r="X12" s="960"/>
      <c r="Y12" s="1511">
        <f t="shared" si="9"/>
        <v>0</v>
      </c>
      <c r="Z12" s="75"/>
      <c r="AA12" s="75">
        <f t="shared" si="2"/>
        <v>7</v>
      </c>
      <c r="AB12" s="960"/>
      <c r="AC12" s="960"/>
      <c r="AD12" s="1511">
        <f t="shared" si="10"/>
        <v>0</v>
      </c>
    </row>
    <row r="13" spans="1:30">
      <c r="A13" s="1572">
        <f t="shared" si="3"/>
        <v>5</v>
      </c>
      <c r="B13" s="469">
        <f>'Sched D-2'!B13</f>
        <v>374.03</v>
      </c>
      <c r="C13" s="1019">
        <f>IFERROR(VLOOKUP(B13,'Sched D-2'!B:E,4,FALSE),0)-C57</f>
        <v>0</v>
      </c>
      <c r="D13" s="1582">
        <f>IFERROR(VLOOKUP(B13,'Sched J-1'!B:K,10,FALSE),0)</f>
        <v>9.4999999999999998E-3</v>
      </c>
      <c r="E13" s="790">
        <f t="shared" si="4"/>
        <v>0</v>
      </c>
      <c r="F13" s="790">
        <f t="shared" si="5"/>
        <v>0</v>
      </c>
      <c r="G13" s="829" t="s">
        <v>1469</v>
      </c>
      <c r="H13" s="829">
        <v>0</v>
      </c>
      <c r="I13" s="790">
        <f>H13*C13</f>
        <v>0</v>
      </c>
      <c r="J13" s="790">
        <f>+E13-I13</f>
        <v>0</v>
      </c>
      <c r="K13" s="842"/>
      <c r="L13" s="834">
        <f t="shared" si="7"/>
        <v>0.27169900000000002</v>
      </c>
      <c r="M13" s="842"/>
      <c r="N13" s="790">
        <f>+J13*L13</f>
        <v>0</v>
      </c>
      <c r="O13" s="790">
        <f t="shared" ref="O13:O50" si="14">N13</f>
        <v>0</v>
      </c>
      <c r="Q13" s="75">
        <f t="shared" si="0"/>
        <v>8</v>
      </c>
      <c r="R13" s="960"/>
      <c r="S13" s="960"/>
      <c r="T13" s="1511">
        <f t="shared" si="13"/>
        <v>0</v>
      </c>
      <c r="U13" s="790"/>
      <c r="V13" s="75">
        <f t="shared" si="1"/>
        <v>8</v>
      </c>
      <c r="W13" s="960"/>
      <c r="X13" s="960"/>
      <c r="Y13" s="1511">
        <f t="shared" si="9"/>
        <v>0</v>
      </c>
      <c r="Z13" s="75"/>
      <c r="AA13" s="75">
        <f t="shared" si="2"/>
        <v>8</v>
      </c>
      <c r="AB13" s="960"/>
      <c r="AC13" s="960"/>
      <c r="AD13" s="1511">
        <f t="shared" si="10"/>
        <v>0</v>
      </c>
    </row>
    <row r="14" spans="1:30">
      <c r="A14" s="1572">
        <f t="shared" si="3"/>
        <v>6</v>
      </c>
      <c r="B14" s="469">
        <f>'Sched D-2'!B14</f>
        <v>375.01</v>
      </c>
      <c r="C14" s="1019">
        <f>IFERROR(VLOOKUP(B14,'Sched D-2'!B:E,4,FALSE),0)-C58</f>
        <v>754045.22267942538</v>
      </c>
      <c r="D14" s="1582">
        <f>IFERROR(VLOOKUP(B14,'Sched J-1'!B:K,10,FALSE),0)</f>
        <v>7.6E-3</v>
      </c>
      <c r="E14" s="790">
        <f t="shared" si="4"/>
        <v>5730.7436923636333</v>
      </c>
      <c r="F14" s="790">
        <f t="shared" si="5"/>
        <v>2865.3718461818166</v>
      </c>
      <c r="G14" s="829" t="s">
        <v>654</v>
      </c>
      <c r="H14" s="829">
        <v>3.7499999999999999E-2</v>
      </c>
      <c r="I14" s="790">
        <f>H14*C14</f>
        <v>28276.695850478452</v>
      </c>
      <c r="J14" s="790">
        <f>+E14-I14</f>
        <v>-22545.952158114818</v>
      </c>
      <c r="K14" s="842"/>
      <c r="L14" s="834">
        <f t="shared" si="7"/>
        <v>0.27169900000000002</v>
      </c>
      <c r="M14" s="842"/>
      <c r="N14" s="790">
        <f t="shared" si="12"/>
        <v>-6125.7126554076385</v>
      </c>
      <c r="O14" s="790">
        <f t="shared" si="14"/>
        <v>-6125.7126554076385</v>
      </c>
      <c r="Q14" s="75">
        <f t="shared" si="0"/>
        <v>9</v>
      </c>
      <c r="R14" s="960"/>
      <c r="S14" s="960"/>
      <c r="T14" s="1511">
        <f t="shared" si="13"/>
        <v>0</v>
      </c>
      <c r="U14" s="790"/>
      <c r="V14" s="75">
        <f t="shared" si="1"/>
        <v>9</v>
      </c>
      <c r="W14" s="960"/>
      <c r="X14" s="960"/>
      <c r="Y14" s="1511">
        <f t="shared" si="9"/>
        <v>0</v>
      </c>
      <c r="Z14" s="75"/>
      <c r="AA14" s="75">
        <f t="shared" si="2"/>
        <v>9</v>
      </c>
      <c r="AB14" s="960"/>
      <c r="AC14" s="960"/>
      <c r="AD14" s="1511">
        <f t="shared" si="10"/>
        <v>0</v>
      </c>
    </row>
    <row r="15" spans="1:30">
      <c r="A15" s="1572">
        <f t="shared" si="3"/>
        <v>7</v>
      </c>
      <c r="B15" s="1337">
        <f>'Sched D-2'!B15</f>
        <v>375.2</v>
      </c>
      <c r="C15" s="1019">
        <f>IFERROR(VLOOKUP(B15,'Sched D-2'!B:E,4,FALSE),0)-C59</f>
        <v>0</v>
      </c>
      <c r="D15" s="1582">
        <f>IFERROR(VLOOKUP(B15,'Sched J-1'!B:K,10,FALSE),0)</f>
        <v>2.1399999999999999E-2</v>
      </c>
      <c r="E15" s="790">
        <f t="shared" si="4"/>
        <v>0</v>
      </c>
      <c r="F15" s="790">
        <f t="shared" si="5"/>
        <v>0</v>
      </c>
      <c r="G15" s="829" t="s">
        <v>654</v>
      </c>
      <c r="H15" s="829">
        <v>3.7499999999999999E-2</v>
      </c>
      <c r="I15" s="790">
        <f t="shared" si="6"/>
        <v>0</v>
      </c>
      <c r="J15" s="790">
        <f t="shared" si="11"/>
        <v>0</v>
      </c>
      <c r="K15" s="842"/>
      <c r="L15" s="834">
        <f t="shared" si="7"/>
        <v>0.27169900000000002</v>
      </c>
      <c r="M15" s="842"/>
      <c r="N15" s="790">
        <f t="shared" si="12"/>
        <v>0</v>
      </c>
      <c r="O15" s="790">
        <f t="shared" si="14"/>
        <v>0</v>
      </c>
      <c r="Q15" s="75">
        <f t="shared" si="0"/>
        <v>10</v>
      </c>
      <c r="R15" s="960"/>
      <c r="S15" s="960"/>
      <c r="T15" s="1511">
        <f t="shared" si="13"/>
        <v>0</v>
      </c>
      <c r="U15" s="790"/>
      <c r="V15" s="75">
        <f t="shared" si="1"/>
        <v>10</v>
      </c>
      <c r="W15" s="960"/>
      <c r="X15" s="960"/>
      <c r="Y15" s="1511">
        <f t="shared" si="9"/>
        <v>0</v>
      </c>
      <c r="Z15" s="75"/>
      <c r="AA15" s="75">
        <f t="shared" si="2"/>
        <v>10</v>
      </c>
      <c r="AB15" s="960"/>
      <c r="AC15" s="960"/>
      <c r="AD15" s="1511">
        <f t="shared" si="10"/>
        <v>0</v>
      </c>
    </row>
    <row r="16" spans="1:30">
      <c r="A16" s="1572">
        <f t="shared" si="3"/>
        <v>8</v>
      </c>
      <c r="B16" s="469">
        <f>'Sched D-2'!B16</f>
        <v>376</v>
      </c>
      <c r="C16" s="1019">
        <f>IFERROR(VLOOKUP(B16,'Sched D-2'!B:E,4,FALSE),0)-C60</f>
        <v>36573778.930490017</v>
      </c>
      <c r="D16" s="1582">
        <f>IFERROR(VLOOKUP(B16,'Sched J-1'!B:K,10,FALSE),0)</f>
        <v>1.37E-2</v>
      </c>
      <c r="E16" s="790">
        <f t="shared" si="4"/>
        <v>501060.77134771325</v>
      </c>
      <c r="F16" s="790">
        <f t="shared" si="5"/>
        <v>250530.38567385662</v>
      </c>
      <c r="G16" s="829" t="s">
        <v>654</v>
      </c>
      <c r="H16" s="829">
        <v>3.7499999999999999E-2</v>
      </c>
      <c r="I16" s="790">
        <f t="shared" si="6"/>
        <v>1371516.7098933756</v>
      </c>
      <c r="J16" s="790">
        <f t="shared" si="11"/>
        <v>-870455.93854566244</v>
      </c>
      <c r="K16" s="842"/>
      <c r="L16" s="834">
        <f t="shared" si="7"/>
        <v>0.27169900000000002</v>
      </c>
      <c r="M16" s="842"/>
      <c r="N16" s="790">
        <f t="shared" si="12"/>
        <v>-236502.00804691797</v>
      </c>
      <c r="O16" s="790">
        <f t="shared" si="14"/>
        <v>-236502.00804691797</v>
      </c>
      <c r="Q16" s="75">
        <f t="shared" si="0"/>
        <v>11</v>
      </c>
      <c r="R16" s="960"/>
      <c r="S16" s="960"/>
      <c r="T16" s="1511">
        <f t="shared" si="13"/>
        <v>0</v>
      </c>
      <c r="U16" s="790"/>
      <c r="V16" s="75">
        <f t="shared" si="1"/>
        <v>11</v>
      </c>
      <c r="W16" s="960"/>
      <c r="X16" s="960"/>
      <c r="Y16" s="1511">
        <f t="shared" si="9"/>
        <v>0</v>
      </c>
      <c r="Z16" s="75"/>
      <c r="AA16" s="75">
        <f t="shared" si="2"/>
        <v>11</v>
      </c>
      <c r="AB16" s="960"/>
      <c r="AC16" s="960"/>
      <c r="AD16" s="1511">
        <f t="shared" si="10"/>
        <v>0</v>
      </c>
    </row>
    <row r="17" spans="1:30">
      <c r="A17" s="1572">
        <f t="shared" si="3"/>
        <v>9</v>
      </c>
      <c r="B17" s="469">
        <f>'Sched D-2'!B17</f>
        <v>378</v>
      </c>
      <c r="C17" s="1019">
        <f>IFERROR(VLOOKUP(B17,'Sched D-2'!B:E,4,FALSE),0)-C61</f>
        <v>1633652.1839994253</v>
      </c>
      <c r="D17" s="1582">
        <f>IFERROR(VLOOKUP(B17,'Sched J-1'!B:K,10,FALSE),0)</f>
        <v>2.7099999999999999E-2</v>
      </c>
      <c r="E17" s="790">
        <f t="shared" ref="E17:E18" si="15">D17*C17</f>
        <v>44271.974186384425</v>
      </c>
      <c r="F17" s="790">
        <f t="shared" ref="F17:F18" si="16">E17/2</f>
        <v>22135.987093192212</v>
      </c>
      <c r="G17" s="829" t="s">
        <v>654</v>
      </c>
      <c r="H17" s="829">
        <v>3.7499999999999999E-2</v>
      </c>
      <c r="I17" s="790">
        <f t="shared" ref="I17:I18" si="17">H17*C17</f>
        <v>61261.956899978446</v>
      </c>
      <c r="J17" s="790">
        <f t="shared" ref="J17" si="18">+E17-I17</f>
        <v>-16989.982713594021</v>
      </c>
      <c r="K17" s="842"/>
      <c r="L17" s="834">
        <f t="shared" si="7"/>
        <v>0.27169900000000002</v>
      </c>
      <c r="M17" s="842"/>
      <c r="N17" s="790">
        <f t="shared" ref="N17:N18" si="19">+J17*L17</f>
        <v>-4616.1613133007822</v>
      </c>
      <c r="O17" s="790">
        <f t="shared" si="14"/>
        <v>-4616.1613133007822</v>
      </c>
      <c r="Q17" s="75">
        <f t="shared" si="0"/>
        <v>12</v>
      </c>
      <c r="R17" s="960"/>
      <c r="S17" s="960"/>
      <c r="T17" s="1511">
        <f t="shared" si="13"/>
        <v>0</v>
      </c>
      <c r="U17" s="790"/>
      <c r="V17" s="75">
        <f t="shared" si="1"/>
        <v>12</v>
      </c>
      <c r="W17" s="960"/>
      <c r="X17" s="960"/>
      <c r="Y17" s="1511">
        <f t="shared" si="9"/>
        <v>0</v>
      </c>
      <c r="Z17" s="75"/>
      <c r="AA17" s="75">
        <f t="shared" si="2"/>
        <v>12</v>
      </c>
      <c r="AB17" s="960"/>
      <c r="AC17" s="960"/>
      <c r="AD17" s="1511">
        <f t="shared" si="10"/>
        <v>0</v>
      </c>
    </row>
    <row r="18" spans="1:30">
      <c r="A18" s="1572">
        <f t="shared" si="3"/>
        <v>10</v>
      </c>
      <c r="B18" s="469">
        <f>'Sched D-2'!B18</f>
        <v>379</v>
      </c>
      <c r="C18" s="1019">
        <f>IFERROR(VLOOKUP(B18,'Sched D-2'!B:E,4,FALSE),0)-C62</f>
        <v>434887.77240999986</v>
      </c>
      <c r="D18" s="1582">
        <f>IFERROR(VLOOKUP(B18,'Sched J-1'!B:K,10,FALSE),0)</f>
        <v>1.41E-2</v>
      </c>
      <c r="E18" s="790">
        <f t="shared" si="15"/>
        <v>6131.9175909809983</v>
      </c>
      <c r="F18" s="790">
        <f t="shared" si="16"/>
        <v>3065.9587954904991</v>
      </c>
      <c r="G18" s="829" t="s">
        <v>654</v>
      </c>
      <c r="H18" s="829">
        <v>3.7499999999999999E-2</v>
      </c>
      <c r="I18" s="790">
        <f t="shared" si="17"/>
        <v>16308.291465374994</v>
      </c>
      <c r="J18" s="790">
        <f>+E18-I18</f>
        <v>-10176.373874393996</v>
      </c>
      <c r="K18" s="842"/>
      <c r="L18" s="834">
        <f t="shared" si="7"/>
        <v>0.27169900000000002</v>
      </c>
      <c r="M18" s="842"/>
      <c r="N18" s="790">
        <f t="shared" si="19"/>
        <v>-2764.9106052989746</v>
      </c>
      <c r="O18" s="790">
        <f t="shared" si="14"/>
        <v>-2764.9106052989746</v>
      </c>
      <c r="Q18" s="75">
        <f t="shared" si="0"/>
        <v>13</v>
      </c>
      <c r="R18" s="960"/>
      <c r="S18" s="960"/>
      <c r="T18" s="1511">
        <f t="shared" si="13"/>
        <v>0</v>
      </c>
      <c r="U18" s="790"/>
      <c r="V18" s="75">
        <f t="shared" si="1"/>
        <v>13</v>
      </c>
      <c r="W18" s="960"/>
      <c r="X18" s="960"/>
      <c r="Y18" s="1511">
        <f t="shared" si="9"/>
        <v>0</v>
      </c>
      <c r="Z18" s="75"/>
      <c r="AA18" s="75">
        <f t="shared" si="2"/>
        <v>13</v>
      </c>
      <c r="AB18" s="960"/>
      <c r="AC18" s="960"/>
      <c r="AD18" s="1511">
        <f t="shared" si="10"/>
        <v>0</v>
      </c>
    </row>
    <row r="19" spans="1:30">
      <c r="A19" s="1572">
        <f t="shared" si="3"/>
        <v>11</v>
      </c>
      <c r="B19" s="469">
        <f>'Sched D-2'!B19</f>
        <v>380</v>
      </c>
      <c r="C19" s="1019">
        <f>IFERROR(VLOOKUP(B19,'Sched D-2'!B:E,4,FALSE),0)-C63</f>
        <v>18182007.558437116</v>
      </c>
      <c r="D19" s="1582">
        <f>IFERROR(VLOOKUP(B19,'Sched J-1'!B:K,10,FALSE),0)</f>
        <v>2.6800000000000001E-2</v>
      </c>
      <c r="E19" s="790">
        <f t="shared" si="4"/>
        <v>487277.80256611475</v>
      </c>
      <c r="F19" s="790">
        <f t="shared" si="5"/>
        <v>243638.90128305738</v>
      </c>
      <c r="G19" s="829" t="s">
        <v>654</v>
      </c>
      <c r="H19" s="829">
        <v>3.7499999999999999E-2</v>
      </c>
      <c r="I19" s="790">
        <f t="shared" si="6"/>
        <v>681825.28344139189</v>
      </c>
      <c r="J19" s="790">
        <f t="shared" si="11"/>
        <v>-194547.48087527714</v>
      </c>
      <c r="K19" s="842"/>
      <c r="L19" s="834">
        <f t="shared" si="7"/>
        <v>0.27169900000000002</v>
      </c>
      <c r="M19" s="842"/>
      <c r="N19" s="790">
        <f t="shared" si="12"/>
        <v>-52858.356006331924</v>
      </c>
      <c r="O19" s="790">
        <f t="shared" si="14"/>
        <v>-52858.356006331924</v>
      </c>
      <c r="Q19" s="75">
        <f t="shared" si="0"/>
        <v>14</v>
      </c>
      <c r="R19" s="960"/>
      <c r="S19" s="960"/>
      <c r="T19" s="1511">
        <f t="shared" si="13"/>
        <v>0</v>
      </c>
      <c r="U19" s="790"/>
      <c r="V19" s="75">
        <f t="shared" si="1"/>
        <v>14</v>
      </c>
      <c r="W19" s="960"/>
      <c r="X19" s="960"/>
      <c r="Y19" s="1511">
        <f t="shared" si="9"/>
        <v>0</v>
      </c>
      <c r="Z19" s="75"/>
      <c r="AA19" s="75">
        <f t="shared" si="2"/>
        <v>14</v>
      </c>
      <c r="AB19" s="960"/>
      <c r="AC19" s="960"/>
      <c r="AD19" s="1511">
        <f t="shared" si="10"/>
        <v>0</v>
      </c>
    </row>
    <row r="20" spans="1:30">
      <c r="A20" s="1572">
        <f t="shared" si="3"/>
        <v>12</v>
      </c>
      <c r="B20" s="469">
        <f>'Sched D-2'!B20</f>
        <v>381</v>
      </c>
      <c r="C20" s="1019">
        <f>IFERROR(VLOOKUP(B20,'Sched D-2'!B:E,4,FALSE),0)-C64</f>
        <v>4219113.6919329241</v>
      </c>
      <c r="D20" s="1582">
        <f>IFERROR(VLOOKUP(B20,'Sched J-1'!B:K,10,FALSE),0)</f>
        <v>4.7899999999999998E-2</v>
      </c>
      <c r="E20" s="790">
        <f t="shared" si="4"/>
        <v>202095.54584358705</v>
      </c>
      <c r="F20" s="790">
        <f t="shared" si="5"/>
        <v>101047.77292179353</v>
      </c>
      <c r="G20" s="829" t="s">
        <v>654</v>
      </c>
      <c r="H20" s="829">
        <v>3.7499999999999999E-2</v>
      </c>
      <c r="I20" s="790">
        <f t="shared" si="6"/>
        <v>158216.76344748464</v>
      </c>
      <c r="J20" s="790">
        <f t="shared" si="11"/>
        <v>43878.782396102411</v>
      </c>
      <c r="K20" s="842"/>
      <c r="L20" s="834">
        <f t="shared" si="7"/>
        <v>0.27169900000000002</v>
      </c>
      <c r="M20" s="842"/>
      <c r="N20" s="790">
        <f t="shared" si="12"/>
        <v>11921.82129823863</v>
      </c>
      <c r="O20" s="790">
        <f t="shared" si="14"/>
        <v>11921.82129823863</v>
      </c>
      <c r="Q20" s="75">
        <f t="shared" si="0"/>
        <v>15</v>
      </c>
      <c r="R20" s="960"/>
      <c r="S20" s="960"/>
      <c r="T20" s="1511">
        <f t="shared" si="13"/>
        <v>0</v>
      </c>
      <c r="U20" s="790"/>
      <c r="V20" s="75">
        <f t="shared" si="1"/>
        <v>15</v>
      </c>
      <c r="W20" s="960"/>
      <c r="X20" s="960"/>
      <c r="Y20" s="1511">
        <f t="shared" si="9"/>
        <v>0</v>
      </c>
      <c r="Z20" s="75"/>
      <c r="AA20" s="75">
        <f t="shared" si="2"/>
        <v>15</v>
      </c>
      <c r="AB20" s="960"/>
      <c r="AC20" s="960"/>
      <c r="AD20" s="1511">
        <f t="shared" si="10"/>
        <v>0</v>
      </c>
    </row>
    <row r="21" spans="1:30">
      <c r="A21" s="1572">
        <f t="shared" si="3"/>
        <v>13</v>
      </c>
      <c r="B21" s="469">
        <f>'Sched D-2'!B21</f>
        <v>382.01</v>
      </c>
      <c r="C21" s="1019">
        <f>IFERROR(VLOOKUP(B21,'Sched D-2'!B:E,4,FALSE),0)-C65</f>
        <v>1107713.88692</v>
      </c>
      <c r="D21" s="1582">
        <f>IFERROR(VLOOKUP(B21,'Sched J-1'!B:K,10,FALSE),0)</f>
        <v>2.6700000000000002E-2</v>
      </c>
      <c r="E21" s="790">
        <f t="shared" si="4"/>
        <v>29575.960780764002</v>
      </c>
      <c r="F21" s="790">
        <f t="shared" si="5"/>
        <v>14787.980390382001</v>
      </c>
      <c r="G21" s="829" t="s">
        <v>654</v>
      </c>
      <c r="H21" s="829">
        <v>3.7499999999999999E-2</v>
      </c>
      <c r="I21" s="790">
        <f t="shared" si="6"/>
        <v>41539.270759499996</v>
      </c>
      <c r="J21" s="790">
        <f t="shared" si="11"/>
        <v>-11963.309978735993</v>
      </c>
      <c r="K21" s="842"/>
      <c r="L21" s="834">
        <f t="shared" si="7"/>
        <v>0.27169900000000002</v>
      </c>
      <c r="M21" s="842"/>
      <c r="N21" s="790">
        <f t="shared" si="12"/>
        <v>-3250.4193579125908</v>
      </c>
      <c r="O21" s="790">
        <f t="shared" si="14"/>
        <v>-3250.4193579125908</v>
      </c>
      <c r="Q21" s="75">
        <f t="shared" si="0"/>
        <v>16</v>
      </c>
      <c r="R21" s="960"/>
      <c r="S21" s="960"/>
      <c r="T21" s="1511">
        <f t="shared" si="13"/>
        <v>0</v>
      </c>
      <c r="U21" s="790"/>
      <c r="V21" s="75">
        <f t="shared" si="1"/>
        <v>16</v>
      </c>
      <c r="W21" s="960"/>
      <c r="X21" s="960"/>
      <c r="Y21" s="1511">
        <f t="shared" si="9"/>
        <v>0</v>
      </c>
      <c r="Z21" s="75"/>
      <c r="AA21" s="75">
        <f t="shared" si="2"/>
        <v>16</v>
      </c>
      <c r="AB21" s="960"/>
      <c r="AC21" s="960"/>
      <c r="AD21" s="1511">
        <f t="shared" si="10"/>
        <v>0</v>
      </c>
    </row>
    <row r="22" spans="1:30">
      <c r="A22" s="1572">
        <f t="shared" si="3"/>
        <v>14</v>
      </c>
      <c r="B22" s="469">
        <f>'Sched D-2'!B22</f>
        <v>383.01</v>
      </c>
      <c r="C22" s="1019">
        <f>IFERROR(VLOOKUP(B22,'Sched D-2'!B:E,4,FALSE),0)-C66</f>
        <v>2910349.6442394247</v>
      </c>
      <c r="D22" s="1582">
        <f>IFERROR(VLOOKUP(B22,'Sched J-1'!B:K,10,FALSE),0)</f>
        <v>2.6800000000000001E-2</v>
      </c>
      <c r="E22" s="790">
        <f t="shared" si="4"/>
        <v>77997.370465616579</v>
      </c>
      <c r="F22" s="790">
        <f t="shared" si="5"/>
        <v>38998.68523280829</v>
      </c>
      <c r="G22" s="829" t="s">
        <v>654</v>
      </c>
      <c r="H22" s="829">
        <v>3.7499999999999999E-2</v>
      </c>
      <c r="I22" s="790">
        <f t="shared" si="6"/>
        <v>109138.11165897842</v>
      </c>
      <c r="J22" s="790">
        <f t="shared" si="11"/>
        <v>-31140.741193361842</v>
      </c>
      <c r="K22" s="842"/>
      <c r="L22" s="834">
        <f t="shared" si="7"/>
        <v>0.27169900000000002</v>
      </c>
      <c r="M22" s="842"/>
      <c r="N22" s="790">
        <f t="shared" si="12"/>
        <v>-8460.908241495219</v>
      </c>
      <c r="O22" s="790">
        <f t="shared" si="14"/>
        <v>-8460.908241495219</v>
      </c>
      <c r="Q22" s="75">
        <f t="shared" si="0"/>
        <v>17</v>
      </c>
      <c r="R22" s="960"/>
      <c r="S22" s="960"/>
      <c r="T22" s="1511">
        <f t="shared" si="13"/>
        <v>0</v>
      </c>
      <c r="U22" s="790"/>
      <c r="V22" s="75">
        <f t="shared" si="1"/>
        <v>17</v>
      </c>
      <c r="W22" s="960"/>
      <c r="X22" s="960"/>
      <c r="Y22" s="1511">
        <f t="shared" si="9"/>
        <v>0</v>
      </c>
      <c r="Z22" s="75"/>
      <c r="AA22" s="75">
        <f t="shared" si="2"/>
        <v>17</v>
      </c>
      <c r="AB22" s="960"/>
      <c r="AC22" s="960"/>
      <c r="AD22" s="1511">
        <f t="shared" si="10"/>
        <v>0</v>
      </c>
    </row>
    <row r="23" spans="1:30">
      <c r="A23" s="1572">
        <f t="shared" si="3"/>
        <v>15</v>
      </c>
      <c r="B23" s="469">
        <f>'Sched D-2'!B23</f>
        <v>383.71</v>
      </c>
      <c r="C23" s="1019">
        <f>IFERROR(VLOOKUP(B23,'Sched D-2'!B:E,4,FALSE),0)-C67</f>
        <v>13187.751999999979</v>
      </c>
      <c r="D23" s="1582">
        <f>IFERROR(VLOOKUP(B23,'Sched J-1'!B:K,10,FALSE),0)</f>
        <v>2.2100000000000002E-2</v>
      </c>
      <c r="E23" s="790">
        <f t="shared" si="4"/>
        <v>291.44931919999954</v>
      </c>
      <c r="F23" s="790">
        <f t="shared" si="5"/>
        <v>145.72465959999977</v>
      </c>
      <c r="G23" s="829" t="s">
        <v>654</v>
      </c>
      <c r="H23" s="829">
        <v>3.7499999999999999E-2</v>
      </c>
      <c r="I23" s="790">
        <f t="shared" si="6"/>
        <v>494.54069999999916</v>
      </c>
      <c r="J23" s="790">
        <f t="shared" si="11"/>
        <v>-203.09138079999963</v>
      </c>
      <c r="K23" s="842"/>
      <c r="L23" s="834">
        <f t="shared" si="7"/>
        <v>0.27169900000000002</v>
      </c>
      <c r="M23" s="842"/>
      <c r="N23" s="790">
        <f t="shared" si="12"/>
        <v>-55.179725071979107</v>
      </c>
      <c r="O23" s="790">
        <f t="shared" si="14"/>
        <v>-55.179725071979107</v>
      </c>
      <c r="Q23" s="75">
        <f t="shared" si="0"/>
        <v>18</v>
      </c>
      <c r="R23" s="960"/>
      <c r="S23" s="960"/>
      <c r="T23" s="1511">
        <f t="shared" si="13"/>
        <v>0</v>
      </c>
      <c r="U23" s="790"/>
      <c r="V23" s="75">
        <f t="shared" si="1"/>
        <v>18</v>
      </c>
      <c r="W23" s="960"/>
      <c r="X23" s="960"/>
      <c r="Y23" s="1511">
        <f t="shared" si="9"/>
        <v>0</v>
      </c>
      <c r="Z23" s="75"/>
      <c r="AA23" s="75">
        <f t="shared" si="2"/>
        <v>18</v>
      </c>
      <c r="AB23" s="960"/>
      <c r="AC23" s="960"/>
      <c r="AD23" s="1511">
        <f t="shared" si="10"/>
        <v>0</v>
      </c>
    </row>
    <row r="24" spans="1:30">
      <c r="A24" s="1572">
        <f t="shared" si="3"/>
        <v>16</v>
      </c>
      <c r="B24" s="469">
        <f>'Sched D-2'!B24</f>
        <v>384.01</v>
      </c>
      <c r="C24" s="1019">
        <f>IFERROR(VLOOKUP(B24,'Sched D-2'!B:E,4,FALSE),0)-C68</f>
        <v>3296.9379999999946</v>
      </c>
      <c r="D24" s="1582">
        <f>IFERROR(VLOOKUP(B24,'Sched J-1'!B:K,10,FALSE),0)</f>
        <v>1.21E-2</v>
      </c>
      <c r="E24" s="790">
        <f t="shared" si="4"/>
        <v>39.892949799999933</v>
      </c>
      <c r="F24" s="790">
        <f t="shared" si="5"/>
        <v>19.946474899999966</v>
      </c>
      <c r="G24" s="829" t="s">
        <v>654</v>
      </c>
      <c r="H24" s="829">
        <v>3.7499999999999999E-2</v>
      </c>
      <c r="I24" s="790">
        <f t="shared" si="6"/>
        <v>123.63517499999979</v>
      </c>
      <c r="J24" s="790">
        <f t="shared" si="11"/>
        <v>-83.742225199999865</v>
      </c>
      <c r="K24" s="842"/>
      <c r="L24" s="834">
        <f t="shared" si="7"/>
        <v>0.27169900000000002</v>
      </c>
      <c r="M24" s="842"/>
      <c r="N24" s="790">
        <f t="shared" si="12"/>
        <v>-22.752678844614767</v>
      </c>
      <c r="O24" s="790">
        <f t="shared" si="14"/>
        <v>-22.752678844614767</v>
      </c>
      <c r="Q24" s="75">
        <f t="shared" si="0"/>
        <v>19</v>
      </c>
      <c r="R24" s="960"/>
      <c r="S24" s="960"/>
      <c r="T24" s="1511">
        <f t="shared" si="13"/>
        <v>0</v>
      </c>
      <c r="U24" s="790"/>
      <c r="V24" s="75">
        <f t="shared" si="1"/>
        <v>19</v>
      </c>
      <c r="W24" s="960"/>
      <c r="X24" s="960"/>
      <c r="Y24" s="1511">
        <f t="shared" si="9"/>
        <v>0</v>
      </c>
      <c r="Z24" s="75"/>
      <c r="AA24" s="75">
        <f t="shared" si="2"/>
        <v>19</v>
      </c>
      <c r="AB24" s="960"/>
      <c r="AC24" s="960"/>
      <c r="AD24" s="1511">
        <f t="shared" si="10"/>
        <v>0</v>
      </c>
    </row>
    <row r="25" spans="1:30">
      <c r="A25" s="1572">
        <f t="shared" si="3"/>
        <v>17</v>
      </c>
      <c r="B25" s="469">
        <f>'Sched D-2'!B25</f>
        <v>385</v>
      </c>
      <c r="C25" s="1019">
        <f>IFERROR(VLOOKUP(B25,'Sched D-2'!B:E,4,FALSE),0)-C69</f>
        <v>3074055.5082894238</v>
      </c>
      <c r="D25" s="1582">
        <f>IFERROR(VLOOKUP(B25,'Sched J-1'!B:K,10,FALSE),0)</f>
        <v>2.58E-2</v>
      </c>
      <c r="E25" s="790">
        <f t="shared" si="4"/>
        <v>79310.632113867134</v>
      </c>
      <c r="F25" s="790">
        <f t="shared" si="5"/>
        <v>39655.316056933567</v>
      </c>
      <c r="G25" s="829" t="s">
        <v>654</v>
      </c>
      <c r="H25" s="829">
        <v>3.7499999999999999E-2</v>
      </c>
      <c r="I25" s="790">
        <f t="shared" si="6"/>
        <v>115277.08156085339</v>
      </c>
      <c r="J25" s="790">
        <f t="shared" si="11"/>
        <v>-35966.449446986255</v>
      </c>
      <c r="K25" s="842"/>
      <c r="L25" s="834">
        <f t="shared" si="7"/>
        <v>0.27169900000000002</v>
      </c>
      <c r="M25" s="842"/>
      <c r="N25" s="790">
        <f t="shared" si="12"/>
        <v>-9772.0483482967193</v>
      </c>
      <c r="O25" s="790">
        <f t="shared" si="14"/>
        <v>-9772.0483482967193</v>
      </c>
      <c r="P25" s="82"/>
      <c r="Q25" s="75">
        <f t="shared" si="0"/>
        <v>20</v>
      </c>
      <c r="R25" s="1583"/>
      <c r="S25" s="1583"/>
      <c r="T25" s="1511">
        <f t="shared" si="13"/>
        <v>0</v>
      </c>
      <c r="U25" s="790"/>
      <c r="V25" s="75">
        <f t="shared" si="1"/>
        <v>20</v>
      </c>
      <c r="W25" s="960"/>
      <c r="X25" s="960"/>
      <c r="Y25" s="1511">
        <f t="shared" si="9"/>
        <v>0</v>
      </c>
      <c r="Z25" s="75"/>
      <c r="AA25" s="75">
        <f t="shared" si="2"/>
        <v>20</v>
      </c>
      <c r="AB25" s="960"/>
      <c r="AC25" s="960"/>
      <c r="AD25" s="1511">
        <f t="shared" si="10"/>
        <v>0</v>
      </c>
    </row>
    <row r="26" spans="1:30">
      <c r="A26" s="1572">
        <f t="shared" si="3"/>
        <v>18</v>
      </c>
      <c r="B26" s="469">
        <f>'Sched D-2'!B26</f>
        <v>386</v>
      </c>
      <c r="C26" s="1019">
        <f>IFERROR(VLOOKUP(B26,'Sched D-2'!B:E,4,FALSE),0)-C70</f>
        <v>0</v>
      </c>
      <c r="D26" s="1582">
        <f>IFERROR(VLOOKUP(B26,'Sched J-1'!B:K,10,FALSE),0)</f>
        <v>1.04E-2</v>
      </c>
      <c r="E26" s="790">
        <f t="shared" si="4"/>
        <v>0</v>
      </c>
      <c r="F26" s="790">
        <f t="shared" si="5"/>
        <v>0</v>
      </c>
      <c r="G26" s="829" t="s">
        <v>654</v>
      </c>
      <c r="H26" s="829">
        <v>3.7499999999999999E-2</v>
      </c>
      <c r="I26" s="790">
        <f t="shared" si="6"/>
        <v>0</v>
      </c>
      <c r="J26" s="790">
        <f t="shared" si="11"/>
        <v>0</v>
      </c>
      <c r="K26" s="842"/>
      <c r="L26" s="834">
        <f t="shared" si="7"/>
        <v>0.27169900000000002</v>
      </c>
      <c r="M26" s="842"/>
      <c r="N26" s="790">
        <f t="shared" si="12"/>
        <v>0</v>
      </c>
      <c r="O26" s="790">
        <f t="shared" si="14"/>
        <v>0</v>
      </c>
      <c r="P26" s="82"/>
      <c r="Q26" s="75">
        <f t="shared" si="0"/>
        <v>21</v>
      </c>
      <c r="R26" s="1583"/>
      <c r="S26" s="1583"/>
      <c r="T26" s="1511">
        <f t="shared" si="13"/>
        <v>0</v>
      </c>
      <c r="U26" s="790"/>
      <c r="V26" s="75">
        <f t="shared" si="1"/>
        <v>21</v>
      </c>
      <c r="W26" s="960"/>
      <c r="X26" s="960"/>
      <c r="Y26" s="1511">
        <f t="shared" si="9"/>
        <v>0</v>
      </c>
      <c r="Z26" s="75"/>
      <c r="AA26" s="75">
        <f t="shared" si="2"/>
        <v>21</v>
      </c>
      <c r="AB26" s="960"/>
      <c r="AC26" s="960"/>
      <c r="AD26" s="1511">
        <f t="shared" si="10"/>
        <v>0</v>
      </c>
    </row>
    <row r="27" spans="1:30" s="82" customFormat="1">
      <c r="A27" s="1572">
        <f t="shared" si="3"/>
        <v>19</v>
      </c>
      <c r="B27" s="469">
        <f>'Sched D-2'!B27</f>
        <v>387</v>
      </c>
      <c r="C27" s="1019">
        <f>IFERROR(VLOOKUP(B27,'Sched D-2'!B:E,4,FALSE),0)-C71</f>
        <v>0</v>
      </c>
      <c r="D27" s="1582">
        <f>IFERROR(VLOOKUP(B27,'Sched J-1'!B:K,10,FALSE),0)</f>
        <v>2.06E-2</v>
      </c>
      <c r="E27" s="790">
        <f t="shared" si="4"/>
        <v>0</v>
      </c>
      <c r="F27" s="790">
        <f t="shared" si="5"/>
        <v>0</v>
      </c>
      <c r="G27" s="829" t="s">
        <v>654</v>
      </c>
      <c r="H27" s="829">
        <v>3.7499999999999999E-2</v>
      </c>
      <c r="I27" s="790">
        <f t="shared" si="6"/>
        <v>0</v>
      </c>
      <c r="J27" s="790">
        <f t="shared" si="11"/>
        <v>0</v>
      </c>
      <c r="K27" s="842"/>
      <c r="L27" s="834">
        <f t="shared" si="7"/>
        <v>0.27169900000000002</v>
      </c>
      <c r="M27" s="842"/>
      <c r="N27" s="790">
        <f t="shared" si="12"/>
        <v>0</v>
      </c>
      <c r="O27" s="790">
        <f t="shared" si="14"/>
        <v>0</v>
      </c>
      <c r="Q27" s="82">
        <f t="shared" si="0"/>
        <v>22</v>
      </c>
      <c r="R27" s="1583"/>
      <c r="S27" s="1583"/>
      <c r="T27" s="1511">
        <f t="shared" si="13"/>
        <v>0</v>
      </c>
      <c r="U27" s="790"/>
      <c r="V27" s="82">
        <f t="shared" si="1"/>
        <v>22</v>
      </c>
      <c r="W27" s="960"/>
      <c r="X27" s="960"/>
      <c r="Y27" s="1511">
        <f t="shared" si="9"/>
        <v>0</v>
      </c>
      <c r="AA27" s="82">
        <f t="shared" si="2"/>
        <v>22</v>
      </c>
      <c r="AB27" s="960"/>
      <c r="AC27" s="960"/>
      <c r="AD27" s="1511">
        <f t="shared" si="10"/>
        <v>0</v>
      </c>
    </row>
    <row r="28" spans="1:30">
      <c r="A28" s="1572">
        <f t="shared" si="3"/>
        <v>20</v>
      </c>
      <c r="B28" s="469">
        <f>'Sched D-2'!B31</f>
        <v>389.01</v>
      </c>
      <c r="C28" s="1019">
        <f>IFERROR(VLOOKUP(B28,'Sched D-2'!B:E,4,FALSE),0)</f>
        <v>899713.44209999975</v>
      </c>
      <c r="D28" s="1582">
        <f>IFERROR(VLOOKUP(B28,'Sched J-1'!B:K,10,FALSE),0)</f>
        <v>0</v>
      </c>
      <c r="E28" s="790">
        <f t="shared" ref="E28:E30" si="20">D28*C28</f>
        <v>0</v>
      </c>
      <c r="F28" s="790">
        <f t="shared" ref="F28:F30" si="21">E28/2</f>
        <v>0</v>
      </c>
      <c r="G28" s="829" t="s">
        <v>1469</v>
      </c>
      <c r="H28" s="829">
        <v>0</v>
      </c>
      <c r="I28" s="790">
        <f t="shared" ref="I28:I30" si="22">H28*C28</f>
        <v>0</v>
      </c>
      <c r="J28" s="790">
        <f t="shared" ref="J28:J30" si="23">+E28-I28</f>
        <v>0</v>
      </c>
      <c r="L28" s="834">
        <f t="shared" si="7"/>
        <v>0.27169900000000002</v>
      </c>
      <c r="N28" s="790">
        <f t="shared" ref="N28:N30" si="24">+J28*L28</f>
        <v>0</v>
      </c>
      <c r="O28" s="790">
        <f t="shared" si="14"/>
        <v>0</v>
      </c>
      <c r="P28" s="82"/>
      <c r="Q28" s="82">
        <f t="shared" si="0"/>
        <v>23</v>
      </c>
      <c r="R28" s="1583"/>
      <c r="S28" s="1583"/>
      <c r="T28" s="1511">
        <f t="shared" si="13"/>
        <v>0</v>
      </c>
      <c r="U28" s="790"/>
      <c r="V28" s="82">
        <f t="shared" si="1"/>
        <v>23</v>
      </c>
      <c r="W28" s="960"/>
      <c r="X28" s="960"/>
      <c r="Y28" s="1511">
        <f t="shared" si="9"/>
        <v>0</v>
      </c>
      <c r="Z28" s="75"/>
      <c r="AA28" s="82">
        <f t="shared" si="2"/>
        <v>23</v>
      </c>
      <c r="AB28" s="960"/>
      <c r="AC28" s="960"/>
      <c r="AD28" s="1511">
        <f t="shared" si="10"/>
        <v>0</v>
      </c>
    </row>
    <row r="29" spans="1:30">
      <c r="A29" s="1572">
        <f t="shared" si="3"/>
        <v>21</v>
      </c>
      <c r="B29" s="469">
        <f>'Sched D-2'!B32</f>
        <v>389.02</v>
      </c>
      <c r="C29" s="1019">
        <f>IFERROR(VLOOKUP(B29,'Sched D-2'!B:E,4,FALSE),0)</f>
        <v>245376.39329999997</v>
      </c>
      <c r="D29" s="1582">
        <f>IFERROR(VLOOKUP(B29,'Sched J-1'!B:K,10,FALSE),0)</f>
        <v>0</v>
      </c>
      <c r="E29" s="790">
        <f t="shared" si="20"/>
        <v>0</v>
      </c>
      <c r="F29" s="790">
        <f t="shared" si="21"/>
        <v>0</v>
      </c>
      <c r="G29" s="829" t="s">
        <v>654</v>
      </c>
      <c r="H29" s="829">
        <v>3.7499999999999999E-2</v>
      </c>
      <c r="I29" s="790">
        <f t="shared" si="22"/>
        <v>9201.6147487499984</v>
      </c>
      <c r="J29" s="790">
        <f t="shared" si="23"/>
        <v>-9201.6147487499984</v>
      </c>
      <c r="L29" s="834">
        <f t="shared" si="7"/>
        <v>0.27169900000000002</v>
      </c>
      <c r="N29" s="790">
        <f t="shared" si="24"/>
        <v>-2500.0695256206259</v>
      </c>
      <c r="O29" s="790">
        <f t="shared" si="14"/>
        <v>-2500.0695256206259</v>
      </c>
      <c r="P29" s="82"/>
      <c r="Q29" s="82">
        <f t="shared" si="0"/>
        <v>24</v>
      </c>
      <c r="R29" s="1583"/>
      <c r="S29" s="1583"/>
      <c r="T29" s="1511">
        <f t="shared" si="13"/>
        <v>0</v>
      </c>
      <c r="U29" s="790"/>
      <c r="V29" s="75">
        <f t="shared" si="1"/>
        <v>24</v>
      </c>
      <c r="W29" s="960"/>
      <c r="X29" s="960"/>
      <c r="Y29" s="1511">
        <f t="shared" si="9"/>
        <v>0</v>
      </c>
      <c r="Z29" s="75"/>
      <c r="AA29" s="82">
        <f t="shared" si="2"/>
        <v>24</v>
      </c>
      <c r="AB29" s="960"/>
      <c r="AC29" s="960"/>
      <c r="AD29" s="1511">
        <f t="shared" si="10"/>
        <v>0</v>
      </c>
    </row>
    <row r="30" spans="1:30">
      <c r="A30" s="1572">
        <f t="shared" si="3"/>
        <v>22</v>
      </c>
      <c r="B30" s="469">
        <f>'Sched D-2'!B33</f>
        <v>390.01</v>
      </c>
      <c r="C30" s="1019">
        <f>IFERROR(VLOOKUP(B30,'Sched D-2'!B:E,4,FALSE),0)</f>
        <v>6870539.0123999985</v>
      </c>
      <c r="D30" s="1582">
        <f>IFERROR(VLOOKUP(B30,'Sched J-1'!B:K,10,FALSE),0)</f>
        <v>2.98E-2</v>
      </c>
      <c r="E30" s="790">
        <f t="shared" si="20"/>
        <v>204742.06256951994</v>
      </c>
      <c r="F30" s="790">
        <f t="shared" si="21"/>
        <v>102371.03128475997</v>
      </c>
      <c r="G30" s="1600" t="s">
        <v>1470</v>
      </c>
      <c r="H30" s="829">
        <v>1.391E-2</v>
      </c>
      <c r="I30" s="790">
        <f t="shared" si="22"/>
        <v>95569.197662483988</v>
      </c>
      <c r="J30" s="790">
        <f t="shared" si="23"/>
        <v>109172.86490703595</v>
      </c>
      <c r="L30" s="834">
        <f t="shared" si="7"/>
        <v>0.27169900000000002</v>
      </c>
      <c r="N30" s="790">
        <f t="shared" si="24"/>
        <v>29662.158222376765</v>
      </c>
      <c r="O30" s="790">
        <f t="shared" si="14"/>
        <v>29662.158222376765</v>
      </c>
      <c r="P30" s="82"/>
      <c r="Q30" s="82">
        <f t="shared" si="0"/>
        <v>25</v>
      </c>
      <c r="R30" s="960"/>
      <c r="S30" s="960"/>
      <c r="T30" s="1511">
        <f t="shared" si="13"/>
        <v>0</v>
      </c>
      <c r="U30" s="790"/>
      <c r="V30" s="75">
        <f t="shared" si="1"/>
        <v>25</v>
      </c>
      <c r="W30" s="960"/>
      <c r="X30" s="960"/>
      <c r="Y30" s="1511">
        <f t="shared" si="9"/>
        <v>0</v>
      </c>
      <c r="Z30" s="75"/>
      <c r="AA30" s="82">
        <f t="shared" si="2"/>
        <v>25</v>
      </c>
      <c r="AB30" s="960"/>
      <c r="AC30" s="960"/>
      <c r="AD30" s="1511">
        <f t="shared" si="10"/>
        <v>0</v>
      </c>
    </row>
    <row r="31" spans="1:30">
      <c r="A31" s="1572">
        <f t="shared" si="3"/>
        <v>23</v>
      </c>
      <c r="B31" s="469">
        <f>'Sched D-2'!B34</f>
        <v>390.51</v>
      </c>
      <c r="C31" s="1019">
        <f>IFERROR(VLOOKUP(B31,'Sched D-2'!B:E,4,FALSE),0)</f>
        <v>0</v>
      </c>
      <c r="D31" s="1582">
        <f>IFERROR(VLOOKUP(B31,'Sched J-1'!B:K,10,FALSE),0)</f>
        <v>9.2799999999999994E-2</v>
      </c>
      <c r="E31" s="790">
        <f t="shared" si="4"/>
        <v>0</v>
      </c>
      <c r="F31" s="790">
        <f t="shared" si="5"/>
        <v>0</v>
      </c>
      <c r="G31" s="1600" t="s">
        <v>1470</v>
      </c>
      <c r="H31" s="829">
        <v>1.391E-2</v>
      </c>
      <c r="I31" s="790">
        <f t="shared" si="6"/>
        <v>0</v>
      </c>
      <c r="J31" s="790">
        <f t="shared" si="11"/>
        <v>0</v>
      </c>
      <c r="L31" s="834">
        <f t="shared" si="7"/>
        <v>0.27169900000000002</v>
      </c>
      <c r="N31" s="790">
        <f t="shared" si="12"/>
        <v>0</v>
      </c>
      <c r="O31" s="790">
        <f t="shared" si="14"/>
        <v>0</v>
      </c>
      <c r="P31" s="82"/>
      <c r="Q31" s="82">
        <f t="shared" si="0"/>
        <v>26</v>
      </c>
      <c r="R31" s="960"/>
      <c r="S31" s="960"/>
      <c r="T31" s="1511">
        <f t="shared" si="13"/>
        <v>0</v>
      </c>
      <c r="U31" s="790"/>
      <c r="V31" s="75">
        <f t="shared" si="1"/>
        <v>26</v>
      </c>
      <c r="W31" s="960"/>
      <c r="X31" s="960"/>
      <c r="Y31" s="1511">
        <f t="shared" si="9"/>
        <v>0</v>
      </c>
      <c r="Z31" s="75"/>
      <c r="AA31" s="82">
        <f t="shared" si="2"/>
        <v>26</v>
      </c>
      <c r="AB31" s="960"/>
      <c r="AC31" s="960"/>
      <c r="AD31" s="1511">
        <f t="shared" si="10"/>
        <v>0</v>
      </c>
    </row>
    <row r="32" spans="1:30" s="82" customFormat="1">
      <c r="A32" s="1572">
        <f t="shared" si="3"/>
        <v>24</v>
      </c>
      <c r="B32" s="469">
        <f>'Sched D-2'!B35</f>
        <v>391.01</v>
      </c>
      <c r="C32" s="1019">
        <f>IFERROR(VLOOKUP(B32,'Sched D-2'!B:E,4,FALSE),0)</f>
        <v>81792.131099999984</v>
      </c>
      <c r="D32" s="1582">
        <f>IFERROR(VLOOKUP(B32,'Sched J-1'!B:K,10,FALSE),0)</f>
        <v>4.9799999999999997E-2</v>
      </c>
      <c r="E32" s="790">
        <f t="shared" si="4"/>
        <v>4073.2481287799988</v>
      </c>
      <c r="F32" s="790">
        <f t="shared" si="5"/>
        <v>2036.6240643899994</v>
      </c>
      <c r="G32" s="829" t="s">
        <v>682</v>
      </c>
      <c r="H32" s="829">
        <v>0.14285714285714285</v>
      </c>
      <c r="I32" s="790">
        <f t="shared" si="6"/>
        <v>11684.590157142855</v>
      </c>
      <c r="J32" s="790">
        <f t="shared" si="11"/>
        <v>-7611.3420283628566</v>
      </c>
      <c r="L32" s="834">
        <f t="shared" si="7"/>
        <v>0.27169900000000002</v>
      </c>
      <c r="N32" s="790">
        <f t="shared" si="12"/>
        <v>-2067.9940177641602</v>
      </c>
      <c r="O32" s="790">
        <f t="shared" si="14"/>
        <v>-2067.9940177641602</v>
      </c>
      <c r="Q32" s="82">
        <f t="shared" si="0"/>
        <v>27</v>
      </c>
      <c r="R32" s="960"/>
      <c r="S32" s="960"/>
      <c r="T32" s="1511">
        <f t="shared" si="13"/>
        <v>0</v>
      </c>
      <c r="U32" s="790"/>
      <c r="V32" s="82">
        <f t="shared" si="1"/>
        <v>27</v>
      </c>
      <c r="W32" s="960"/>
      <c r="X32" s="960"/>
      <c r="Y32" s="1511">
        <f t="shared" si="9"/>
        <v>0</v>
      </c>
      <c r="AA32" s="82">
        <f t="shared" si="2"/>
        <v>27</v>
      </c>
      <c r="AB32" s="960"/>
      <c r="AC32" s="960"/>
      <c r="AD32" s="1511">
        <f t="shared" si="10"/>
        <v>0</v>
      </c>
    </row>
    <row r="33" spans="1:30">
      <c r="A33" s="1572">
        <f t="shared" si="3"/>
        <v>25</v>
      </c>
      <c r="B33" s="469">
        <f>'Sched D-2'!B36</f>
        <v>391.02</v>
      </c>
      <c r="C33" s="1019">
        <f>IFERROR(VLOOKUP(B33,'Sched D-2'!B:E,4,FALSE),0)</f>
        <v>0</v>
      </c>
      <c r="D33" s="1582">
        <f>IFERROR(VLOOKUP(B33,'Sched J-1'!B:K,10,FALSE),0)</f>
        <v>0</v>
      </c>
      <c r="E33" s="790">
        <f t="shared" si="4"/>
        <v>0</v>
      </c>
      <c r="F33" s="790">
        <f t="shared" si="5"/>
        <v>0</v>
      </c>
      <c r="G33" s="829" t="s">
        <v>682</v>
      </c>
      <c r="H33" s="829">
        <v>0.14285714285714285</v>
      </c>
      <c r="I33" s="790">
        <f t="shared" si="6"/>
        <v>0</v>
      </c>
      <c r="J33" s="790">
        <f t="shared" si="11"/>
        <v>0</v>
      </c>
      <c r="L33" s="834">
        <f t="shared" si="7"/>
        <v>0.27169900000000002</v>
      </c>
      <c r="N33" s="790">
        <f t="shared" si="12"/>
        <v>0</v>
      </c>
      <c r="O33" s="790">
        <f t="shared" si="14"/>
        <v>0</v>
      </c>
      <c r="P33" s="82"/>
      <c r="Q33" s="82">
        <f t="shared" si="0"/>
        <v>28</v>
      </c>
      <c r="R33" s="960"/>
      <c r="S33" s="960"/>
      <c r="T33" s="1511">
        <f t="shared" si="13"/>
        <v>0</v>
      </c>
      <c r="U33" s="790"/>
      <c r="V33" s="75">
        <f t="shared" si="1"/>
        <v>28</v>
      </c>
      <c r="W33" s="960"/>
      <c r="X33" s="960"/>
      <c r="Y33" s="1511">
        <f t="shared" si="9"/>
        <v>0</v>
      </c>
      <c r="Z33" s="75"/>
      <c r="AA33" s="82">
        <f t="shared" si="2"/>
        <v>28</v>
      </c>
      <c r="AB33" s="960"/>
      <c r="AC33" s="960"/>
      <c r="AD33" s="1511">
        <f t="shared" si="10"/>
        <v>0</v>
      </c>
    </row>
    <row r="34" spans="1:30">
      <c r="A34" s="1572">
        <f t="shared" si="3"/>
        <v>26</v>
      </c>
      <c r="B34" s="469">
        <f>'Sched D-2'!B37</f>
        <v>391.03</v>
      </c>
      <c r="C34" s="1019">
        <f>IFERROR(VLOOKUP(B34,'Sched D-2'!B:E,4,FALSE),0)</f>
        <v>81792.131099999984</v>
      </c>
      <c r="D34" s="1582">
        <f>IFERROR(VLOOKUP(B34,'Sched J-1'!B:K,10,FALSE),0)</f>
        <v>0.19769999999999999</v>
      </c>
      <c r="E34" s="790">
        <f t="shared" si="4"/>
        <v>16170.304318469996</v>
      </c>
      <c r="F34" s="790">
        <f t="shared" si="5"/>
        <v>8085.1521592349982</v>
      </c>
      <c r="G34" s="829" t="s">
        <v>655</v>
      </c>
      <c r="H34" s="829">
        <v>0.2</v>
      </c>
      <c r="I34" s="790">
        <f t="shared" si="6"/>
        <v>16358.426219999998</v>
      </c>
      <c r="J34" s="790">
        <f t="shared" si="11"/>
        <v>-188.1219015300012</v>
      </c>
      <c r="L34" s="834">
        <f t="shared" si="7"/>
        <v>0.27169900000000002</v>
      </c>
      <c r="N34" s="790">
        <f t="shared" si="12"/>
        <v>-51.1125325237998</v>
      </c>
      <c r="O34" s="790">
        <f t="shared" si="14"/>
        <v>-51.1125325237998</v>
      </c>
      <c r="P34" s="82"/>
      <c r="Q34" s="82">
        <f t="shared" si="0"/>
        <v>29</v>
      </c>
      <c r="R34" s="960"/>
      <c r="S34" s="960"/>
      <c r="T34" s="1511">
        <f t="shared" si="13"/>
        <v>0</v>
      </c>
      <c r="U34" s="790"/>
      <c r="V34" s="75">
        <f t="shared" si="1"/>
        <v>29</v>
      </c>
      <c r="W34" s="960"/>
      <c r="X34" s="960"/>
      <c r="Y34" s="1511">
        <f t="shared" si="9"/>
        <v>0</v>
      </c>
      <c r="Z34" s="75"/>
      <c r="AA34" s="82">
        <f t="shared" si="2"/>
        <v>29</v>
      </c>
      <c r="AB34" s="960"/>
      <c r="AC34" s="960"/>
      <c r="AD34" s="1511">
        <f t="shared" si="10"/>
        <v>0</v>
      </c>
    </row>
    <row r="35" spans="1:30">
      <c r="A35" s="1572">
        <f t="shared" si="3"/>
        <v>27</v>
      </c>
      <c r="B35" s="469">
        <f>'Sched D-2'!B38</f>
        <v>391.04</v>
      </c>
      <c r="C35" s="1019">
        <f>IFERROR(VLOOKUP(B35,'Sched D-2'!B:E,4,FALSE),0)</f>
        <v>553480.82000000007</v>
      </c>
      <c r="D35" s="1582">
        <f>IFERROR(VLOOKUP(B35,'Sched J-1'!B:K,10,FALSE),0)</f>
        <v>1.8E-3</v>
      </c>
      <c r="E35" s="790">
        <f t="shared" si="4"/>
        <v>996.26547600000004</v>
      </c>
      <c r="F35" s="790">
        <f t="shared" si="5"/>
        <v>498.13273800000002</v>
      </c>
      <c r="G35" s="1600" t="s">
        <v>1471</v>
      </c>
      <c r="H35" s="829">
        <f>1/3/2</f>
        <v>0.16666666666666666</v>
      </c>
      <c r="I35" s="790">
        <f t="shared" si="6"/>
        <v>92246.803333333344</v>
      </c>
      <c r="J35" s="790">
        <f t="shared" si="11"/>
        <v>-91250.537857333344</v>
      </c>
      <c r="L35" s="834">
        <f t="shared" si="7"/>
        <v>0.27169900000000002</v>
      </c>
      <c r="N35" s="790">
        <f t="shared" si="12"/>
        <v>-24792.679885299614</v>
      </c>
      <c r="O35" s="790">
        <f t="shared" si="14"/>
        <v>-24792.679885299614</v>
      </c>
      <c r="P35" s="82"/>
      <c r="Q35" s="82">
        <f t="shared" si="0"/>
        <v>30</v>
      </c>
      <c r="R35" s="960"/>
      <c r="S35" s="960"/>
      <c r="T35" s="1511">
        <f t="shared" si="13"/>
        <v>0</v>
      </c>
      <c r="U35" s="790"/>
      <c r="V35" s="75">
        <f t="shared" si="1"/>
        <v>30</v>
      </c>
      <c r="W35" s="960"/>
      <c r="X35" s="960"/>
      <c r="Y35" s="1511">
        <f t="shared" si="9"/>
        <v>0</v>
      </c>
      <c r="Z35" s="75"/>
      <c r="AA35" s="82">
        <f t="shared" si="2"/>
        <v>30</v>
      </c>
      <c r="AB35" s="960"/>
      <c r="AC35" s="960"/>
      <c r="AD35" s="1511">
        <f t="shared" si="10"/>
        <v>0</v>
      </c>
    </row>
    <row r="36" spans="1:30">
      <c r="A36" s="1572">
        <f t="shared" si="3"/>
        <v>28</v>
      </c>
      <c r="B36" s="469">
        <f>'Sched D-2'!B39</f>
        <v>391.05</v>
      </c>
      <c r="C36" s="1019">
        <f>IFERROR(VLOOKUP(B36,'Sched D-2'!B:E,4,FALSE),0)</f>
        <v>0</v>
      </c>
      <c r="D36" s="1582">
        <f>IFERROR(VLOOKUP(B36,'Sched J-1'!B:K,10,FALSE),0)</f>
        <v>0</v>
      </c>
      <c r="E36" s="790">
        <f t="shared" si="4"/>
        <v>0</v>
      </c>
      <c r="F36" s="790">
        <f t="shared" si="5"/>
        <v>0</v>
      </c>
      <c r="G36" s="829" t="s">
        <v>682</v>
      </c>
      <c r="H36" s="829">
        <v>0.14285714285714285</v>
      </c>
      <c r="I36" s="790">
        <f t="shared" si="6"/>
        <v>0</v>
      </c>
      <c r="J36" s="790">
        <f t="shared" si="11"/>
        <v>0</v>
      </c>
      <c r="L36" s="834">
        <f t="shared" si="7"/>
        <v>0.27169900000000002</v>
      </c>
      <c r="N36" s="790">
        <f t="shared" si="12"/>
        <v>0</v>
      </c>
      <c r="O36" s="790">
        <f t="shared" si="14"/>
        <v>0</v>
      </c>
      <c r="Q36" s="82">
        <f t="shared" si="0"/>
        <v>31</v>
      </c>
      <c r="R36" s="960"/>
      <c r="S36" s="960"/>
      <c r="T36" s="1511">
        <f t="shared" si="13"/>
        <v>0</v>
      </c>
      <c r="U36" s="790"/>
      <c r="V36" s="75">
        <f t="shared" si="1"/>
        <v>31</v>
      </c>
      <c r="W36" s="960"/>
      <c r="X36" s="960"/>
      <c r="Y36" s="1511">
        <f t="shared" si="9"/>
        <v>0</v>
      </c>
      <c r="Z36" s="75"/>
      <c r="AA36" s="82">
        <f t="shared" si="2"/>
        <v>31</v>
      </c>
      <c r="AB36" s="960"/>
      <c r="AC36" s="960"/>
      <c r="AD36" s="1511">
        <f t="shared" si="10"/>
        <v>0</v>
      </c>
    </row>
    <row r="37" spans="1:30">
      <c r="A37" s="1572">
        <f t="shared" si="3"/>
        <v>29</v>
      </c>
      <c r="B37" s="469">
        <f>'Sched D-2'!B40</f>
        <v>391.07</v>
      </c>
      <c r="C37" s="1019">
        <f>IFERROR(VLOOKUP(B37,'Sched D-2'!B:E,4,FALSE),0)</f>
        <v>0</v>
      </c>
      <c r="D37" s="1582">
        <f>IFERROR(VLOOKUP(B37,'Sched J-1'!B:K,10,FALSE),0)</f>
        <v>0.2</v>
      </c>
      <c r="E37" s="790">
        <f t="shared" si="4"/>
        <v>0</v>
      </c>
      <c r="F37" s="790">
        <f t="shared" si="5"/>
        <v>0</v>
      </c>
      <c r="G37" s="829" t="s">
        <v>682</v>
      </c>
      <c r="H37" s="829">
        <v>0.14285714285714285</v>
      </c>
      <c r="I37" s="790">
        <f t="shared" si="6"/>
        <v>0</v>
      </c>
      <c r="J37" s="790">
        <f t="shared" si="11"/>
        <v>0</v>
      </c>
      <c r="L37" s="834">
        <f t="shared" si="7"/>
        <v>0.27169900000000002</v>
      </c>
      <c r="N37" s="790">
        <f t="shared" ref="N37:N38" si="25">+J37*L37</f>
        <v>0</v>
      </c>
      <c r="O37" s="790">
        <f t="shared" si="14"/>
        <v>0</v>
      </c>
      <c r="Q37" s="82">
        <f t="shared" si="0"/>
        <v>32</v>
      </c>
      <c r="R37" s="960"/>
      <c r="S37" s="960"/>
      <c r="T37" s="1511">
        <f t="shared" si="13"/>
        <v>0</v>
      </c>
      <c r="U37" s="790"/>
      <c r="V37" s="75">
        <f t="shared" si="1"/>
        <v>32</v>
      </c>
      <c r="W37" s="960"/>
      <c r="X37" s="960"/>
      <c r="Y37" s="1511">
        <f t="shared" si="9"/>
        <v>0</v>
      </c>
      <c r="Z37" s="75"/>
      <c r="AA37" s="82">
        <f t="shared" si="2"/>
        <v>32</v>
      </c>
      <c r="AB37" s="960"/>
      <c r="AC37" s="960"/>
      <c r="AD37" s="1511">
        <f t="shared" si="10"/>
        <v>0</v>
      </c>
    </row>
    <row r="38" spans="1:30">
      <c r="A38" s="1572">
        <f t="shared" si="3"/>
        <v>30</v>
      </c>
      <c r="B38" s="469">
        <f>'Sched D-2'!B41</f>
        <v>392.01</v>
      </c>
      <c r="C38" s="1019">
        <f>IFERROR(VLOOKUP(B38,'Sched D-2'!B:E,4,FALSE),0)</f>
        <v>0</v>
      </c>
      <c r="D38" s="1582">
        <f>IFERROR(VLOOKUP(B38,'Sched J-1'!B:K,10,FALSE),0)</f>
        <v>0</v>
      </c>
      <c r="E38" s="790">
        <f t="shared" ref="E38:E39" si="26">D38*C38</f>
        <v>0</v>
      </c>
      <c r="F38" s="790">
        <f t="shared" ref="F38:F39" si="27">E38/2</f>
        <v>0</v>
      </c>
      <c r="G38" s="829" t="s">
        <v>682</v>
      </c>
      <c r="H38" s="829">
        <v>0.14285714285714299</v>
      </c>
      <c r="I38" s="790">
        <f t="shared" ref="I38:I39" si="28">H38*C38</f>
        <v>0</v>
      </c>
      <c r="J38" s="790">
        <f t="shared" ref="J38:J39" si="29">+E38-I38</f>
        <v>0</v>
      </c>
      <c r="L38" s="834">
        <f t="shared" si="7"/>
        <v>0.27169900000000002</v>
      </c>
      <c r="N38" s="790">
        <f t="shared" si="25"/>
        <v>0</v>
      </c>
      <c r="O38" s="790">
        <f t="shared" si="14"/>
        <v>0</v>
      </c>
      <c r="Q38" s="82">
        <f t="shared" si="0"/>
        <v>33</v>
      </c>
      <c r="R38" s="960"/>
      <c r="S38" s="960"/>
      <c r="T38" s="1511">
        <f t="shared" si="13"/>
        <v>0</v>
      </c>
      <c r="U38" s="790"/>
      <c r="V38" s="75">
        <f t="shared" si="1"/>
        <v>33</v>
      </c>
      <c r="W38" s="960"/>
      <c r="X38" s="960"/>
      <c r="Y38" s="1511">
        <f t="shared" si="9"/>
        <v>0</v>
      </c>
      <c r="Z38" s="75"/>
      <c r="AA38" s="82">
        <f t="shared" si="2"/>
        <v>33</v>
      </c>
      <c r="AB38" s="960"/>
      <c r="AC38" s="960"/>
      <c r="AD38" s="1511">
        <f t="shared" si="10"/>
        <v>0</v>
      </c>
    </row>
    <row r="39" spans="1:30">
      <c r="A39" s="1572">
        <f t="shared" si="3"/>
        <v>31</v>
      </c>
      <c r="B39" s="469">
        <f>'Sched D-2'!B42</f>
        <v>392.02</v>
      </c>
      <c r="C39" s="1019">
        <f>IFERROR(VLOOKUP(B39,'Sched D-2'!B:E,4,FALSE),0)</f>
        <v>0</v>
      </c>
      <c r="D39" s="1582">
        <f>IFERROR(VLOOKUP(B39,'Sched J-1'!B:K,10,FALSE),0)</f>
        <v>9.8699999999999996E-2</v>
      </c>
      <c r="E39" s="790">
        <f t="shared" si="26"/>
        <v>0</v>
      </c>
      <c r="F39" s="790">
        <f t="shared" si="27"/>
        <v>0</v>
      </c>
      <c r="G39" s="1600" t="s">
        <v>655</v>
      </c>
      <c r="H39" s="829">
        <v>0.2</v>
      </c>
      <c r="I39" s="790">
        <f t="shared" si="28"/>
        <v>0</v>
      </c>
      <c r="J39" s="790">
        <f t="shared" si="29"/>
        <v>0</v>
      </c>
      <c r="L39" s="834">
        <f t="shared" si="7"/>
        <v>0.27169900000000002</v>
      </c>
      <c r="N39" s="790">
        <f t="shared" ref="N39" si="30">+J39*L39</f>
        <v>0</v>
      </c>
      <c r="O39" s="790">
        <f t="shared" si="14"/>
        <v>0</v>
      </c>
      <c r="Q39" s="82">
        <f t="shared" si="0"/>
        <v>34</v>
      </c>
      <c r="R39" s="960"/>
      <c r="S39" s="960"/>
      <c r="T39" s="1511">
        <f t="shared" si="13"/>
        <v>0</v>
      </c>
      <c r="U39" s="790"/>
      <c r="V39" s="75">
        <f t="shared" si="1"/>
        <v>34</v>
      </c>
      <c r="W39" s="960"/>
      <c r="X39" s="960"/>
      <c r="Y39" s="1511">
        <f t="shared" ref="Y39:Y69" si="31">+W39+X39</f>
        <v>0</v>
      </c>
      <c r="Z39" s="75"/>
      <c r="AA39" s="82">
        <f t="shared" si="2"/>
        <v>34</v>
      </c>
      <c r="AB39" s="960"/>
      <c r="AC39" s="960"/>
      <c r="AD39" s="1511">
        <f t="shared" si="10"/>
        <v>0</v>
      </c>
    </row>
    <row r="40" spans="1:30">
      <c r="A40" s="1572">
        <f t="shared" si="3"/>
        <v>32</v>
      </c>
      <c r="B40" s="469">
        <f>'Sched D-2'!B43</f>
        <v>392.03</v>
      </c>
      <c r="C40" s="1019">
        <f>IFERROR(VLOOKUP(B40,'Sched D-2'!B:E,4,FALSE),0)</f>
        <v>3908936.9988819989</v>
      </c>
      <c r="D40" s="1582">
        <f>IFERROR(VLOOKUP(B40,'Sched J-1'!B:K,10,FALSE),0)</f>
        <v>7.0000000000000007E-2</v>
      </c>
      <c r="E40" s="790">
        <f t="shared" si="4"/>
        <v>273625.58992173994</v>
      </c>
      <c r="F40" s="790">
        <f t="shared" si="5"/>
        <v>136812.79496086997</v>
      </c>
      <c r="G40" s="829" t="s">
        <v>655</v>
      </c>
      <c r="H40" s="829">
        <v>0.2</v>
      </c>
      <c r="I40" s="790">
        <f t="shared" si="6"/>
        <v>781787.39977639983</v>
      </c>
      <c r="J40" s="790">
        <f t="shared" si="11"/>
        <v>-508161.80985465989</v>
      </c>
      <c r="L40" s="834">
        <f t="shared" si="7"/>
        <v>0.27169900000000002</v>
      </c>
      <c r="N40" s="790">
        <f t="shared" si="12"/>
        <v>-138067.05557570126</v>
      </c>
      <c r="O40" s="790">
        <f t="shared" si="14"/>
        <v>-138067.05557570126</v>
      </c>
      <c r="Q40" s="82">
        <f t="shared" si="0"/>
        <v>35</v>
      </c>
      <c r="R40" s="960"/>
      <c r="S40" s="960"/>
      <c r="T40" s="1511">
        <f t="shared" si="13"/>
        <v>0</v>
      </c>
      <c r="U40" s="790"/>
      <c r="V40" s="75">
        <f t="shared" si="1"/>
        <v>35</v>
      </c>
      <c r="W40" s="960"/>
      <c r="X40" s="960"/>
      <c r="Y40" s="1511">
        <f t="shared" si="31"/>
        <v>0</v>
      </c>
      <c r="Z40" s="75"/>
      <c r="AA40" s="82">
        <f t="shared" si="2"/>
        <v>35</v>
      </c>
      <c r="AB40" s="960"/>
      <c r="AC40" s="960"/>
      <c r="AD40" s="1511">
        <f t="shared" si="10"/>
        <v>0</v>
      </c>
    </row>
    <row r="41" spans="1:30">
      <c r="A41" s="1572">
        <f t="shared" si="3"/>
        <v>33</v>
      </c>
      <c r="B41" s="469">
        <f>'Sched D-2'!B44</f>
        <v>392.04</v>
      </c>
      <c r="C41" s="1019">
        <f>IFERROR(VLOOKUP(B41,'Sched D-2'!B:E,4,FALSE),0)</f>
        <v>1284655.36867</v>
      </c>
      <c r="D41" s="1582">
        <f>IFERROR(VLOOKUP(B41,'Sched J-1'!B:K,10,FALSE),0)</f>
        <v>0.12559999999999999</v>
      </c>
      <c r="E41" s="790">
        <f t="shared" si="4"/>
        <v>161352.71430495198</v>
      </c>
      <c r="F41" s="790">
        <f t="shared" si="5"/>
        <v>80676.35715247599</v>
      </c>
      <c r="G41" s="829" t="s">
        <v>655</v>
      </c>
      <c r="H41" s="829">
        <v>0.2</v>
      </c>
      <c r="I41" s="790">
        <f t="shared" ref="I41:I47" si="32">H41*C41</f>
        <v>256931.07373400001</v>
      </c>
      <c r="J41" s="790">
        <f t="shared" ref="J41:J47" si="33">+E41-I41</f>
        <v>-95578.359429048025</v>
      </c>
      <c r="L41" s="834">
        <f t="shared" si="7"/>
        <v>0.27169900000000002</v>
      </c>
      <c r="N41" s="790">
        <f t="shared" ref="N41:N47" si="34">+J41*L41</f>
        <v>-25968.544678512921</v>
      </c>
      <c r="O41" s="790">
        <f t="shared" si="14"/>
        <v>-25968.544678512921</v>
      </c>
      <c r="Q41" s="82">
        <f t="shared" si="0"/>
        <v>36</v>
      </c>
      <c r="R41" s="960"/>
      <c r="S41" s="960"/>
      <c r="T41" s="1511">
        <f t="shared" si="13"/>
        <v>0</v>
      </c>
      <c r="U41" s="790"/>
      <c r="V41" s="75">
        <f t="shared" si="1"/>
        <v>36</v>
      </c>
      <c r="W41" s="960"/>
      <c r="X41" s="960"/>
      <c r="Y41" s="1511">
        <f t="shared" si="31"/>
        <v>0</v>
      </c>
      <c r="Z41" s="75"/>
      <c r="AA41" s="82">
        <f t="shared" si="2"/>
        <v>36</v>
      </c>
      <c r="AB41" s="960"/>
      <c r="AC41" s="960"/>
      <c r="AD41" s="1511">
        <f t="shared" si="10"/>
        <v>0</v>
      </c>
    </row>
    <row r="42" spans="1:30">
      <c r="A42" s="1572">
        <f t="shared" si="3"/>
        <v>34</v>
      </c>
      <c r="B42" s="469">
        <f>'Sched D-2'!B45</f>
        <v>392.05</v>
      </c>
      <c r="C42" s="1019">
        <f>IFERROR(VLOOKUP(B42,'Sched D-2'!B:E,4,FALSE),0)</f>
        <v>260177.61244800003</v>
      </c>
      <c r="D42" s="1582">
        <f>IFERROR(VLOOKUP(B42,'Sched J-1'!B:K,10,FALSE),0)</f>
        <v>4.7600000000000003E-2</v>
      </c>
      <c r="E42" s="790">
        <f t="shared" si="4"/>
        <v>12384.454352524803</v>
      </c>
      <c r="F42" s="790">
        <f t="shared" si="5"/>
        <v>6192.2271762624014</v>
      </c>
      <c r="G42" s="829" t="s">
        <v>655</v>
      </c>
      <c r="H42" s="829">
        <v>0.2</v>
      </c>
      <c r="I42" s="790">
        <f t="shared" si="32"/>
        <v>52035.522489600007</v>
      </c>
      <c r="J42" s="790">
        <f t="shared" si="33"/>
        <v>-39651.068137075206</v>
      </c>
      <c r="L42" s="834">
        <f t="shared" si="7"/>
        <v>0.27169900000000002</v>
      </c>
      <c r="N42" s="790">
        <f t="shared" si="34"/>
        <v>-10773.155561775198</v>
      </c>
      <c r="O42" s="790">
        <f t="shared" si="14"/>
        <v>-10773.155561775198</v>
      </c>
      <c r="Q42" s="82">
        <f t="shared" si="0"/>
        <v>37</v>
      </c>
      <c r="R42" s="960"/>
      <c r="S42" s="960"/>
      <c r="T42" s="1511">
        <f t="shared" si="13"/>
        <v>0</v>
      </c>
      <c r="U42" s="790"/>
      <c r="V42" s="75">
        <f t="shared" si="1"/>
        <v>37</v>
      </c>
      <c r="W42" s="960"/>
      <c r="X42" s="960"/>
      <c r="Y42" s="1511">
        <f t="shared" si="31"/>
        <v>0</v>
      </c>
      <c r="Z42" s="75"/>
      <c r="AA42" s="82">
        <f t="shared" si="2"/>
        <v>37</v>
      </c>
      <c r="AB42" s="960"/>
      <c r="AC42" s="960"/>
      <c r="AD42" s="1511">
        <f t="shared" si="10"/>
        <v>0</v>
      </c>
    </row>
    <row r="43" spans="1:30">
      <c r="A43" s="1572">
        <f t="shared" si="3"/>
        <v>35</v>
      </c>
      <c r="B43" s="469">
        <f>'Sched D-2'!B46</f>
        <v>392.06</v>
      </c>
      <c r="C43" s="1019">
        <f>IFERROR(VLOOKUP(B43,'Sched D-2'!B:E,4,FALSE),0)</f>
        <v>251229.62100799999</v>
      </c>
      <c r="D43" s="1582">
        <f>IFERROR(VLOOKUP(B43,'Sched J-1'!B:K,10,FALSE),0)</f>
        <v>6.59E-2</v>
      </c>
      <c r="E43" s="790">
        <f t="shared" si="4"/>
        <v>16556.032024427201</v>
      </c>
      <c r="F43" s="790">
        <f t="shared" si="5"/>
        <v>8278.0160122136003</v>
      </c>
      <c r="G43" s="829" t="s">
        <v>655</v>
      </c>
      <c r="H43" s="829">
        <v>0.2</v>
      </c>
      <c r="I43" s="790">
        <f t="shared" si="32"/>
        <v>50245.924201599999</v>
      </c>
      <c r="J43" s="790">
        <f t="shared" si="33"/>
        <v>-33689.892177172798</v>
      </c>
      <c r="L43" s="834">
        <f t="shared" si="7"/>
        <v>0.27169900000000002</v>
      </c>
      <c r="N43" s="790">
        <f t="shared" si="34"/>
        <v>-9153.5100146456734</v>
      </c>
      <c r="O43" s="790">
        <f t="shared" si="14"/>
        <v>-9153.5100146456734</v>
      </c>
      <c r="Q43" s="82">
        <f t="shared" si="0"/>
        <v>38</v>
      </c>
      <c r="R43" s="960"/>
      <c r="S43" s="960"/>
      <c r="T43" s="1511">
        <f t="shared" si="13"/>
        <v>0</v>
      </c>
      <c r="U43" s="790"/>
      <c r="V43" s="75">
        <f t="shared" si="1"/>
        <v>38</v>
      </c>
      <c r="W43" s="960"/>
      <c r="X43" s="960"/>
      <c r="Y43" s="1511">
        <f t="shared" si="31"/>
        <v>0</v>
      </c>
      <c r="Z43" s="75"/>
      <c r="AA43" s="82">
        <f t="shared" si="2"/>
        <v>38</v>
      </c>
      <c r="AB43" s="960"/>
      <c r="AC43" s="960"/>
      <c r="AD43" s="1511">
        <f t="shared" si="10"/>
        <v>0</v>
      </c>
    </row>
    <row r="44" spans="1:30">
      <c r="A44" s="1572">
        <f t="shared" si="3"/>
        <v>36</v>
      </c>
      <c r="B44" s="469">
        <f>'Sched D-2'!B47</f>
        <v>393</v>
      </c>
      <c r="C44" s="1019">
        <f>IFERROR(VLOOKUP(B44,'Sched D-2'!B:E,4,FALSE),0)</f>
        <v>0</v>
      </c>
      <c r="D44" s="1582">
        <f>IFERROR(VLOOKUP(B44,'Sched J-1'!B:K,10,FALSE),0)</f>
        <v>0.04</v>
      </c>
      <c r="E44" s="790">
        <f t="shared" si="4"/>
        <v>0</v>
      </c>
      <c r="F44" s="790">
        <f t="shared" si="5"/>
        <v>0</v>
      </c>
      <c r="G44" s="1599" t="s">
        <v>682</v>
      </c>
      <c r="H44" s="1599">
        <v>0.14285714285714285</v>
      </c>
      <c r="I44" s="790">
        <f t="shared" si="32"/>
        <v>0</v>
      </c>
      <c r="J44" s="790">
        <f t="shared" si="33"/>
        <v>0</v>
      </c>
      <c r="L44" s="834">
        <f t="shared" si="7"/>
        <v>0.27169900000000002</v>
      </c>
      <c r="N44" s="790">
        <f t="shared" si="34"/>
        <v>0</v>
      </c>
      <c r="O44" s="790">
        <f t="shared" si="14"/>
        <v>0</v>
      </c>
      <c r="Q44" s="82">
        <f t="shared" si="0"/>
        <v>39</v>
      </c>
      <c r="R44" s="960"/>
      <c r="S44" s="960"/>
      <c r="T44" s="1511">
        <f t="shared" si="13"/>
        <v>0</v>
      </c>
      <c r="U44" s="790"/>
      <c r="V44" s="75">
        <f t="shared" si="1"/>
        <v>39</v>
      </c>
      <c r="W44" s="960"/>
      <c r="X44" s="960"/>
      <c r="Y44" s="1511">
        <f t="shared" si="31"/>
        <v>0</v>
      </c>
      <c r="Z44" s="75"/>
      <c r="AA44" s="82">
        <f t="shared" si="2"/>
        <v>39</v>
      </c>
      <c r="AB44" s="960"/>
      <c r="AC44" s="960"/>
      <c r="AD44" s="1511">
        <f t="shared" si="10"/>
        <v>0</v>
      </c>
    </row>
    <row r="45" spans="1:30">
      <c r="A45" s="1572">
        <f t="shared" si="3"/>
        <v>37</v>
      </c>
      <c r="B45" s="469">
        <f>'Sched D-2'!B48</f>
        <v>394</v>
      </c>
      <c r="C45" s="1019">
        <f>IFERROR(VLOOKUP(B45,'Sched D-2'!B:E,4,FALSE),0)</f>
        <v>5150641.3389919996</v>
      </c>
      <c r="D45" s="1582">
        <f>IFERROR(VLOOKUP(B45,'Sched J-1'!B:K,10,FALSE),0)</f>
        <v>3.95E-2</v>
      </c>
      <c r="E45" s="790">
        <f t="shared" si="4"/>
        <v>203450.33289018399</v>
      </c>
      <c r="F45" s="790">
        <f t="shared" si="5"/>
        <v>101725.16644509199</v>
      </c>
      <c r="G45" s="1599" t="s">
        <v>682</v>
      </c>
      <c r="H45" s="1599">
        <v>0.14285714285714285</v>
      </c>
      <c r="I45" s="790">
        <f t="shared" si="32"/>
        <v>735805.90557028563</v>
      </c>
      <c r="J45" s="790">
        <f t="shared" si="33"/>
        <v>-532355.57268010161</v>
      </c>
      <c r="L45" s="834">
        <f t="shared" si="7"/>
        <v>0.27169900000000002</v>
      </c>
      <c r="N45" s="790">
        <f t="shared" si="34"/>
        <v>-144640.47674161094</v>
      </c>
      <c r="O45" s="790">
        <f t="shared" si="14"/>
        <v>-144640.47674161094</v>
      </c>
      <c r="Q45" s="82">
        <f t="shared" si="0"/>
        <v>40</v>
      </c>
      <c r="R45" s="960"/>
      <c r="S45" s="960"/>
      <c r="T45" s="1511">
        <f t="shared" si="13"/>
        <v>0</v>
      </c>
      <c r="U45" s="790"/>
      <c r="V45" s="75">
        <f t="shared" si="1"/>
        <v>40</v>
      </c>
      <c r="W45" s="960"/>
      <c r="X45" s="960"/>
      <c r="Y45" s="1511">
        <f t="shared" si="31"/>
        <v>0</v>
      </c>
      <c r="Z45" s="75"/>
      <c r="AA45" s="82">
        <f t="shared" si="2"/>
        <v>40</v>
      </c>
      <c r="AB45" s="960"/>
      <c r="AC45" s="960"/>
      <c r="AD45" s="1511">
        <f t="shared" si="10"/>
        <v>0</v>
      </c>
    </row>
    <row r="46" spans="1:30">
      <c r="A46" s="1572">
        <f t="shared" si="3"/>
        <v>38</v>
      </c>
      <c r="B46" s="469">
        <f>'Sched D-2'!B49</f>
        <v>395</v>
      </c>
      <c r="C46" s="1019">
        <f>IFERROR(VLOOKUP(B46,'Sched D-2'!B:E,4,FALSE),0)</f>
        <v>0</v>
      </c>
      <c r="D46" s="1582">
        <f>IFERROR(VLOOKUP(B46,'Sched J-1'!B:K,10,FALSE),0)</f>
        <v>4.6100000000000002E-2</v>
      </c>
      <c r="E46" s="790">
        <f t="shared" si="4"/>
        <v>0</v>
      </c>
      <c r="F46" s="790">
        <f t="shared" si="5"/>
        <v>0</v>
      </c>
      <c r="G46" s="1599" t="s">
        <v>682</v>
      </c>
      <c r="H46" s="1599">
        <v>0.14285714285714285</v>
      </c>
      <c r="I46" s="790">
        <f t="shared" si="32"/>
        <v>0</v>
      </c>
      <c r="J46" s="790">
        <f t="shared" si="33"/>
        <v>0</v>
      </c>
      <c r="L46" s="834">
        <f t="shared" si="7"/>
        <v>0.27169900000000002</v>
      </c>
      <c r="N46" s="790">
        <f t="shared" si="34"/>
        <v>0</v>
      </c>
      <c r="O46" s="790">
        <f t="shared" si="14"/>
        <v>0</v>
      </c>
      <c r="Q46" s="82">
        <f t="shared" si="0"/>
        <v>41</v>
      </c>
      <c r="R46" s="960"/>
      <c r="S46" s="960"/>
      <c r="T46" s="1511">
        <f t="shared" si="13"/>
        <v>0</v>
      </c>
      <c r="U46" s="790"/>
      <c r="V46" s="75">
        <f t="shared" si="1"/>
        <v>41</v>
      </c>
      <c r="W46" s="960"/>
      <c r="X46" s="960"/>
      <c r="Y46" s="1511">
        <f t="shared" si="31"/>
        <v>0</v>
      </c>
      <c r="Z46" s="75"/>
      <c r="AA46" s="82">
        <f t="shared" si="2"/>
        <v>41</v>
      </c>
      <c r="AB46" s="960"/>
      <c r="AC46" s="960"/>
      <c r="AD46" s="1511">
        <f t="shared" si="10"/>
        <v>0</v>
      </c>
    </row>
    <row r="47" spans="1:30">
      <c r="A47" s="1572">
        <f t="shared" si="3"/>
        <v>39</v>
      </c>
      <c r="B47" s="469">
        <f>'Sched D-2'!B50</f>
        <v>396</v>
      </c>
      <c r="C47" s="1019">
        <f>IFERROR(VLOOKUP(B47,'Sched D-2'!B:E,4,FALSE),0)</f>
        <v>0</v>
      </c>
      <c r="D47" s="1582">
        <f>IFERROR(VLOOKUP(B47,'Sched J-1'!B:K,10,FALSE),0)</f>
        <v>3.8300000000000001E-2</v>
      </c>
      <c r="E47" s="790">
        <f t="shared" si="4"/>
        <v>0</v>
      </c>
      <c r="F47" s="790">
        <f t="shared" si="5"/>
        <v>0</v>
      </c>
      <c r="G47" s="1599" t="s">
        <v>682</v>
      </c>
      <c r="H47" s="1599">
        <v>0.14285714285714285</v>
      </c>
      <c r="I47" s="790">
        <f t="shared" si="32"/>
        <v>0</v>
      </c>
      <c r="J47" s="790">
        <f t="shared" si="33"/>
        <v>0</v>
      </c>
      <c r="L47" s="834">
        <f t="shared" si="7"/>
        <v>0.27169900000000002</v>
      </c>
      <c r="N47" s="790">
        <f t="shared" si="34"/>
        <v>0</v>
      </c>
      <c r="O47" s="790">
        <f t="shared" si="14"/>
        <v>0</v>
      </c>
      <c r="Q47" s="82">
        <f t="shared" si="0"/>
        <v>42</v>
      </c>
      <c r="R47" s="960"/>
      <c r="S47" s="960"/>
      <c r="T47" s="1511">
        <f t="shared" si="13"/>
        <v>0</v>
      </c>
      <c r="U47" s="790"/>
      <c r="V47" s="75">
        <f t="shared" si="1"/>
        <v>42</v>
      </c>
      <c r="W47" s="960"/>
      <c r="X47" s="960"/>
      <c r="Y47" s="1511">
        <f t="shared" si="31"/>
        <v>0</v>
      </c>
      <c r="Z47" s="75"/>
      <c r="AA47" s="82">
        <f t="shared" si="2"/>
        <v>42</v>
      </c>
      <c r="AB47" s="960"/>
      <c r="AC47" s="960"/>
      <c r="AD47" s="1511">
        <f t="shared" si="10"/>
        <v>0</v>
      </c>
    </row>
    <row r="48" spans="1:30">
      <c r="A48" s="1572">
        <f t="shared" si="3"/>
        <v>40</v>
      </c>
      <c r="B48" s="469">
        <f>'Sched D-2'!B51</f>
        <v>397</v>
      </c>
      <c r="C48" s="1019">
        <f>IFERROR(VLOOKUP(B48,'Sched D-2'!B:E,4,FALSE),0)</f>
        <v>0</v>
      </c>
      <c r="D48" s="1582">
        <f>IFERROR(VLOOKUP(B48,'Sched J-1'!B:K,10,FALSE),0)</f>
        <v>6.6600000000000006E-2</v>
      </c>
      <c r="E48" s="790">
        <f t="shared" si="4"/>
        <v>0</v>
      </c>
      <c r="F48" s="790">
        <f t="shared" si="5"/>
        <v>0</v>
      </c>
      <c r="G48" s="1599" t="s">
        <v>682</v>
      </c>
      <c r="H48" s="1599">
        <v>0.14285714285714285</v>
      </c>
      <c r="I48" s="790">
        <f t="shared" si="6"/>
        <v>0</v>
      </c>
      <c r="J48" s="790">
        <f t="shared" si="11"/>
        <v>0</v>
      </c>
      <c r="L48" s="834">
        <f t="shared" si="7"/>
        <v>0.27169900000000002</v>
      </c>
      <c r="N48" s="790">
        <f t="shared" si="12"/>
        <v>0</v>
      </c>
      <c r="O48" s="790">
        <f t="shared" si="14"/>
        <v>0</v>
      </c>
      <c r="Q48" s="82">
        <f t="shared" si="0"/>
        <v>43</v>
      </c>
      <c r="R48" s="960"/>
      <c r="S48" s="960"/>
      <c r="T48" s="1511">
        <f t="shared" si="13"/>
        <v>0</v>
      </c>
      <c r="U48" s="790"/>
      <c r="V48" s="75">
        <f t="shared" si="1"/>
        <v>43</v>
      </c>
      <c r="W48" s="960"/>
      <c r="X48" s="960"/>
      <c r="Y48" s="1511">
        <f t="shared" si="31"/>
        <v>0</v>
      </c>
      <c r="Z48" s="75"/>
      <c r="AA48" s="82">
        <f t="shared" si="2"/>
        <v>43</v>
      </c>
      <c r="AB48" s="960"/>
      <c r="AC48" s="960"/>
      <c r="AD48" s="1511">
        <f t="shared" si="10"/>
        <v>0</v>
      </c>
    </row>
    <row r="49" spans="1:30">
      <c r="A49" s="1572">
        <f t="shared" si="3"/>
        <v>41</v>
      </c>
      <c r="B49" s="469">
        <f>'Sched D-2'!B52</f>
        <v>398</v>
      </c>
      <c r="C49" s="1019">
        <f>IFERROR(VLOOKUP(B49,'Sched D-2'!B:E,4,FALSE),0)</f>
        <v>0</v>
      </c>
      <c r="D49" s="1582">
        <f>IFERROR(VLOOKUP(B49,'Sched J-1'!B:K,10,FALSE),0)</f>
        <v>0.05</v>
      </c>
      <c r="E49" s="790">
        <f t="shared" si="4"/>
        <v>0</v>
      </c>
      <c r="F49" s="790">
        <f t="shared" si="5"/>
        <v>0</v>
      </c>
      <c r="G49" s="1599" t="s">
        <v>682</v>
      </c>
      <c r="H49" s="1599">
        <v>0.14285714285714285</v>
      </c>
      <c r="I49" s="790">
        <f t="shared" si="6"/>
        <v>0</v>
      </c>
      <c r="J49" s="790">
        <f t="shared" si="11"/>
        <v>0</v>
      </c>
      <c r="L49" s="834">
        <f t="shared" si="7"/>
        <v>0.27169900000000002</v>
      </c>
      <c r="N49" s="790">
        <f t="shared" si="12"/>
        <v>0</v>
      </c>
      <c r="O49" s="790">
        <f t="shared" si="14"/>
        <v>0</v>
      </c>
      <c r="Q49" s="82">
        <f t="shared" si="0"/>
        <v>44</v>
      </c>
      <c r="R49" s="960"/>
      <c r="S49" s="960"/>
      <c r="T49" s="1511">
        <f t="shared" si="13"/>
        <v>0</v>
      </c>
      <c r="U49" s="790"/>
      <c r="V49" s="75">
        <f t="shared" si="1"/>
        <v>44</v>
      </c>
      <c r="W49" s="960"/>
      <c r="X49" s="960"/>
      <c r="Y49" s="1511">
        <f t="shared" si="31"/>
        <v>0</v>
      </c>
      <c r="Z49" s="75"/>
      <c r="AA49" s="82">
        <f t="shared" si="2"/>
        <v>44</v>
      </c>
      <c r="AB49" s="960"/>
      <c r="AC49" s="960"/>
      <c r="AD49" s="1511">
        <f t="shared" si="10"/>
        <v>0</v>
      </c>
    </row>
    <row r="50" spans="1:30">
      <c r="A50" s="1572">
        <f t="shared" si="3"/>
        <v>42</v>
      </c>
      <c r="B50" s="469">
        <f>'Sched D-2'!B53</f>
        <v>399</v>
      </c>
      <c r="C50" s="1023">
        <f>IFERROR(VLOOKUP(B50,'Sched D-2'!B:E,4,FALSE),0)</f>
        <v>0</v>
      </c>
      <c r="D50" s="1582">
        <f>IFERROR(VLOOKUP(B50,'Sched J-1'!B:K,10,FALSE),0)</f>
        <v>0</v>
      </c>
      <c r="E50" s="791">
        <f t="shared" si="4"/>
        <v>0</v>
      </c>
      <c r="F50" s="791">
        <f t="shared" si="5"/>
        <v>0</v>
      </c>
      <c r="G50" s="1599" t="s">
        <v>682</v>
      </c>
      <c r="H50" s="1599">
        <v>0.14285714285714285</v>
      </c>
      <c r="I50" s="791">
        <f t="shared" si="6"/>
        <v>0</v>
      </c>
      <c r="J50" s="791">
        <f t="shared" si="11"/>
        <v>0</v>
      </c>
      <c r="L50" s="834">
        <f t="shared" si="7"/>
        <v>0.27169900000000002</v>
      </c>
      <c r="N50" s="790">
        <f t="shared" si="12"/>
        <v>0</v>
      </c>
      <c r="O50" s="790">
        <f t="shared" si="14"/>
        <v>0</v>
      </c>
      <c r="Q50" s="82">
        <f t="shared" si="0"/>
        <v>45</v>
      </c>
      <c r="R50" s="960"/>
      <c r="S50" s="960"/>
      <c r="T50" s="1511">
        <f t="shared" si="13"/>
        <v>0</v>
      </c>
      <c r="U50" s="790"/>
      <c r="V50" s="75">
        <f t="shared" si="1"/>
        <v>45</v>
      </c>
      <c r="W50" s="960"/>
      <c r="X50" s="960"/>
      <c r="Y50" s="1511">
        <f t="shared" si="31"/>
        <v>0</v>
      </c>
      <c r="Z50" s="75"/>
      <c r="AA50" s="82">
        <f t="shared" si="2"/>
        <v>45</v>
      </c>
      <c r="AB50" s="960"/>
      <c r="AC50" s="960"/>
      <c r="AD50" s="1511">
        <f t="shared" si="10"/>
        <v>0</v>
      </c>
    </row>
    <row r="51" spans="1:30">
      <c r="A51" s="1572">
        <f t="shared" si="3"/>
        <v>43</v>
      </c>
      <c r="B51" s="1030" t="s">
        <v>862</v>
      </c>
      <c r="C51" s="1584">
        <f>SUM(C11:C50)</f>
        <v>90011427.516766012</v>
      </c>
      <c r="D51" s="1585"/>
      <c r="E51" s="1584">
        <f>SUM(E11:E50)</f>
        <v>2327135.0648429897</v>
      </c>
      <c r="F51" s="1584">
        <f>SUM(F11:F50)</f>
        <v>1163567.5324214948</v>
      </c>
      <c r="G51" s="834"/>
      <c r="H51" s="834"/>
      <c r="I51" s="1584">
        <f>SUM(I11:I50)</f>
        <v>4685844.7987460103</v>
      </c>
      <c r="J51" s="1586">
        <f>SUM(J11:J50)</f>
        <v>-2358709.7339030216</v>
      </c>
      <c r="L51" s="834"/>
      <c r="N51" s="1587">
        <f>SUM(N11:N50)</f>
        <v>-640859.07599171717</v>
      </c>
      <c r="O51" s="1587">
        <f>SUM(O11:O50)</f>
        <v>-640859.07599171717</v>
      </c>
      <c r="Q51" s="82">
        <f t="shared" si="0"/>
        <v>46</v>
      </c>
      <c r="R51" s="960"/>
      <c r="S51" s="960"/>
      <c r="T51" s="1511">
        <f t="shared" si="13"/>
        <v>0</v>
      </c>
      <c r="U51" s="790"/>
      <c r="V51" s="75">
        <f t="shared" si="1"/>
        <v>46</v>
      </c>
      <c r="W51" s="960"/>
      <c r="X51" s="960"/>
      <c r="Y51" s="1511">
        <f t="shared" si="31"/>
        <v>0</v>
      </c>
      <c r="Z51" s="75"/>
      <c r="AA51" s="82">
        <f t="shared" si="2"/>
        <v>46</v>
      </c>
      <c r="AB51" s="960"/>
      <c r="AC51" s="960"/>
      <c r="AD51" s="1511">
        <f t="shared" si="10"/>
        <v>0</v>
      </c>
    </row>
    <row r="52" spans="1:30">
      <c r="A52" s="1572">
        <f t="shared" si="3"/>
        <v>44</v>
      </c>
      <c r="C52" s="842"/>
      <c r="D52" s="1585"/>
      <c r="E52" s="842"/>
      <c r="G52" s="834"/>
      <c r="H52" s="834"/>
      <c r="L52" s="834"/>
      <c r="Q52" s="82">
        <f t="shared" si="0"/>
        <v>47</v>
      </c>
      <c r="T52" s="1511">
        <f t="shared" si="13"/>
        <v>0</v>
      </c>
      <c r="U52" s="790"/>
      <c r="V52" s="75">
        <f t="shared" si="1"/>
        <v>47</v>
      </c>
      <c r="Y52" s="1511">
        <f t="shared" si="31"/>
        <v>0</v>
      </c>
      <c r="Z52" s="75"/>
      <c r="AA52" s="82">
        <f t="shared" si="2"/>
        <v>47</v>
      </c>
      <c r="AB52" s="75"/>
      <c r="AC52" s="75"/>
      <c r="AD52" s="1511">
        <f t="shared" si="10"/>
        <v>0</v>
      </c>
    </row>
    <row r="53" spans="1:30">
      <c r="A53" s="1572">
        <f t="shared" si="3"/>
        <v>45</v>
      </c>
      <c r="B53" s="1588" t="s">
        <v>661</v>
      </c>
      <c r="C53" s="1577"/>
      <c r="D53" s="1589"/>
      <c r="E53" s="1577"/>
      <c r="F53" s="1577"/>
      <c r="G53" s="1577"/>
      <c r="H53" s="1577"/>
      <c r="I53" s="1577"/>
      <c r="J53" s="1577"/>
      <c r="K53" s="1578"/>
      <c r="L53" s="1577"/>
      <c r="M53" s="1578"/>
      <c r="N53" s="1577"/>
      <c r="O53" s="1577"/>
      <c r="Q53" s="82">
        <f t="shared" si="0"/>
        <v>48</v>
      </c>
      <c r="T53" s="1511">
        <f t="shared" si="13"/>
        <v>0</v>
      </c>
      <c r="U53" s="790"/>
      <c r="V53" s="75">
        <f t="shared" si="1"/>
        <v>48</v>
      </c>
      <c r="Y53" s="1511">
        <f t="shared" si="31"/>
        <v>0</v>
      </c>
      <c r="Z53" s="75"/>
      <c r="AA53" s="82">
        <f t="shared" si="2"/>
        <v>48</v>
      </c>
      <c r="AB53" s="75"/>
      <c r="AC53" s="75"/>
      <c r="AD53" s="1511">
        <f t="shared" si="10"/>
        <v>0</v>
      </c>
    </row>
    <row r="54" spans="1:30">
      <c r="A54" s="1572">
        <f t="shared" si="3"/>
        <v>46</v>
      </c>
      <c r="D54" s="1585"/>
      <c r="Q54" s="82">
        <f t="shared" si="0"/>
        <v>49</v>
      </c>
      <c r="T54" s="1511">
        <f t="shared" si="13"/>
        <v>0</v>
      </c>
      <c r="U54" s="790"/>
      <c r="V54" s="75">
        <f t="shared" si="1"/>
        <v>49</v>
      </c>
      <c r="Y54" s="1511">
        <f t="shared" si="31"/>
        <v>0</v>
      </c>
      <c r="Z54" s="75"/>
      <c r="AA54" s="82">
        <f t="shared" si="2"/>
        <v>49</v>
      </c>
      <c r="AD54" s="1511">
        <f t="shared" si="10"/>
        <v>0</v>
      </c>
    </row>
    <row r="55" spans="1:30" s="82" customFormat="1">
      <c r="A55" s="1572">
        <f t="shared" si="3"/>
        <v>47</v>
      </c>
      <c r="B55" s="469">
        <f t="shared" ref="B55:B71" si="35">B11</f>
        <v>374.01</v>
      </c>
      <c r="C55" s="1018">
        <f t="shared" ref="C55:C71" si="36">HLOOKUP(Attach,$R$6:$T$264,Q55,FALSE)</f>
        <v>0</v>
      </c>
      <c r="D55" s="1582">
        <f>IFERROR(VLOOKUP(B55,'Sched J-1'!B:K,10,FALSE),0)</f>
        <v>0</v>
      </c>
      <c r="E55" s="574">
        <f t="shared" ref="E55:E69" si="37">D55*C55</f>
        <v>0</v>
      </c>
      <c r="F55" s="574">
        <f t="shared" ref="F55:F69" si="38">E55/2</f>
        <v>0</v>
      </c>
      <c r="G55" s="829" t="s">
        <v>662</v>
      </c>
      <c r="H55" s="829">
        <v>1</v>
      </c>
      <c r="I55" s="574">
        <f t="shared" ref="I55:I69" si="39">H55*C55</f>
        <v>0</v>
      </c>
      <c r="J55" s="574">
        <f t="shared" ref="J55:J69" si="40">+E55-I55</f>
        <v>0</v>
      </c>
      <c r="K55" s="842"/>
      <c r="L55" s="834">
        <f t="shared" ref="L55:L71" si="41">COMPRATE</f>
        <v>0.27169900000000002</v>
      </c>
      <c r="M55" s="842"/>
      <c r="N55" s="574">
        <f t="shared" ref="N55:N69" si="42">+J55*L55</f>
        <v>0</v>
      </c>
      <c r="O55" s="574">
        <f t="shared" ref="O55:O71" si="43">N55</f>
        <v>0</v>
      </c>
      <c r="Q55" s="82">
        <f t="shared" si="0"/>
        <v>50</v>
      </c>
      <c r="R55" s="932">
        <v>0</v>
      </c>
      <c r="S55" s="932">
        <v>0</v>
      </c>
      <c r="T55" s="1511">
        <f t="shared" si="13"/>
        <v>0</v>
      </c>
      <c r="U55" s="790"/>
      <c r="V55" s="82">
        <f>1+V54</f>
        <v>50</v>
      </c>
      <c r="W55" s="960"/>
      <c r="X55" s="960"/>
      <c r="Y55" s="1511">
        <f t="shared" si="31"/>
        <v>0</v>
      </c>
      <c r="AA55" s="82">
        <f t="shared" si="2"/>
        <v>50</v>
      </c>
      <c r="AB55" s="960"/>
      <c r="AC55" s="960"/>
      <c r="AD55" s="1511">
        <f t="shared" si="10"/>
        <v>0</v>
      </c>
    </row>
    <row r="56" spans="1:30" s="82" customFormat="1">
      <c r="A56" s="1572">
        <f t="shared" si="3"/>
        <v>48</v>
      </c>
      <c r="B56" s="469">
        <f t="shared" si="35"/>
        <v>374.02</v>
      </c>
      <c r="C56" s="1590">
        <f t="shared" si="36"/>
        <v>0</v>
      </c>
      <c r="D56" s="1582">
        <f>IFERROR(VLOOKUP(B56,'Sched J-1'!B:K,10,FALSE),0)</f>
        <v>0</v>
      </c>
      <c r="E56" s="790">
        <f t="shared" si="37"/>
        <v>0</v>
      </c>
      <c r="F56" s="790">
        <f t="shared" si="38"/>
        <v>0</v>
      </c>
      <c r="G56" s="829" t="s">
        <v>662</v>
      </c>
      <c r="H56" s="829">
        <v>1</v>
      </c>
      <c r="I56" s="790">
        <f t="shared" ref="I56:I57" si="44">H56*C56</f>
        <v>0</v>
      </c>
      <c r="J56" s="680">
        <f t="shared" ref="J56:J57" si="45">+E56-I56</f>
        <v>0</v>
      </c>
      <c r="K56" s="842"/>
      <c r="L56" s="834">
        <f t="shared" si="41"/>
        <v>0.27169900000000002</v>
      </c>
      <c r="M56" s="842"/>
      <c r="N56" s="790">
        <f t="shared" ref="N56:N57" si="46">+J56*L56</f>
        <v>0</v>
      </c>
      <c r="O56" s="790">
        <f t="shared" si="43"/>
        <v>0</v>
      </c>
      <c r="Q56" s="82">
        <f t="shared" si="0"/>
        <v>51</v>
      </c>
      <c r="R56" s="932">
        <v>0</v>
      </c>
      <c r="S56" s="932">
        <v>0</v>
      </c>
      <c r="T56" s="1511">
        <f t="shared" si="13"/>
        <v>0</v>
      </c>
      <c r="U56" s="790"/>
      <c r="V56" s="82">
        <f t="shared" si="1"/>
        <v>51</v>
      </c>
      <c r="W56" s="960"/>
      <c r="X56" s="960"/>
      <c r="Y56" s="1511">
        <f t="shared" si="31"/>
        <v>0</v>
      </c>
      <c r="AA56" s="82">
        <f t="shared" si="2"/>
        <v>51</v>
      </c>
      <c r="AB56" s="960"/>
      <c r="AC56" s="960"/>
      <c r="AD56" s="1511">
        <f t="shared" si="10"/>
        <v>0</v>
      </c>
    </row>
    <row r="57" spans="1:30" s="82" customFormat="1">
      <c r="A57" s="1572">
        <f t="shared" si="3"/>
        <v>49</v>
      </c>
      <c r="B57" s="469">
        <f t="shared" si="35"/>
        <v>374.03</v>
      </c>
      <c r="C57" s="1590">
        <f t="shared" si="36"/>
        <v>0</v>
      </c>
      <c r="D57" s="1582">
        <f>IFERROR(VLOOKUP(B57,'Sched J-1'!B:K,10,FALSE),0)</f>
        <v>9.4999999999999998E-3</v>
      </c>
      <c r="E57" s="790">
        <f t="shared" si="37"/>
        <v>0</v>
      </c>
      <c r="F57" s="790">
        <f t="shared" si="38"/>
        <v>0</v>
      </c>
      <c r="G57" s="829" t="s">
        <v>662</v>
      </c>
      <c r="H57" s="829">
        <v>1</v>
      </c>
      <c r="I57" s="790">
        <f t="shared" si="44"/>
        <v>0</v>
      </c>
      <c r="J57" s="680">
        <f t="shared" si="45"/>
        <v>0</v>
      </c>
      <c r="K57" s="842"/>
      <c r="L57" s="834">
        <f t="shared" si="41"/>
        <v>0.27169900000000002</v>
      </c>
      <c r="M57" s="842"/>
      <c r="N57" s="790">
        <f t="shared" si="46"/>
        <v>0</v>
      </c>
      <c r="O57" s="790">
        <f t="shared" si="43"/>
        <v>0</v>
      </c>
      <c r="Q57" s="82">
        <f t="shared" si="0"/>
        <v>52</v>
      </c>
      <c r="R57" s="932">
        <v>0</v>
      </c>
      <c r="S57" s="932">
        <v>0</v>
      </c>
      <c r="T57" s="1511">
        <f t="shared" si="13"/>
        <v>0</v>
      </c>
      <c r="U57" s="790"/>
      <c r="V57" s="82">
        <f t="shared" si="1"/>
        <v>52</v>
      </c>
      <c r="W57" s="960"/>
      <c r="X57" s="960"/>
      <c r="Y57" s="1511">
        <f t="shared" si="31"/>
        <v>0</v>
      </c>
      <c r="AA57" s="82">
        <f t="shared" si="2"/>
        <v>52</v>
      </c>
      <c r="AB57" s="960"/>
      <c r="AC57" s="960"/>
      <c r="AD57" s="1511">
        <f t="shared" si="10"/>
        <v>0</v>
      </c>
    </row>
    <row r="58" spans="1:30" s="82" customFormat="1">
      <c r="A58" s="1572">
        <f t="shared" si="3"/>
        <v>50</v>
      </c>
      <c r="B58" s="469">
        <f t="shared" si="35"/>
        <v>375.01</v>
      </c>
      <c r="C58" s="1590">
        <f t="shared" si="36"/>
        <v>100300.80655000002</v>
      </c>
      <c r="D58" s="1582">
        <f>IFERROR(VLOOKUP(B58,'Sched J-1'!B:K,10,FALSE),0)</f>
        <v>7.6E-3</v>
      </c>
      <c r="E58" s="790">
        <f t="shared" si="37"/>
        <v>762.28612978000012</v>
      </c>
      <c r="F58" s="790">
        <f t="shared" si="38"/>
        <v>381.14306489000006</v>
      </c>
      <c r="G58" s="829" t="s">
        <v>662</v>
      </c>
      <c r="H58" s="829">
        <v>1</v>
      </c>
      <c r="I58" s="790">
        <f t="shared" si="39"/>
        <v>100300.80655000002</v>
      </c>
      <c r="J58" s="680">
        <f t="shared" si="40"/>
        <v>-99538.520420220026</v>
      </c>
      <c r="K58" s="842"/>
      <c r="L58" s="834">
        <f t="shared" si="41"/>
        <v>0.27169900000000002</v>
      </c>
      <c r="M58" s="842"/>
      <c r="N58" s="790">
        <f t="shared" si="42"/>
        <v>-27044.516459653361</v>
      </c>
      <c r="O58" s="790">
        <f t="shared" si="43"/>
        <v>-27044.516459653361</v>
      </c>
      <c r="Q58" s="82">
        <f t="shared" si="0"/>
        <v>53</v>
      </c>
      <c r="R58" s="932">
        <v>67461.614350000003</v>
      </c>
      <c r="S58" s="932">
        <v>32839.19220000002</v>
      </c>
      <c r="T58" s="1511">
        <f t="shared" si="13"/>
        <v>100300.80655000002</v>
      </c>
      <c r="U58" s="790"/>
      <c r="V58" s="82">
        <f t="shared" si="1"/>
        <v>53</v>
      </c>
      <c r="W58" s="960"/>
      <c r="X58" s="960"/>
      <c r="Y58" s="1511">
        <f t="shared" si="31"/>
        <v>0</v>
      </c>
      <c r="AA58" s="82">
        <f t="shared" si="2"/>
        <v>53</v>
      </c>
      <c r="AB58" s="960"/>
      <c r="AC58" s="960"/>
      <c r="AD58" s="1511">
        <f t="shared" si="10"/>
        <v>0</v>
      </c>
    </row>
    <row r="59" spans="1:30" s="82" customFormat="1">
      <c r="A59" s="1572">
        <f t="shared" si="3"/>
        <v>51</v>
      </c>
      <c r="B59" s="1337">
        <f t="shared" si="35"/>
        <v>375.2</v>
      </c>
      <c r="C59" s="1590">
        <f t="shared" si="36"/>
        <v>0</v>
      </c>
      <c r="D59" s="1582">
        <f>IFERROR(VLOOKUP(B59,'Sched J-1'!B:K,10,FALSE),0)</f>
        <v>2.1399999999999999E-2</v>
      </c>
      <c r="E59" s="790">
        <f t="shared" si="37"/>
        <v>0</v>
      </c>
      <c r="F59" s="790">
        <f t="shared" si="38"/>
        <v>0</v>
      </c>
      <c r="G59" s="829" t="s">
        <v>662</v>
      </c>
      <c r="H59" s="829">
        <v>1</v>
      </c>
      <c r="I59" s="790">
        <f t="shared" si="39"/>
        <v>0</v>
      </c>
      <c r="J59" s="680">
        <f t="shared" si="40"/>
        <v>0</v>
      </c>
      <c r="K59" s="842"/>
      <c r="L59" s="834">
        <f t="shared" si="41"/>
        <v>0.27169900000000002</v>
      </c>
      <c r="M59" s="842"/>
      <c r="N59" s="790">
        <f t="shared" si="42"/>
        <v>0</v>
      </c>
      <c r="O59" s="790">
        <f t="shared" si="43"/>
        <v>0</v>
      </c>
      <c r="Q59" s="82">
        <f t="shared" si="0"/>
        <v>54</v>
      </c>
      <c r="R59" s="932">
        <v>0</v>
      </c>
      <c r="S59" s="932">
        <v>0</v>
      </c>
      <c r="T59" s="1511">
        <f t="shared" si="13"/>
        <v>0</v>
      </c>
      <c r="U59" s="790"/>
      <c r="V59" s="82">
        <f t="shared" si="1"/>
        <v>54</v>
      </c>
      <c r="W59" s="960"/>
      <c r="X59" s="960"/>
      <c r="Y59" s="1511">
        <f t="shared" si="31"/>
        <v>0</v>
      </c>
      <c r="AA59" s="82">
        <f t="shared" si="2"/>
        <v>54</v>
      </c>
      <c r="AB59" s="960"/>
      <c r="AC59" s="960"/>
      <c r="AD59" s="1511">
        <f t="shared" si="10"/>
        <v>0</v>
      </c>
    </row>
    <row r="60" spans="1:30" s="82" customFormat="1">
      <c r="A60" s="1572">
        <f t="shared" si="3"/>
        <v>52</v>
      </c>
      <c r="B60" s="469">
        <f t="shared" si="35"/>
        <v>376</v>
      </c>
      <c r="C60" s="1590">
        <f t="shared" si="36"/>
        <v>4727645.0850900011</v>
      </c>
      <c r="D60" s="1582">
        <f>IFERROR(VLOOKUP(B60,'Sched J-1'!B:K,10,FALSE),0)</f>
        <v>1.37E-2</v>
      </c>
      <c r="E60" s="790">
        <f t="shared" si="37"/>
        <v>64768.737665733017</v>
      </c>
      <c r="F60" s="790">
        <f t="shared" si="38"/>
        <v>32384.368832866508</v>
      </c>
      <c r="G60" s="829" t="s">
        <v>662</v>
      </c>
      <c r="H60" s="829">
        <v>1</v>
      </c>
      <c r="I60" s="790">
        <f>H60*C60</f>
        <v>4727645.0850900011</v>
      </c>
      <c r="J60" s="680">
        <f t="shared" si="40"/>
        <v>-4662876.3474242678</v>
      </c>
      <c r="K60" s="842"/>
      <c r="L60" s="834">
        <f t="shared" si="41"/>
        <v>0.27169900000000002</v>
      </c>
      <c r="M60" s="842"/>
      <c r="N60" s="790">
        <f t="shared" si="42"/>
        <v>-1266898.8407188263</v>
      </c>
      <c r="O60" s="790">
        <f t="shared" si="43"/>
        <v>-1266898.8407188263</v>
      </c>
      <c r="Q60" s="82">
        <f t="shared" si="0"/>
        <v>55</v>
      </c>
      <c r="R60" s="932">
        <v>2916196.2077900004</v>
      </c>
      <c r="S60" s="932">
        <v>1811448.877300001</v>
      </c>
      <c r="T60" s="1511">
        <f t="shared" si="13"/>
        <v>4727645.0850900011</v>
      </c>
      <c r="U60" s="790"/>
      <c r="V60" s="82">
        <f t="shared" si="1"/>
        <v>55</v>
      </c>
      <c r="W60" s="960"/>
      <c r="X60" s="960"/>
      <c r="Y60" s="1511">
        <f t="shared" si="31"/>
        <v>0</v>
      </c>
      <c r="AA60" s="82">
        <f t="shared" si="2"/>
        <v>55</v>
      </c>
      <c r="AB60" s="960"/>
      <c r="AC60" s="960"/>
      <c r="AD60" s="1511">
        <f t="shared" si="10"/>
        <v>0</v>
      </c>
    </row>
    <row r="61" spans="1:30" s="82" customFormat="1">
      <c r="A61" s="1572">
        <f t="shared" si="3"/>
        <v>53</v>
      </c>
      <c r="B61" s="469">
        <f t="shared" si="35"/>
        <v>378</v>
      </c>
      <c r="C61" s="1590">
        <f t="shared" si="36"/>
        <v>256182.25325000001</v>
      </c>
      <c r="D61" s="1582">
        <f>IFERROR(VLOOKUP(B61,'Sched J-1'!B:K,10,FALSE),0)</f>
        <v>2.7099999999999999E-2</v>
      </c>
      <c r="E61" s="790">
        <f t="shared" si="37"/>
        <v>6942.5390630749998</v>
      </c>
      <c r="F61" s="790">
        <f t="shared" si="38"/>
        <v>3471.2695315374999</v>
      </c>
      <c r="G61" s="829" t="s">
        <v>662</v>
      </c>
      <c r="H61" s="829">
        <v>1</v>
      </c>
      <c r="I61" s="790">
        <f t="shared" si="39"/>
        <v>256182.25325000001</v>
      </c>
      <c r="J61" s="680">
        <f t="shared" si="40"/>
        <v>-249239.714186925</v>
      </c>
      <c r="K61" s="842"/>
      <c r="L61" s="834">
        <f t="shared" si="41"/>
        <v>0.27169900000000002</v>
      </c>
      <c r="M61" s="842"/>
      <c r="N61" s="790">
        <f t="shared" si="42"/>
        <v>-67718.181104873336</v>
      </c>
      <c r="O61" s="790">
        <f t="shared" si="43"/>
        <v>-67718.181104873336</v>
      </c>
      <c r="Q61" s="82">
        <f t="shared" si="0"/>
        <v>56</v>
      </c>
      <c r="R61" s="932">
        <v>187798.41785000003</v>
      </c>
      <c r="S61" s="932">
        <v>68383.835399999982</v>
      </c>
      <c r="T61" s="1511">
        <f t="shared" si="13"/>
        <v>256182.25325000001</v>
      </c>
      <c r="U61" s="790"/>
      <c r="V61" s="82">
        <f t="shared" si="1"/>
        <v>56</v>
      </c>
      <c r="W61" s="960"/>
      <c r="X61" s="960"/>
      <c r="Y61" s="1511">
        <f t="shared" si="31"/>
        <v>0</v>
      </c>
      <c r="AA61" s="82">
        <f t="shared" si="2"/>
        <v>56</v>
      </c>
      <c r="AB61" s="960"/>
      <c r="AC61" s="960"/>
      <c r="AD61" s="1511">
        <f t="shared" si="10"/>
        <v>0</v>
      </c>
    </row>
    <row r="62" spans="1:30" s="82" customFormat="1">
      <c r="A62" s="1572">
        <f t="shared" si="3"/>
        <v>54</v>
      </c>
      <c r="B62" s="469">
        <f t="shared" si="35"/>
        <v>379</v>
      </c>
      <c r="C62" s="1590">
        <f t="shared" si="36"/>
        <v>82353.172350000008</v>
      </c>
      <c r="D62" s="1582">
        <f>IFERROR(VLOOKUP(B62,'Sched J-1'!B:K,10,FALSE),0)</f>
        <v>1.41E-2</v>
      </c>
      <c r="E62" s="790">
        <f t="shared" si="37"/>
        <v>1161.179730135</v>
      </c>
      <c r="F62" s="790">
        <f t="shared" si="38"/>
        <v>580.5898650675</v>
      </c>
      <c r="G62" s="829" t="s">
        <v>662</v>
      </c>
      <c r="H62" s="829">
        <v>1</v>
      </c>
      <c r="I62" s="790">
        <f t="shared" si="39"/>
        <v>82353.172350000008</v>
      </c>
      <c r="J62" s="680">
        <f t="shared" si="40"/>
        <v>-81191.992619865006</v>
      </c>
      <c r="K62" s="842"/>
      <c r="L62" s="834">
        <f t="shared" si="41"/>
        <v>0.27169900000000002</v>
      </c>
      <c r="M62" s="842"/>
      <c r="N62" s="790">
        <f t="shared" si="42"/>
        <v>-22059.783202824703</v>
      </c>
      <c r="O62" s="790">
        <f t="shared" si="43"/>
        <v>-22059.783202824703</v>
      </c>
      <c r="Q62" s="82">
        <f t="shared" si="0"/>
        <v>57</v>
      </c>
      <c r="R62" s="932">
        <v>59792.980250000001</v>
      </c>
      <c r="S62" s="932">
        <v>22560.192100000007</v>
      </c>
      <c r="T62" s="1511">
        <f t="shared" si="13"/>
        <v>82353.172350000008</v>
      </c>
      <c r="U62" s="790"/>
      <c r="V62" s="82">
        <f t="shared" si="1"/>
        <v>57</v>
      </c>
      <c r="W62" s="960"/>
      <c r="X62" s="960"/>
      <c r="Y62" s="1511">
        <f t="shared" si="31"/>
        <v>0</v>
      </c>
      <c r="AA62" s="82">
        <f t="shared" si="2"/>
        <v>57</v>
      </c>
      <c r="AB62" s="960"/>
      <c r="AC62" s="960"/>
      <c r="AD62" s="1511">
        <f t="shared" si="10"/>
        <v>0</v>
      </c>
    </row>
    <row r="63" spans="1:30" s="82" customFormat="1">
      <c r="A63" s="1572">
        <f t="shared" si="3"/>
        <v>55</v>
      </c>
      <c r="B63" s="469">
        <f t="shared" si="35"/>
        <v>380</v>
      </c>
      <c r="C63" s="1590">
        <f t="shared" si="36"/>
        <v>7185936.4520100001</v>
      </c>
      <c r="D63" s="1582">
        <f>IFERROR(VLOOKUP(B63,'Sched J-1'!B:K,10,FALSE),0)</f>
        <v>2.6800000000000001E-2</v>
      </c>
      <c r="E63" s="790">
        <f t="shared" si="37"/>
        <v>192583.09691386801</v>
      </c>
      <c r="F63" s="790">
        <f t="shared" si="38"/>
        <v>96291.548456934004</v>
      </c>
      <c r="G63" s="829" t="s">
        <v>662</v>
      </c>
      <c r="H63" s="829">
        <v>1</v>
      </c>
      <c r="I63" s="790">
        <f t="shared" si="39"/>
        <v>7185936.4520100001</v>
      </c>
      <c r="J63" s="680">
        <f t="shared" si="40"/>
        <v>-6993353.3550961325</v>
      </c>
      <c r="K63" s="842"/>
      <c r="L63" s="834">
        <f t="shared" si="41"/>
        <v>0.27169900000000002</v>
      </c>
      <c r="M63" s="842"/>
      <c r="N63" s="790">
        <f t="shared" si="42"/>
        <v>-1900087.1132262642</v>
      </c>
      <c r="O63" s="790">
        <f t="shared" si="43"/>
        <v>-1900087.1132262642</v>
      </c>
      <c r="Q63" s="82">
        <f t="shared" si="0"/>
        <v>58</v>
      </c>
      <c r="R63" s="932">
        <v>3423462.1016100002</v>
      </c>
      <c r="S63" s="932">
        <v>3762474.3503999999</v>
      </c>
      <c r="T63" s="1511">
        <f t="shared" si="13"/>
        <v>7185936.4520100001</v>
      </c>
      <c r="U63" s="790"/>
      <c r="V63" s="82">
        <f t="shared" si="1"/>
        <v>58</v>
      </c>
      <c r="W63" s="960"/>
      <c r="X63" s="960"/>
      <c r="Y63" s="1511">
        <f t="shared" si="31"/>
        <v>0</v>
      </c>
      <c r="AA63" s="82">
        <f t="shared" si="2"/>
        <v>58</v>
      </c>
      <c r="AB63" s="960"/>
      <c r="AC63" s="960"/>
      <c r="AD63" s="1511">
        <f t="shared" si="10"/>
        <v>0</v>
      </c>
    </row>
    <row r="64" spans="1:30" s="82" customFormat="1">
      <c r="A64" s="1572">
        <f t="shared" si="3"/>
        <v>56</v>
      </c>
      <c r="B64" s="469">
        <f t="shared" si="35"/>
        <v>381</v>
      </c>
      <c r="C64" s="1590">
        <f t="shared" si="36"/>
        <v>247743.88197649992</v>
      </c>
      <c r="D64" s="1582">
        <f>IFERROR(VLOOKUP(B64,'Sched J-1'!B:K,10,FALSE),0)</f>
        <v>4.7899999999999998E-2</v>
      </c>
      <c r="E64" s="790">
        <f t="shared" si="37"/>
        <v>11866.931946674345</v>
      </c>
      <c r="F64" s="790">
        <f t="shared" si="38"/>
        <v>5933.4659733371727</v>
      </c>
      <c r="G64" s="829" t="s">
        <v>662</v>
      </c>
      <c r="H64" s="829">
        <v>1</v>
      </c>
      <c r="I64" s="790">
        <f t="shared" si="39"/>
        <v>247743.88197649992</v>
      </c>
      <c r="J64" s="680">
        <f t="shared" si="40"/>
        <v>-235876.95002982559</v>
      </c>
      <c r="K64" s="842"/>
      <c r="L64" s="834">
        <f t="shared" si="41"/>
        <v>0.27169900000000002</v>
      </c>
      <c r="M64" s="842"/>
      <c r="N64" s="790">
        <f t="shared" si="42"/>
        <v>-64087.531446153589</v>
      </c>
      <c r="O64" s="790">
        <f t="shared" si="43"/>
        <v>-64087.531446153589</v>
      </c>
      <c r="Q64" s="82">
        <f t="shared" si="0"/>
        <v>59</v>
      </c>
      <c r="R64" s="932">
        <v>146892.41131249996</v>
      </c>
      <c r="S64" s="932">
        <v>100851.47066399998</v>
      </c>
      <c r="T64" s="1511">
        <f t="shared" si="13"/>
        <v>247743.88197649992</v>
      </c>
      <c r="U64" s="790"/>
      <c r="V64" s="82">
        <f t="shared" si="1"/>
        <v>59</v>
      </c>
      <c r="W64" s="960"/>
      <c r="X64" s="960"/>
      <c r="Y64" s="1511">
        <f t="shared" si="31"/>
        <v>0</v>
      </c>
      <c r="AA64" s="82">
        <f t="shared" si="2"/>
        <v>59</v>
      </c>
      <c r="AB64" s="960"/>
      <c r="AC64" s="960"/>
      <c r="AD64" s="1511">
        <f t="shared" si="10"/>
        <v>0</v>
      </c>
    </row>
    <row r="65" spans="1:30" s="82" customFormat="1">
      <c r="A65" s="1572">
        <f t="shared" si="3"/>
        <v>57</v>
      </c>
      <c r="B65" s="469">
        <f t="shared" si="35"/>
        <v>382.01</v>
      </c>
      <c r="C65" s="1590">
        <f t="shared" si="36"/>
        <v>168949.47590000002</v>
      </c>
      <c r="D65" s="1582">
        <f>IFERROR(VLOOKUP(B65,'Sched J-1'!B:K,10,FALSE),0)</f>
        <v>2.6700000000000002E-2</v>
      </c>
      <c r="E65" s="790">
        <f t="shared" si="37"/>
        <v>4510.951006530001</v>
      </c>
      <c r="F65" s="790">
        <f t="shared" si="38"/>
        <v>2255.4755032650005</v>
      </c>
      <c r="G65" s="829" t="s">
        <v>662</v>
      </c>
      <c r="H65" s="829">
        <v>1</v>
      </c>
      <c r="I65" s="790">
        <f t="shared" si="39"/>
        <v>168949.47590000002</v>
      </c>
      <c r="J65" s="680">
        <f t="shared" si="40"/>
        <v>-164438.52489347002</v>
      </c>
      <c r="K65" s="842"/>
      <c r="L65" s="834">
        <f t="shared" si="41"/>
        <v>0.27169900000000002</v>
      </c>
      <c r="M65" s="842"/>
      <c r="N65" s="790">
        <f t="shared" si="42"/>
        <v>-44677.782775030915</v>
      </c>
      <c r="O65" s="790">
        <f t="shared" si="43"/>
        <v>-44677.782775030915</v>
      </c>
      <c r="Q65" s="82">
        <f t="shared" si="0"/>
        <v>60</v>
      </c>
      <c r="R65" s="932">
        <v>123248.33229999999</v>
      </c>
      <c r="S65" s="932">
        <v>45701.14360000001</v>
      </c>
      <c r="T65" s="1511">
        <f t="shared" si="13"/>
        <v>168949.47590000002</v>
      </c>
      <c r="U65" s="790"/>
      <c r="V65" s="82">
        <f t="shared" si="1"/>
        <v>60</v>
      </c>
      <c r="W65" s="960"/>
      <c r="X65" s="960"/>
      <c r="Y65" s="1511">
        <f t="shared" si="31"/>
        <v>0</v>
      </c>
      <c r="AA65" s="82">
        <f t="shared" si="2"/>
        <v>60</v>
      </c>
      <c r="AB65" s="960"/>
      <c r="AC65" s="960"/>
      <c r="AD65" s="1511">
        <f t="shared" si="10"/>
        <v>0</v>
      </c>
    </row>
    <row r="66" spans="1:30" s="82" customFormat="1">
      <c r="A66" s="1572">
        <f t="shared" si="3"/>
        <v>58</v>
      </c>
      <c r="B66" s="469">
        <f t="shared" si="35"/>
        <v>383.01</v>
      </c>
      <c r="C66" s="1590">
        <f t="shared" si="36"/>
        <v>543412.00995000009</v>
      </c>
      <c r="D66" s="1582">
        <f>IFERROR(VLOOKUP(B66,'Sched J-1'!B:K,10,FALSE),0)</f>
        <v>2.6800000000000001E-2</v>
      </c>
      <c r="E66" s="790">
        <f t="shared" si="37"/>
        <v>14563.441866660003</v>
      </c>
      <c r="F66" s="790">
        <f t="shared" si="38"/>
        <v>7281.7209333300016</v>
      </c>
      <c r="G66" s="829" t="s">
        <v>662</v>
      </c>
      <c r="H66" s="829">
        <v>1</v>
      </c>
      <c r="I66" s="790">
        <f t="shared" si="39"/>
        <v>543412.00995000009</v>
      </c>
      <c r="J66" s="680">
        <f t="shared" si="40"/>
        <v>-528848.56808334007</v>
      </c>
      <c r="K66" s="842"/>
      <c r="L66" s="834">
        <f t="shared" si="41"/>
        <v>0.27169900000000002</v>
      </c>
      <c r="M66" s="842"/>
      <c r="N66" s="790">
        <f t="shared" si="42"/>
        <v>-143687.62709967542</v>
      </c>
      <c r="O66" s="790">
        <f t="shared" si="43"/>
        <v>-143687.62709967542</v>
      </c>
      <c r="Q66" s="82">
        <f t="shared" si="0"/>
        <v>61</v>
      </c>
      <c r="R66" s="932">
        <v>383563.02385000006</v>
      </c>
      <c r="S66" s="932">
        <v>159848.98610000004</v>
      </c>
      <c r="T66" s="1511">
        <f t="shared" si="13"/>
        <v>543412.00995000009</v>
      </c>
      <c r="U66" s="790"/>
      <c r="V66" s="82">
        <f t="shared" si="1"/>
        <v>61</v>
      </c>
      <c r="W66" s="960"/>
      <c r="X66" s="960"/>
      <c r="Y66" s="1511">
        <f t="shared" si="31"/>
        <v>0</v>
      </c>
      <c r="AA66" s="82">
        <f t="shared" si="2"/>
        <v>61</v>
      </c>
      <c r="AB66" s="960"/>
      <c r="AC66" s="960"/>
      <c r="AD66" s="1511">
        <f t="shared" si="10"/>
        <v>0</v>
      </c>
    </row>
    <row r="67" spans="1:30" s="82" customFormat="1">
      <c r="A67" s="1572">
        <f t="shared" si="3"/>
        <v>59</v>
      </c>
      <c r="B67" s="469">
        <f t="shared" si="35"/>
        <v>383.71</v>
      </c>
      <c r="C67" s="1590">
        <f t="shared" si="36"/>
        <v>194574.92400000003</v>
      </c>
      <c r="D67" s="1582">
        <f>IFERROR(VLOOKUP(B67,'Sched J-1'!B:K,10,FALSE),0)</f>
        <v>2.2100000000000002E-2</v>
      </c>
      <c r="E67" s="790">
        <f t="shared" si="37"/>
        <v>4300.105820400001</v>
      </c>
      <c r="F67" s="790">
        <f t="shared" si="38"/>
        <v>2150.0529102000005</v>
      </c>
      <c r="G67" s="829" t="s">
        <v>662</v>
      </c>
      <c r="H67" s="829">
        <v>1</v>
      </c>
      <c r="I67" s="790">
        <f t="shared" si="39"/>
        <v>194574.92400000003</v>
      </c>
      <c r="J67" s="680">
        <f t="shared" si="40"/>
        <v>-190274.81817960003</v>
      </c>
      <c r="K67" s="842"/>
      <c r="L67" s="834">
        <f t="shared" si="41"/>
        <v>0.27169900000000002</v>
      </c>
      <c r="M67" s="842"/>
      <c r="N67" s="790">
        <f t="shared" si="42"/>
        <v>-51697.477824579153</v>
      </c>
      <c r="O67" s="790">
        <f t="shared" si="43"/>
        <v>-51697.477824579153</v>
      </c>
      <c r="Q67" s="82">
        <f t="shared" si="0"/>
        <v>62</v>
      </c>
      <c r="R67" s="932">
        <v>0</v>
      </c>
      <c r="S67" s="932">
        <v>194574.92400000003</v>
      </c>
      <c r="T67" s="1511">
        <f t="shared" si="13"/>
        <v>194574.92400000003</v>
      </c>
      <c r="U67" s="790"/>
      <c r="V67" s="82">
        <f t="shared" si="1"/>
        <v>62</v>
      </c>
      <c r="W67" s="960"/>
      <c r="X67" s="960"/>
      <c r="Y67" s="1511">
        <f t="shared" si="31"/>
        <v>0</v>
      </c>
      <c r="AA67" s="82">
        <f t="shared" si="2"/>
        <v>62</v>
      </c>
      <c r="AB67" s="960"/>
      <c r="AC67" s="960"/>
      <c r="AD67" s="1511">
        <f t="shared" si="10"/>
        <v>0</v>
      </c>
    </row>
    <row r="68" spans="1:30" s="82" customFormat="1">
      <c r="A68" s="1572">
        <f t="shared" si="3"/>
        <v>60</v>
      </c>
      <c r="B68" s="469">
        <f t="shared" si="35"/>
        <v>384.01</v>
      </c>
      <c r="C68" s="1590">
        <f t="shared" si="36"/>
        <v>48643.731000000007</v>
      </c>
      <c r="D68" s="1582">
        <f>IFERROR(VLOOKUP(B68,'Sched J-1'!B:K,10,FALSE),0)</f>
        <v>1.21E-2</v>
      </c>
      <c r="E68" s="790">
        <f t="shared" si="37"/>
        <v>588.58914510000011</v>
      </c>
      <c r="F68" s="790">
        <f t="shared" si="38"/>
        <v>294.29457255000005</v>
      </c>
      <c r="G68" s="829" t="s">
        <v>662</v>
      </c>
      <c r="H68" s="829">
        <v>1</v>
      </c>
      <c r="I68" s="790">
        <f t="shared" si="39"/>
        <v>48643.731000000007</v>
      </c>
      <c r="J68" s="680">
        <f t="shared" si="40"/>
        <v>-48055.141854900008</v>
      </c>
      <c r="K68" s="842"/>
      <c r="L68" s="834">
        <f t="shared" si="41"/>
        <v>0.27169900000000002</v>
      </c>
      <c r="M68" s="842"/>
      <c r="N68" s="790">
        <f t="shared" si="42"/>
        <v>-13056.533986834478</v>
      </c>
      <c r="O68" s="790">
        <f t="shared" si="43"/>
        <v>-13056.533986834478</v>
      </c>
      <c r="Q68" s="82">
        <f t="shared" si="0"/>
        <v>63</v>
      </c>
      <c r="R68" s="932">
        <v>0</v>
      </c>
      <c r="S68" s="932">
        <v>48643.731000000007</v>
      </c>
      <c r="T68" s="1511">
        <f t="shared" si="13"/>
        <v>48643.731000000007</v>
      </c>
      <c r="U68" s="790"/>
      <c r="V68" s="82">
        <f t="shared" si="1"/>
        <v>63</v>
      </c>
      <c r="W68" s="960"/>
      <c r="X68" s="960"/>
      <c r="Y68" s="1511">
        <f t="shared" si="31"/>
        <v>0</v>
      </c>
      <c r="AA68" s="82">
        <f t="shared" si="2"/>
        <v>63</v>
      </c>
      <c r="AB68" s="960"/>
      <c r="AC68" s="960"/>
      <c r="AD68" s="1511">
        <f t="shared" si="10"/>
        <v>0</v>
      </c>
    </row>
    <row r="69" spans="1:30" s="82" customFormat="1">
      <c r="A69" s="1572">
        <f t="shared" si="3"/>
        <v>61</v>
      </c>
      <c r="B69" s="469">
        <f t="shared" si="35"/>
        <v>385</v>
      </c>
      <c r="C69" s="1590">
        <f t="shared" si="36"/>
        <v>1395621.7241000002</v>
      </c>
      <c r="D69" s="1582">
        <f>IFERROR(VLOOKUP(B69,'Sched J-1'!B:K,10,FALSE),0)</f>
        <v>2.58E-2</v>
      </c>
      <c r="E69" s="790">
        <f t="shared" si="37"/>
        <v>36007.040481780008</v>
      </c>
      <c r="F69" s="790">
        <f t="shared" si="38"/>
        <v>18003.520240890004</v>
      </c>
      <c r="G69" s="829" t="s">
        <v>662</v>
      </c>
      <c r="H69" s="829">
        <v>1</v>
      </c>
      <c r="I69" s="790">
        <f t="shared" si="39"/>
        <v>1395621.7241000002</v>
      </c>
      <c r="J69" s="680">
        <f t="shared" si="40"/>
        <v>-1359614.6836182203</v>
      </c>
      <c r="K69" s="842"/>
      <c r="L69" s="834">
        <f t="shared" si="41"/>
        <v>0.27169900000000002</v>
      </c>
      <c r="M69" s="842"/>
      <c r="N69" s="790">
        <f t="shared" si="42"/>
        <v>-369405.94992438686</v>
      </c>
      <c r="O69" s="790">
        <f t="shared" si="43"/>
        <v>-369405.94992438686</v>
      </c>
      <c r="Q69" s="82">
        <f t="shared" si="0"/>
        <v>64</v>
      </c>
      <c r="R69" s="932">
        <v>628364.0593000002</v>
      </c>
      <c r="S69" s="932">
        <v>767257.66479999991</v>
      </c>
      <c r="T69" s="1511">
        <f t="shared" si="13"/>
        <v>1395621.7241000002</v>
      </c>
      <c r="U69" s="790"/>
      <c r="V69" s="82">
        <f t="shared" si="1"/>
        <v>64</v>
      </c>
      <c r="W69" s="960"/>
      <c r="X69" s="960"/>
      <c r="Y69" s="1511">
        <f t="shared" si="31"/>
        <v>0</v>
      </c>
      <c r="AA69" s="82">
        <f t="shared" si="2"/>
        <v>64</v>
      </c>
      <c r="AB69" s="960"/>
      <c r="AC69" s="960"/>
      <c r="AD69" s="1511">
        <f t="shared" ref="AD69:AD88" si="47">+AB69+AC69</f>
        <v>0</v>
      </c>
    </row>
    <row r="70" spans="1:30" s="82" customFormat="1">
      <c r="A70" s="1572">
        <f t="shared" si="3"/>
        <v>62</v>
      </c>
      <c r="B70" s="469">
        <f t="shared" si="35"/>
        <v>386</v>
      </c>
      <c r="C70" s="1590">
        <f t="shared" si="36"/>
        <v>0</v>
      </c>
      <c r="D70" s="1582">
        <f>IFERROR(VLOOKUP(B70,'Sched J-1'!B:K,10,FALSE),0)</f>
        <v>1.04E-2</v>
      </c>
      <c r="E70" s="790">
        <f t="shared" ref="E70:E71" si="48">D70*C70</f>
        <v>0</v>
      </c>
      <c r="F70" s="790">
        <f t="shared" ref="F70:F71" si="49">E70/2</f>
        <v>0</v>
      </c>
      <c r="G70" s="829" t="s">
        <v>662</v>
      </c>
      <c r="H70" s="829">
        <v>1</v>
      </c>
      <c r="I70" s="790">
        <f t="shared" ref="I70:I71" si="50">H70*C70</f>
        <v>0</v>
      </c>
      <c r="J70" s="680">
        <f t="shared" ref="J70:J71" si="51">+E70-I70</f>
        <v>0</v>
      </c>
      <c r="K70" s="842"/>
      <c r="L70" s="834">
        <f t="shared" si="41"/>
        <v>0.27169900000000002</v>
      </c>
      <c r="M70" s="842"/>
      <c r="N70" s="790">
        <f t="shared" ref="N70:N71" si="52">+J70*L70</f>
        <v>0</v>
      </c>
      <c r="O70" s="790">
        <f t="shared" si="43"/>
        <v>0</v>
      </c>
      <c r="Q70" s="82">
        <f t="shared" ref="Q70:Q95" si="53">1+Q69</f>
        <v>65</v>
      </c>
      <c r="R70" s="932">
        <v>0</v>
      </c>
      <c r="S70" s="932">
        <v>0</v>
      </c>
      <c r="T70" s="1511">
        <f t="shared" si="13"/>
        <v>0</v>
      </c>
      <c r="U70" s="790"/>
      <c r="V70" s="82">
        <f t="shared" si="1"/>
        <v>65</v>
      </c>
      <c r="W70" s="960"/>
      <c r="X70" s="960"/>
      <c r="Y70" s="1511">
        <f t="shared" ref="Y70:Y88" si="54">+W70+X70</f>
        <v>0</v>
      </c>
      <c r="AA70" s="82">
        <f t="shared" si="2"/>
        <v>65</v>
      </c>
      <c r="AB70" s="960"/>
      <c r="AC70" s="960"/>
      <c r="AD70" s="1511">
        <f t="shared" si="47"/>
        <v>0</v>
      </c>
    </row>
    <row r="71" spans="1:30" s="82" customFormat="1">
      <c r="A71" s="1572">
        <f t="shared" si="3"/>
        <v>63</v>
      </c>
      <c r="B71" s="469">
        <f t="shared" si="35"/>
        <v>387</v>
      </c>
      <c r="C71" s="1591">
        <f t="shared" si="36"/>
        <v>0</v>
      </c>
      <c r="D71" s="1582">
        <f>IFERROR(VLOOKUP(B71,'Sched J-1'!B:K,10,FALSE),0)</f>
        <v>2.06E-2</v>
      </c>
      <c r="E71" s="791">
        <f t="shared" si="48"/>
        <v>0</v>
      </c>
      <c r="F71" s="791">
        <f t="shared" si="49"/>
        <v>0</v>
      </c>
      <c r="G71" s="829" t="s">
        <v>662</v>
      </c>
      <c r="H71" s="829">
        <v>1</v>
      </c>
      <c r="I71" s="791">
        <f t="shared" si="50"/>
        <v>0</v>
      </c>
      <c r="J71" s="733">
        <f t="shared" si="51"/>
        <v>0</v>
      </c>
      <c r="K71" s="842"/>
      <c r="L71" s="834">
        <f t="shared" si="41"/>
        <v>0.27169900000000002</v>
      </c>
      <c r="M71" s="842"/>
      <c r="N71" s="791">
        <f t="shared" si="52"/>
        <v>0</v>
      </c>
      <c r="O71" s="791">
        <f t="shared" si="43"/>
        <v>0</v>
      </c>
      <c r="Q71" s="82">
        <f t="shared" si="53"/>
        <v>66</v>
      </c>
      <c r="R71" s="932">
        <v>0</v>
      </c>
      <c r="S71" s="932">
        <v>0</v>
      </c>
      <c r="T71" s="1511">
        <f t="shared" ref="T71:T88" si="55">+R71+S71</f>
        <v>0</v>
      </c>
      <c r="U71" s="790"/>
      <c r="V71" s="82">
        <f t="shared" si="1"/>
        <v>66</v>
      </c>
      <c r="W71" s="960"/>
      <c r="X71" s="960"/>
      <c r="Y71" s="1511">
        <f t="shared" si="54"/>
        <v>0</v>
      </c>
      <c r="AA71" s="82">
        <f t="shared" si="2"/>
        <v>66</v>
      </c>
      <c r="AB71" s="960"/>
      <c r="AC71" s="960"/>
      <c r="AD71" s="1511">
        <f t="shared" si="47"/>
        <v>0</v>
      </c>
    </row>
    <row r="72" spans="1:30">
      <c r="A72" s="1572">
        <f t="shared" si="3"/>
        <v>64</v>
      </c>
      <c r="B72" s="1030" t="s">
        <v>861</v>
      </c>
      <c r="C72" s="1029">
        <f>SUM(C55:C71)</f>
        <v>14951363.516176503</v>
      </c>
      <c r="D72" s="1585"/>
      <c r="E72" s="1029">
        <f>SUM(E55:E71)</f>
        <v>338054.89976973546</v>
      </c>
      <c r="F72" s="1029">
        <f>SUM(F55:F71)</f>
        <v>169027.44988486773</v>
      </c>
      <c r="G72" s="834"/>
      <c r="H72" s="834"/>
      <c r="I72" s="1029">
        <f>SUM(I55:I71)</f>
        <v>14951363.516176503</v>
      </c>
      <c r="J72" s="1029">
        <f>SUM(J55:J71)</f>
        <v>-14613308.616406767</v>
      </c>
      <c r="L72" s="834"/>
      <c r="N72" s="1029">
        <f>SUM(N55:N71)</f>
        <v>-3970421.3377691023</v>
      </c>
      <c r="O72" s="1029">
        <f>SUM(O55:O71)</f>
        <v>-3970421.3377691023</v>
      </c>
      <c r="Q72" s="82">
        <f t="shared" si="53"/>
        <v>67</v>
      </c>
      <c r="R72" s="1511">
        <f>SUM(R55:R71)</f>
        <v>7936779.1486125002</v>
      </c>
      <c r="S72" s="1511">
        <f>SUM(S55:S71)</f>
        <v>7014584.3675640002</v>
      </c>
      <c r="T72" s="1511">
        <f t="shared" si="55"/>
        <v>14951363.516176499</v>
      </c>
      <c r="U72" s="790"/>
      <c r="V72" s="82">
        <f t="shared" si="1"/>
        <v>67</v>
      </c>
      <c r="W72" s="960"/>
      <c r="X72" s="960"/>
      <c r="Y72" s="1511">
        <f t="shared" si="54"/>
        <v>0</v>
      </c>
      <c r="Z72" s="75"/>
      <c r="AA72" s="82">
        <f t="shared" si="2"/>
        <v>67</v>
      </c>
      <c r="AB72" s="960"/>
      <c r="AC72" s="960"/>
      <c r="AD72" s="1511">
        <f t="shared" si="47"/>
        <v>0</v>
      </c>
    </row>
    <row r="73" spans="1:30">
      <c r="A73" s="1572">
        <f t="shared" ref="A73" si="56">A72+1</f>
        <v>65</v>
      </c>
      <c r="C73" s="1029"/>
      <c r="D73" s="1585"/>
      <c r="E73" s="1029"/>
      <c r="F73" s="1029"/>
      <c r="G73" s="834"/>
      <c r="H73" s="834"/>
      <c r="I73" s="1029"/>
      <c r="J73" s="1029"/>
      <c r="L73" s="834"/>
      <c r="N73" s="1029"/>
      <c r="O73" s="1029"/>
      <c r="Q73" s="82">
        <f t="shared" si="53"/>
        <v>68</v>
      </c>
      <c r="T73" s="1511">
        <f t="shared" si="55"/>
        <v>0</v>
      </c>
      <c r="U73" s="790"/>
      <c r="V73" s="75">
        <f t="shared" ref="V73:V95" si="57">1+V72</f>
        <v>68</v>
      </c>
      <c r="Y73" s="1511">
        <f t="shared" si="54"/>
        <v>0</v>
      </c>
      <c r="Z73" s="75"/>
      <c r="AA73" s="82">
        <f t="shared" si="2"/>
        <v>68</v>
      </c>
      <c r="AB73" s="75"/>
      <c r="AC73" s="75"/>
      <c r="AD73" s="1511">
        <f t="shared" si="47"/>
        <v>0</v>
      </c>
    </row>
    <row r="74" spans="1:30">
      <c r="A74" s="1572">
        <f t="shared" ref="A74:A76" si="58">A73+1</f>
        <v>66</v>
      </c>
      <c r="B74" s="1030" t="s">
        <v>860</v>
      </c>
      <c r="C74" s="1592">
        <f>C72+C51</f>
        <v>104962791.03294252</v>
      </c>
      <c r="D74" s="1593"/>
      <c r="E74" s="1592">
        <f>E72+E51</f>
        <v>2665189.9646127252</v>
      </c>
      <c r="F74" s="1592">
        <f>F72+F51</f>
        <v>1332594.9823063626</v>
      </c>
      <c r="G74" s="1029"/>
      <c r="H74" s="1029"/>
      <c r="I74" s="1592">
        <f>I72+I51</f>
        <v>19637208.314922512</v>
      </c>
      <c r="J74" s="1592">
        <f>J72+J51</f>
        <v>-16972018.350309789</v>
      </c>
      <c r="K74" s="1029"/>
      <c r="L74" s="1029"/>
      <c r="M74" s="1029"/>
      <c r="N74" s="1592">
        <f>N72+N51</f>
        <v>-4611280.4137608195</v>
      </c>
      <c r="O74" s="1592">
        <f>O72+O51</f>
        <v>-4611280.4137608195</v>
      </c>
      <c r="Q74" s="82">
        <f t="shared" si="53"/>
        <v>69</v>
      </c>
      <c r="T74" s="1511">
        <f t="shared" si="55"/>
        <v>0</v>
      </c>
      <c r="U74" s="790"/>
      <c r="V74" s="75">
        <f t="shared" si="57"/>
        <v>69</v>
      </c>
      <c r="Y74" s="1511">
        <f t="shared" si="54"/>
        <v>0</v>
      </c>
      <c r="Z74" s="75"/>
      <c r="AA74" s="82">
        <f t="shared" si="2"/>
        <v>69</v>
      </c>
      <c r="AB74" s="75"/>
      <c r="AC74" s="75"/>
      <c r="AD74" s="1511">
        <f t="shared" si="47"/>
        <v>0</v>
      </c>
    </row>
    <row r="75" spans="1:30">
      <c r="A75" s="1572">
        <f t="shared" si="58"/>
        <v>67</v>
      </c>
      <c r="C75" s="1029"/>
      <c r="D75" s="1585"/>
      <c r="E75" s="1029"/>
      <c r="F75" s="1029"/>
      <c r="G75" s="834"/>
      <c r="H75" s="834"/>
      <c r="I75" s="1029"/>
      <c r="J75" s="1029"/>
      <c r="L75" s="834"/>
      <c r="N75" s="1029"/>
      <c r="O75" s="1029"/>
      <c r="Q75" s="82">
        <f t="shared" si="53"/>
        <v>70</v>
      </c>
      <c r="T75" s="1511">
        <f t="shared" si="55"/>
        <v>0</v>
      </c>
      <c r="U75" s="790"/>
      <c r="V75" s="75">
        <f t="shared" si="57"/>
        <v>70</v>
      </c>
      <c r="Y75" s="1511">
        <f t="shared" si="54"/>
        <v>0</v>
      </c>
      <c r="Z75" s="75"/>
      <c r="AA75" s="82">
        <f t="shared" si="2"/>
        <v>70</v>
      </c>
      <c r="AB75" s="75"/>
      <c r="AC75" s="75"/>
      <c r="AD75" s="1511">
        <f t="shared" si="47"/>
        <v>0</v>
      </c>
    </row>
    <row r="76" spans="1:30">
      <c r="A76" s="1572">
        <f t="shared" si="58"/>
        <v>68</v>
      </c>
      <c r="B76" s="1594" t="s">
        <v>747</v>
      </c>
      <c r="C76" s="1590"/>
      <c r="D76" s="1582"/>
      <c r="E76" s="805"/>
      <c r="F76" s="805"/>
      <c r="G76" s="829"/>
      <c r="H76" s="829"/>
      <c r="I76" s="1026"/>
      <c r="J76" s="668"/>
      <c r="L76" s="834"/>
      <c r="N76" s="805"/>
      <c r="O76" s="805"/>
      <c r="Q76" s="82">
        <f t="shared" si="53"/>
        <v>71</v>
      </c>
      <c r="R76" s="960"/>
      <c r="S76" s="960"/>
      <c r="T76" s="1511">
        <f t="shared" si="55"/>
        <v>0</v>
      </c>
      <c r="U76" s="790"/>
      <c r="V76" s="75">
        <f t="shared" si="57"/>
        <v>71</v>
      </c>
      <c r="W76" s="960"/>
      <c r="X76" s="960"/>
      <c r="Y76" s="1511">
        <f t="shared" si="54"/>
        <v>0</v>
      </c>
      <c r="Z76" s="75"/>
      <c r="AA76" s="82">
        <f t="shared" si="2"/>
        <v>71</v>
      </c>
      <c r="AB76" s="960"/>
      <c r="AC76" s="960"/>
      <c r="AD76" s="1511">
        <f t="shared" si="47"/>
        <v>0</v>
      </c>
    </row>
    <row r="77" spans="1:30">
      <c r="A77" s="1572">
        <f t="shared" ref="A77:A95" si="59">A76+1</f>
        <v>69</v>
      </c>
      <c r="B77" s="469" t="str">
        <f>'Sched D-2'!C56</f>
        <v>Other Utility Plant (Corporate Shared Assets - Note 1a)</v>
      </c>
      <c r="C77" s="1018">
        <f>'Sched D-2'!E56</f>
        <v>991651.94453550014</v>
      </c>
      <c r="D77" s="1582">
        <f>'Sched J-1'!K71</f>
        <v>5.7465446689640674E-2</v>
      </c>
      <c r="E77" s="574">
        <f t="shared" ref="E77:E81" si="60">C77*D77</f>
        <v>56985.72195338329</v>
      </c>
      <c r="F77" s="574">
        <f t="shared" ref="F77:F81" si="61">E77/2</f>
        <v>28492.860976691645</v>
      </c>
      <c r="G77" s="829" t="s">
        <v>807</v>
      </c>
      <c r="H77" s="829" t="s">
        <v>807</v>
      </c>
      <c r="I77" s="574">
        <f>HLOOKUP(Attach,$AB$6:$AD$264,$Q77,FALSE)</f>
        <v>0</v>
      </c>
      <c r="J77" s="574">
        <f t="shared" ref="J77:J81" si="62">+E77-I77</f>
        <v>56985.72195338329</v>
      </c>
      <c r="L77" s="834">
        <f>COMPRATE</f>
        <v>0.27169900000000002</v>
      </c>
      <c r="N77" s="574">
        <f t="shared" ref="N77:N81" si="63">+J77*L77</f>
        <v>15482.963669012288</v>
      </c>
      <c r="O77" s="574">
        <f t="shared" ref="O77:O81" si="64">N77</f>
        <v>15482.963669012288</v>
      </c>
      <c r="Q77" s="82">
        <f t="shared" si="53"/>
        <v>72</v>
      </c>
      <c r="R77" s="960"/>
      <c r="S77" s="960"/>
      <c r="T77" s="1511">
        <f t="shared" si="55"/>
        <v>0</v>
      </c>
      <c r="U77" s="790"/>
      <c r="V77" s="75">
        <f t="shared" si="57"/>
        <v>72</v>
      </c>
      <c r="W77" s="960"/>
      <c r="X77" s="960"/>
      <c r="Y77" s="1511">
        <f t="shared" si="54"/>
        <v>0</v>
      </c>
      <c r="Z77" s="75"/>
      <c r="AA77" s="82">
        <f t="shared" ref="AA77:AA95" si="65">1+AA76</f>
        <v>72</v>
      </c>
      <c r="AB77" s="960"/>
      <c r="AC77" s="960"/>
      <c r="AD77" s="1511">
        <f t="shared" si="47"/>
        <v>0</v>
      </c>
    </row>
    <row r="78" spans="1:30">
      <c r="A78" s="1572">
        <f t="shared" si="59"/>
        <v>70</v>
      </c>
      <c r="B78" s="469" t="str">
        <f>'Sched D-2'!C57</f>
        <v>Other Utility Plant (Corporate Shared Assets - Note 1b)</v>
      </c>
      <c r="C78" s="1590">
        <f>'Sched D-2'!E57</f>
        <v>84513.279546000005</v>
      </c>
      <c r="D78" s="1582">
        <f>'Sched J-1'!K72</f>
        <v>8.2676839226465001E-2</v>
      </c>
      <c r="E78" s="790">
        <f t="shared" si="60"/>
        <v>6987.2908255259354</v>
      </c>
      <c r="F78" s="790">
        <f>E78/2</f>
        <v>3493.6454127629677</v>
      </c>
      <c r="G78" s="829" t="s">
        <v>807</v>
      </c>
      <c r="H78" s="829" t="s">
        <v>807</v>
      </c>
      <c r="I78" s="790">
        <f>HLOOKUP(Attach,$AB$6:$AD$264,$Q78,FALSE)</f>
        <v>0</v>
      </c>
      <c r="J78" s="668">
        <f t="shared" si="62"/>
        <v>6987.2908255259354</v>
      </c>
      <c r="L78" s="834">
        <f>COMPRATE</f>
        <v>0.27169900000000002</v>
      </c>
      <c r="N78" s="790">
        <f t="shared" si="63"/>
        <v>1898.4399300045714</v>
      </c>
      <c r="O78" s="790">
        <f t="shared" si="64"/>
        <v>1898.4399300045714</v>
      </c>
      <c r="Q78" s="82">
        <f t="shared" si="53"/>
        <v>73</v>
      </c>
      <c r="R78" s="960"/>
      <c r="S78" s="960"/>
      <c r="T78" s="1511">
        <f t="shared" si="55"/>
        <v>0</v>
      </c>
      <c r="U78" s="790"/>
      <c r="V78" s="75">
        <f t="shared" si="57"/>
        <v>73</v>
      </c>
      <c r="W78" s="960"/>
      <c r="X78" s="960"/>
      <c r="Y78" s="1511">
        <f t="shared" si="54"/>
        <v>0</v>
      </c>
      <c r="Z78" s="75"/>
      <c r="AA78" s="82">
        <f t="shared" si="65"/>
        <v>73</v>
      </c>
      <c r="AB78" s="960"/>
      <c r="AC78" s="960"/>
      <c r="AD78" s="1511">
        <f t="shared" si="47"/>
        <v>0</v>
      </c>
    </row>
    <row r="79" spans="1:30">
      <c r="A79" s="1572">
        <f t="shared" si="59"/>
        <v>71</v>
      </c>
      <c r="B79" s="469" t="str">
        <f>'Sched D-2'!C58</f>
        <v>Other Utility Plant (Corporate Shared Assets - Note 2a)</v>
      </c>
      <c r="C79" s="1590">
        <f>'Sched D-2'!E58</f>
        <v>2602885.1941192918</v>
      </c>
      <c r="D79" s="1582">
        <f>'Sched J-1'!K74</f>
        <v>7.7209475591929311E-2</v>
      </c>
      <c r="E79" s="790">
        <f t="shared" si="60"/>
        <v>200967.40086394764</v>
      </c>
      <c r="F79" s="790">
        <f t="shared" si="61"/>
        <v>100483.70043197382</v>
      </c>
      <c r="G79" s="829" t="s">
        <v>807</v>
      </c>
      <c r="H79" s="829" t="s">
        <v>807</v>
      </c>
      <c r="I79" s="790">
        <f>HLOOKUP(Attach,$AB$6:$AD$264,$Q79,FALSE)</f>
        <v>0</v>
      </c>
      <c r="J79" s="668">
        <f t="shared" si="62"/>
        <v>200967.40086394764</v>
      </c>
      <c r="L79" s="834">
        <f>COMPRATE</f>
        <v>0.27169900000000002</v>
      </c>
      <c r="N79" s="790">
        <f t="shared" si="63"/>
        <v>54602.641847333711</v>
      </c>
      <c r="O79" s="790">
        <f t="shared" si="64"/>
        <v>54602.641847333711</v>
      </c>
      <c r="Q79" s="82">
        <f t="shared" si="53"/>
        <v>74</v>
      </c>
      <c r="R79" s="960"/>
      <c r="S79" s="960"/>
      <c r="T79" s="1511">
        <f t="shared" si="55"/>
        <v>0</v>
      </c>
      <c r="U79" s="790"/>
      <c r="V79" s="75">
        <f t="shared" si="57"/>
        <v>74</v>
      </c>
      <c r="W79" s="960"/>
      <c r="X79" s="960"/>
      <c r="Y79" s="1511">
        <f t="shared" si="54"/>
        <v>0</v>
      </c>
      <c r="Z79" s="75"/>
      <c r="AA79" s="82">
        <f t="shared" si="65"/>
        <v>74</v>
      </c>
      <c r="AB79" s="960"/>
      <c r="AC79" s="960"/>
      <c r="AD79" s="1511">
        <f t="shared" si="47"/>
        <v>0</v>
      </c>
    </row>
    <row r="80" spans="1:30">
      <c r="A80" s="1572">
        <f t="shared" si="59"/>
        <v>72</v>
      </c>
      <c r="B80" s="469" t="str">
        <f>'Sched D-2'!C59</f>
        <v>Other Utility Plant (Corporate Shared Assets - Note 2b)</v>
      </c>
      <c r="C80" s="1590">
        <f>'Sched D-2'!E59</f>
        <v>305084.60563168395</v>
      </c>
      <c r="D80" s="1582">
        <f>'Sched J-1'!K75</f>
        <v>5.2082738484275144E-2</v>
      </c>
      <c r="E80" s="790">
        <f t="shared" si="60"/>
        <v>15889.641730693211</v>
      </c>
      <c r="F80" s="790">
        <f t="shared" si="61"/>
        <v>7944.8208653466054</v>
      </c>
      <c r="G80" s="829" t="s">
        <v>807</v>
      </c>
      <c r="H80" s="829" t="s">
        <v>807</v>
      </c>
      <c r="I80" s="790">
        <f>HLOOKUP(Attach,$AB$6:$AD$264,$Q80,FALSE)</f>
        <v>0</v>
      </c>
      <c r="J80" s="668">
        <f t="shared" si="62"/>
        <v>15889.641730693211</v>
      </c>
      <c r="L80" s="834">
        <f>COMPRATE</f>
        <v>0.27169900000000002</v>
      </c>
      <c r="N80" s="790">
        <f t="shared" si="63"/>
        <v>4317.1997685876149</v>
      </c>
      <c r="O80" s="790">
        <f t="shared" si="64"/>
        <v>4317.1997685876149</v>
      </c>
      <c r="Q80" s="82">
        <f t="shared" si="53"/>
        <v>75</v>
      </c>
      <c r="R80" s="960"/>
      <c r="S80" s="960"/>
      <c r="T80" s="1511">
        <f t="shared" si="55"/>
        <v>0</v>
      </c>
      <c r="U80" s="790"/>
      <c r="V80" s="75">
        <f t="shared" si="57"/>
        <v>75</v>
      </c>
      <c r="W80" s="960"/>
      <c r="X80" s="960"/>
      <c r="Y80" s="1511">
        <f t="shared" si="54"/>
        <v>0</v>
      </c>
      <c r="Z80" s="75"/>
      <c r="AA80" s="82">
        <f t="shared" si="65"/>
        <v>75</v>
      </c>
      <c r="AB80" s="960"/>
      <c r="AC80" s="960"/>
      <c r="AD80" s="1511">
        <f t="shared" si="47"/>
        <v>0</v>
      </c>
    </row>
    <row r="81" spans="1:30">
      <c r="A81" s="1572">
        <f t="shared" si="59"/>
        <v>73</v>
      </c>
      <c r="B81" s="469" t="str">
        <f>'Sched D-2'!C60</f>
        <v>Other Utility Plant (Corporate Shared Assets - Note 2c)</v>
      </c>
      <c r="C81" s="1591">
        <f>'Sched D-2'!E60</f>
        <v>1053073.9432249651</v>
      </c>
      <c r="D81" s="1582">
        <f>'Sched J-1'!K76</f>
        <v>0.13549971528226756</v>
      </c>
      <c r="E81" s="791">
        <f t="shared" si="60"/>
        <v>142691.21947815758</v>
      </c>
      <c r="F81" s="791">
        <f t="shared" si="61"/>
        <v>71345.609739078791</v>
      </c>
      <c r="G81" s="829" t="s">
        <v>807</v>
      </c>
      <c r="H81" s="829" t="s">
        <v>807</v>
      </c>
      <c r="I81" s="791">
        <f>HLOOKUP(Attach,$AB$6:$AD$264,$Q81,FALSE)</f>
        <v>0</v>
      </c>
      <c r="J81" s="733">
        <f t="shared" si="62"/>
        <v>142691.21947815758</v>
      </c>
      <c r="L81" s="834">
        <f>COMPRATE</f>
        <v>0.27169900000000002</v>
      </c>
      <c r="N81" s="791">
        <f t="shared" si="63"/>
        <v>38769.06164099594</v>
      </c>
      <c r="O81" s="791">
        <f t="shared" si="64"/>
        <v>38769.06164099594</v>
      </c>
      <c r="Q81" s="82">
        <f t="shared" si="53"/>
        <v>76</v>
      </c>
      <c r="R81" s="960"/>
      <c r="S81" s="960"/>
      <c r="T81" s="1511">
        <f t="shared" si="55"/>
        <v>0</v>
      </c>
      <c r="U81" s="790"/>
      <c r="V81" s="75">
        <f t="shared" si="57"/>
        <v>76</v>
      </c>
      <c r="W81" s="960"/>
      <c r="X81" s="960"/>
      <c r="Y81" s="1511">
        <f t="shared" si="54"/>
        <v>0</v>
      </c>
      <c r="Z81" s="75"/>
      <c r="AA81" s="82">
        <f t="shared" si="65"/>
        <v>76</v>
      </c>
      <c r="AB81" s="960"/>
      <c r="AC81" s="960"/>
      <c r="AD81" s="1511">
        <f t="shared" si="47"/>
        <v>0</v>
      </c>
    </row>
    <row r="82" spans="1:30">
      <c r="A82" s="1572">
        <f t="shared" si="59"/>
        <v>74</v>
      </c>
      <c r="B82" s="469"/>
      <c r="C82" s="1029">
        <f>SUM(C77:C81)</f>
        <v>5037208.9670574404</v>
      </c>
      <c r="D82" s="1582"/>
      <c r="E82" s="1029">
        <f>SUM(E77:E81)</f>
        <v>423521.27485170768</v>
      </c>
      <c r="F82" s="1029">
        <f>SUM(F77:F81)</f>
        <v>211760.63742585384</v>
      </c>
      <c r="G82" s="829"/>
      <c r="H82" s="829"/>
      <c r="I82" s="1029">
        <f>SUM(I77:I81)</f>
        <v>0</v>
      </c>
      <c r="J82" s="1029">
        <f>SUM(J77:J81)</f>
        <v>423521.27485170768</v>
      </c>
      <c r="L82" s="834"/>
      <c r="N82" s="1029">
        <f>SUM(N77:N81)</f>
        <v>115070.30685593412</v>
      </c>
      <c r="O82" s="1029">
        <f>SUM(O77:O81)</f>
        <v>115070.30685593412</v>
      </c>
      <c r="Q82" s="82">
        <f t="shared" si="53"/>
        <v>77</v>
      </c>
      <c r="R82" s="75"/>
      <c r="S82" s="75"/>
      <c r="T82" s="1511">
        <f t="shared" si="55"/>
        <v>0</v>
      </c>
      <c r="U82" s="790"/>
      <c r="V82" s="75">
        <f t="shared" si="57"/>
        <v>77</v>
      </c>
      <c r="Y82" s="1511">
        <f t="shared" si="54"/>
        <v>0</v>
      </c>
      <c r="Z82" s="75"/>
      <c r="AA82" s="82">
        <f t="shared" si="65"/>
        <v>77</v>
      </c>
      <c r="AB82" s="75"/>
      <c r="AC82" s="75"/>
      <c r="AD82" s="1511">
        <f t="shared" si="47"/>
        <v>0</v>
      </c>
    </row>
    <row r="83" spans="1:30">
      <c r="A83" s="1572">
        <f t="shared" si="59"/>
        <v>75</v>
      </c>
      <c r="B83" s="469"/>
      <c r="C83" s="1590"/>
      <c r="D83" s="1582"/>
      <c r="E83" s="805"/>
      <c r="F83" s="805"/>
      <c r="G83" s="829"/>
      <c r="H83" s="829"/>
      <c r="I83" s="805"/>
      <c r="J83" s="668"/>
      <c r="L83" s="834"/>
      <c r="N83" s="805"/>
      <c r="O83" s="805"/>
      <c r="Q83" s="82">
        <f t="shared" si="53"/>
        <v>78</v>
      </c>
      <c r="R83" s="75"/>
      <c r="S83" s="75"/>
      <c r="T83" s="1511">
        <f t="shared" si="55"/>
        <v>0</v>
      </c>
      <c r="U83" s="790"/>
      <c r="V83" s="75">
        <f t="shared" si="57"/>
        <v>78</v>
      </c>
      <c r="Y83" s="1511">
        <f t="shared" si="54"/>
        <v>0</v>
      </c>
      <c r="Z83" s="75"/>
      <c r="AA83" s="82">
        <f t="shared" si="65"/>
        <v>78</v>
      </c>
      <c r="AB83" s="75"/>
      <c r="AC83" s="75"/>
      <c r="AD83" s="1511">
        <f t="shared" si="47"/>
        <v>0</v>
      </c>
    </row>
    <row r="84" spans="1:30" ht="13.5" thickBot="1">
      <c r="A84" s="1572">
        <f t="shared" si="59"/>
        <v>76</v>
      </c>
      <c r="B84" s="1595" t="s">
        <v>818</v>
      </c>
      <c r="C84" s="1596">
        <f>C74+C82</f>
        <v>109999999.99999996</v>
      </c>
      <c r="D84" s="1585"/>
      <c r="E84" s="1596">
        <f>E74+E82</f>
        <v>3088711.2394644329</v>
      </c>
      <c r="F84" s="1596">
        <f>F74+F82</f>
        <v>1544355.6197322165</v>
      </c>
      <c r="I84" s="1596">
        <f>I74+I82</f>
        <v>19637208.314922512</v>
      </c>
      <c r="O84" s="1596">
        <f>O74+O82</f>
        <v>-4496210.1069048857</v>
      </c>
      <c r="Q84" s="82">
        <f t="shared" si="53"/>
        <v>79</v>
      </c>
      <c r="R84" s="75"/>
      <c r="S84" s="75"/>
      <c r="T84" s="1511">
        <f t="shared" si="55"/>
        <v>0</v>
      </c>
      <c r="U84" s="790"/>
      <c r="V84" s="75">
        <f t="shared" si="57"/>
        <v>79</v>
      </c>
      <c r="W84" s="75"/>
      <c r="X84" s="75"/>
      <c r="Y84" s="1511">
        <f t="shared" si="54"/>
        <v>0</v>
      </c>
      <c r="AA84" s="82">
        <f t="shared" si="65"/>
        <v>79</v>
      </c>
      <c r="AD84" s="1511">
        <f t="shared" si="47"/>
        <v>0</v>
      </c>
    </row>
    <row r="85" spans="1:30" ht="13.5" thickTop="1">
      <c r="A85" s="1572">
        <f t="shared" si="59"/>
        <v>77</v>
      </c>
      <c r="D85" s="1585"/>
      <c r="Q85" s="82">
        <f t="shared" si="53"/>
        <v>80</v>
      </c>
      <c r="R85" s="75"/>
      <c r="S85" s="75"/>
      <c r="T85" s="1511">
        <f t="shared" si="55"/>
        <v>0</v>
      </c>
      <c r="U85" s="790"/>
      <c r="V85" s="75">
        <f t="shared" si="57"/>
        <v>80</v>
      </c>
      <c r="W85" s="75"/>
      <c r="X85" s="75"/>
      <c r="Y85" s="1511">
        <f t="shared" si="54"/>
        <v>0</v>
      </c>
      <c r="AA85" s="82">
        <f t="shared" si="65"/>
        <v>80</v>
      </c>
      <c r="AD85" s="1511">
        <f t="shared" si="47"/>
        <v>0</v>
      </c>
    </row>
    <row r="86" spans="1:30">
      <c r="A86" s="1572">
        <f t="shared" si="59"/>
        <v>78</v>
      </c>
      <c r="B86" s="82" t="s">
        <v>506</v>
      </c>
      <c r="D86" s="1585"/>
      <c r="G86" s="834"/>
      <c r="H86" s="834"/>
      <c r="J86" s="680">
        <f>+'Sched H-5'!F12+'Sched H-5'!F17</f>
        <v>420290.06130833318</v>
      </c>
      <c r="L86" s="834">
        <f>COMPRATE</f>
        <v>0.27169900000000002</v>
      </c>
      <c r="N86" s="790"/>
      <c r="O86" s="680">
        <f>+J86*L86</f>
        <v>114192.38936741283</v>
      </c>
      <c r="Q86" s="82">
        <f t="shared" si="53"/>
        <v>81</v>
      </c>
      <c r="R86" s="75"/>
      <c r="S86" s="75"/>
      <c r="T86" s="1511">
        <f t="shared" si="55"/>
        <v>0</v>
      </c>
      <c r="U86" s="790"/>
      <c r="V86" s="75">
        <f t="shared" si="57"/>
        <v>81</v>
      </c>
      <c r="W86" s="75"/>
      <c r="X86" s="75"/>
      <c r="Y86" s="1511">
        <f t="shared" si="54"/>
        <v>0</v>
      </c>
      <c r="AA86" s="82">
        <f t="shared" si="65"/>
        <v>81</v>
      </c>
      <c r="AD86" s="1511">
        <f t="shared" si="47"/>
        <v>0</v>
      </c>
    </row>
    <row r="87" spans="1:30">
      <c r="A87" s="1572">
        <f t="shared" si="59"/>
        <v>79</v>
      </c>
      <c r="B87" s="82" t="s">
        <v>674</v>
      </c>
      <c r="D87" s="1585"/>
      <c r="G87" s="834"/>
      <c r="H87" s="834"/>
      <c r="J87" s="680">
        <f>'Sched H-5'!F17+'Sched H-5'!F19</f>
        <v>429728.93984345905</v>
      </c>
      <c r="L87" s="834">
        <f>COMPRATE</f>
        <v>0.27169900000000002</v>
      </c>
      <c r="N87" s="790"/>
      <c r="O87" s="680">
        <f>+J87*L87</f>
        <v>116756.92322652799</v>
      </c>
      <c r="Q87" s="82">
        <f t="shared" si="53"/>
        <v>82</v>
      </c>
      <c r="R87" s="75"/>
      <c r="S87" s="75"/>
      <c r="T87" s="1511">
        <f t="shared" si="55"/>
        <v>0</v>
      </c>
      <c r="U87" s="790"/>
      <c r="V87" s="75">
        <f t="shared" si="57"/>
        <v>82</v>
      </c>
      <c r="W87" s="75"/>
      <c r="X87" s="75"/>
      <c r="Y87" s="1511">
        <f t="shared" si="54"/>
        <v>0</v>
      </c>
      <c r="AA87" s="82">
        <f t="shared" si="65"/>
        <v>82</v>
      </c>
      <c r="AD87" s="1511">
        <f t="shared" si="47"/>
        <v>0</v>
      </c>
    </row>
    <row r="88" spans="1:30">
      <c r="A88" s="1572">
        <f t="shared" si="59"/>
        <v>80</v>
      </c>
      <c r="B88" s="82" t="s">
        <v>505</v>
      </c>
      <c r="D88" s="1585"/>
      <c r="G88" s="834"/>
      <c r="H88" s="834"/>
      <c r="J88" s="680">
        <f ca="1">+'Sched H-7'!F29</f>
        <v>145507.70297257428</v>
      </c>
      <c r="L88" s="834">
        <f>COMPRATE</f>
        <v>0.27169900000000002</v>
      </c>
      <c r="N88" s="790"/>
      <c r="O88" s="680">
        <f ca="1">+J88*L88</f>
        <v>39534.297389945459</v>
      </c>
      <c r="Q88" s="82">
        <f t="shared" si="53"/>
        <v>83</v>
      </c>
      <c r="R88" s="75"/>
      <c r="S88" s="75"/>
      <c r="T88" s="1511">
        <f t="shared" si="55"/>
        <v>0</v>
      </c>
      <c r="U88" s="790"/>
      <c r="V88" s="75">
        <f t="shared" si="57"/>
        <v>83</v>
      </c>
      <c r="W88" s="75"/>
      <c r="X88" s="75"/>
      <c r="Y88" s="1511">
        <f t="shared" si="54"/>
        <v>0</v>
      </c>
      <c r="AA88" s="82">
        <f t="shared" si="65"/>
        <v>83</v>
      </c>
      <c r="AD88" s="1511">
        <f t="shared" si="47"/>
        <v>0</v>
      </c>
    </row>
    <row r="89" spans="1:30">
      <c r="A89" s="1572">
        <f t="shared" si="59"/>
        <v>81</v>
      </c>
      <c r="D89" s="1585"/>
      <c r="G89" s="834"/>
      <c r="H89" s="834"/>
      <c r="J89" s="790"/>
      <c r="L89" s="834"/>
      <c r="N89" s="790"/>
      <c r="O89" s="790"/>
      <c r="Q89" s="82">
        <f t="shared" si="53"/>
        <v>84</v>
      </c>
      <c r="R89" s="75"/>
      <c r="S89" s="75"/>
      <c r="T89" s="790"/>
      <c r="U89" s="790"/>
      <c r="V89" s="75">
        <f t="shared" si="57"/>
        <v>84</v>
      </c>
      <c r="W89" s="75"/>
      <c r="X89" s="75"/>
      <c r="AA89" s="82">
        <f t="shared" si="65"/>
        <v>84</v>
      </c>
      <c r="AD89" s="75"/>
    </row>
    <row r="90" spans="1:30">
      <c r="A90" s="1572">
        <f t="shared" si="59"/>
        <v>82</v>
      </c>
      <c r="B90" s="82" t="str">
        <f>'Sched D-2'!B65</f>
        <v xml:space="preserve">(Note 1a) Figure represents Other Utility Plant, Corporate Shared Assets allocated on customer count of all regulated utilities per CAM.  </v>
      </c>
      <c r="D90" s="1585"/>
      <c r="G90" s="834"/>
      <c r="H90" s="834"/>
      <c r="J90" s="790"/>
      <c r="L90" s="834"/>
      <c r="N90" s="790"/>
      <c r="O90" s="790"/>
      <c r="Q90" s="82">
        <f t="shared" si="53"/>
        <v>85</v>
      </c>
      <c r="R90" s="75"/>
      <c r="S90" s="75"/>
      <c r="T90" s="790"/>
      <c r="U90" s="790"/>
      <c r="V90" s="75">
        <f t="shared" si="57"/>
        <v>85</v>
      </c>
      <c r="W90" s="75"/>
      <c r="X90" s="75"/>
      <c r="AA90" s="82">
        <f t="shared" si="65"/>
        <v>85</v>
      </c>
      <c r="AD90" s="75"/>
    </row>
    <row r="91" spans="1:30">
      <c r="A91" s="1572">
        <f t="shared" si="59"/>
        <v>83</v>
      </c>
      <c r="B91" s="82" t="str">
        <f>'Sched D-2'!B66</f>
        <v xml:space="preserve">(Note 1b) Figure represents Other Utility Plant, Corporate Shared Assets allocated on customer count of all regulated gas utilities per CAM.  </v>
      </c>
      <c r="D91" s="1585"/>
      <c r="G91" s="834"/>
      <c r="H91" s="834"/>
      <c r="J91" s="790"/>
      <c r="L91" s="834"/>
      <c r="N91" s="790"/>
      <c r="O91" s="790"/>
      <c r="Q91" s="82">
        <f t="shared" si="53"/>
        <v>86</v>
      </c>
      <c r="R91" s="75"/>
      <c r="S91" s="75"/>
      <c r="T91" s="790"/>
      <c r="U91" s="790"/>
      <c r="V91" s="75">
        <f t="shared" si="57"/>
        <v>86</v>
      </c>
      <c r="W91" s="75"/>
      <c r="X91" s="75"/>
      <c r="AA91" s="82">
        <f t="shared" si="65"/>
        <v>86</v>
      </c>
      <c r="AD91" s="75"/>
    </row>
    <row r="92" spans="1:30">
      <c r="A92" s="1572">
        <f t="shared" si="59"/>
        <v>84</v>
      </c>
      <c r="B92" s="82" t="str">
        <f>'Sched D-2'!B67</f>
        <v xml:space="preserve">(Note 2a) Figure represents Other Utility Plant, Corporate Shared Assets allocated on the blended ratio to all entities per CAM.  </v>
      </c>
      <c r="D92" s="1585"/>
      <c r="G92" s="834"/>
      <c r="H92" s="834"/>
      <c r="J92" s="790"/>
      <c r="L92" s="834"/>
      <c r="N92" s="790"/>
      <c r="O92" s="790"/>
      <c r="Q92" s="82">
        <f t="shared" si="53"/>
        <v>87</v>
      </c>
      <c r="R92" s="75"/>
      <c r="S92" s="75"/>
      <c r="T92" s="790"/>
      <c r="U92" s="790"/>
      <c r="V92" s="75">
        <f t="shared" si="57"/>
        <v>87</v>
      </c>
      <c r="W92" s="75"/>
      <c r="X92" s="75"/>
      <c r="AA92" s="82">
        <f t="shared" si="65"/>
        <v>87</v>
      </c>
      <c r="AD92" s="75"/>
    </row>
    <row r="93" spans="1:30">
      <c r="A93" s="1572">
        <f t="shared" si="59"/>
        <v>85</v>
      </c>
      <c r="B93" s="82" t="str">
        <f>'Sched D-2'!B68</f>
        <v xml:space="preserve">(Note 2b) Figure represents Other Utility Plant, Corporate Shared Assets allocated on the blended ratio to all regulated utilities per CAM.  </v>
      </c>
      <c r="D93" s="1585"/>
      <c r="G93" s="834"/>
      <c r="H93" s="834"/>
      <c r="J93" s="790"/>
      <c r="L93" s="834"/>
      <c r="N93" s="790"/>
      <c r="O93" s="790"/>
      <c r="Q93" s="82">
        <f t="shared" si="53"/>
        <v>88</v>
      </c>
      <c r="R93" s="75"/>
      <c r="S93" s="75"/>
      <c r="T93" s="790"/>
      <c r="U93" s="790"/>
      <c r="V93" s="75">
        <f t="shared" si="57"/>
        <v>88</v>
      </c>
      <c r="W93" s="75"/>
      <c r="X93" s="75"/>
      <c r="AA93" s="82">
        <f t="shared" si="65"/>
        <v>88</v>
      </c>
      <c r="AD93" s="75"/>
    </row>
    <row r="94" spans="1:30">
      <c r="A94" s="1572">
        <f t="shared" si="59"/>
        <v>86</v>
      </c>
      <c r="B94" s="82" t="str">
        <f>'Sched D-2'!B69</f>
        <v xml:space="preserve">(Note 2c) Figure represents Other Utility Plant, Corporate Shared Assets allocated on the blended ratio to all regulated gas utilities per CAM.  </v>
      </c>
      <c r="D94" s="1585"/>
      <c r="G94" s="834"/>
      <c r="H94" s="834"/>
      <c r="J94" s="790"/>
      <c r="L94" s="834"/>
      <c r="N94" s="790"/>
      <c r="O94" s="790"/>
      <c r="Q94" s="82">
        <f t="shared" si="53"/>
        <v>89</v>
      </c>
      <c r="R94" s="75"/>
      <c r="S94" s="75"/>
      <c r="T94" s="790"/>
      <c r="U94" s="790"/>
      <c r="V94" s="75">
        <f t="shared" si="57"/>
        <v>89</v>
      </c>
      <c r="W94" s="75"/>
      <c r="X94" s="75"/>
      <c r="AA94" s="82">
        <f t="shared" si="65"/>
        <v>89</v>
      </c>
      <c r="AD94" s="75"/>
    </row>
    <row r="95" spans="1:30">
      <c r="A95" s="1572">
        <f t="shared" si="59"/>
        <v>87</v>
      </c>
      <c r="B95" s="82" t="s">
        <v>1243</v>
      </c>
      <c r="J95" s="1026"/>
      <c r="Q95" s="82">
        <f t="shared" si="53"/>
        <v>90</v>
      </c>
      <c r="R95" s="75"/>
      <c r="S95" s="75"/>
      <c r="T95" s="790"/>
      <c r="U95" s="790"/>
      <c r="V95" s="75">
        <f t="shared" si="57"/>
        <v>90</v>
      </c>
      <c r="W95" s="75"/>
      <c r="X95" s="75"/>
      <c r="AA95" s="82">
        <f t="shared" si="65"/>
        <v>90</v>
      </c>
      <c r="AD95" s="75"/>
    </row>
    <row r="96" spans="1:30">
      <c r="Q96" s="75"/>
      <c r="R96" s="75"/>
      <c r="S96" s="75"/>
      <c r="T96" s="790"/>
      <c r="U96" s="790"/>
      <c r="V96" s="75"/>
      <c r="W96" s="75"/>
      <c r="X96" s="75"/>
      <c r="Y96" s="790"/>
      <c r="AD96" s="75"/>
    </row>
    <row r="97" spans="17:30">
      <c r="Q97" s="75"/>
      <c r="R97" s="75"/>
      <c r="S97" s="75"/>
      <c r="T97" s="790"/>
      <c r="U97" s="790"/>
      <c r="V97" s="75"/>
      <c r="W97" s="75"/>
      <c r="X97" s="75"/>
      <c r="Y97" s="790"/>
      <c r="AD97" s="75"/>
    </row>
    <row r="98" spans="17:30">
      <c r="Q98" s="75"/>
      <c r="R98" s="75"/>
      <c r="S98" s="75"/>
      <c r="T98" s="790"/>
      <c r="U98" s="790"/>
      <c r="V98" s="75"/>
      <c r="W98" s="75"/>
      <c r="X98" s="75"/>
      <c r="Y98" s="790"/>
      <c r="AD98" s="75"/>
    </row>
    <row r="99" spans="17:30">
      <c r="Q99" s="75"/>
      <c r="R99" s="75"/>
      <c r="S99" s="75"/>
      <c r="T99" s="790"/>
      <c r="U99" s="790"/>
      <c r="V99" s="75"/>
      <c r="W99" s="75"/>
      <c r="X99" s="75"/>
      <c r="Y99" s="790"/>
      <c r="AD99" s="75"/>
    </row>
    <row r="100" spans="17:30">
      <c r="Q100" s="75"/>
      <c r="R100" s="75"/>
      <c r="S100" s="75"/>
      <c r="T100" s="790"/>
      <c r="U100" s="790"/>
      <c r="V100" s="75"/>
      <c r="W100" s="75"/>
      <c r="X100" s="75"/>
      <c r="Y100" s="790"/>
      <c r="AD100" s="75"/>
    </row>
    <row r="101" spans="17:30">
      <c r="Q101" s="75"/>
      <c r="R101" s="75"/>
      <c r="S101" s="75"/>
      <c r="T101" s="790"/>
      <c r="U101" s="790"/>
      <c r="V101" s="75"/>
      <c r="W101" s="75"/>
      <c r="X101" s="75"/>
      <c r="Y101" s="790"/>
      <c r="AD101" s="75"/>
    </row>
    <row r="102" spans="17:30">
      <c r="Q102" s="75"/>
      <c r="R102" s="75"/>
      <c r="S102" s="75"/>
      <c r="T102" s="790"/>
      <c r="U102" s="790"/>
      <c r="V102" s="75"/>
      <c r="W102" s="75"/>
      <c r="X102" s="75"/>
      <c r="Y102" s="790"/>
      <c r="AD102" s="75"/>
    </row>
    <row r="103" spans="17:30">
      <c r="Q103" s="75"/>
      <c r="R103" s="75"/>
      <c r="S103" s="75"/>
      <c r="T103" s="790"/>
      <c r="U103" s="790"/>
      <c r="V103" s="75"/>
      <c r="W103" s="75"/>
      <c r="X103" s="75"/>
      <c r="Y103" s="790"/>
      <c r="AD103" s="75"/>
    </row>
    <row r="104" spans="17:30">
      <c r="Q104" s="75"/>
      <c r="R104" s="75"/>
      <c r="S104" s="75"/>
      <c r="T104" s="790"/>
      <c r="U104" s="790"/>
      <c r="V104" s="75"/>
      <c r="W104" s="75"/>
      <c r="X104" s="75"/>
      <c r="Y104" s="790"/>
      <c r="AD104" s="75"/>
    </row>
    <row r="105" spans="17:30">
      <c r="T105" s="790"/>
      <c r="U105" s="790"/>
    </row>
  </sheetData>
  <printOptions horizontalCentered="1"/>
  <pageMargins left="0.25" right="0.25" top="0.75" bottom="0.5" header="0.3" footer="0.3"/>
  <pageSetup scale="65" fitToHeight="2" orientation="landscape" verticalDpi="300" r:id="rId1"/>
  <rowBreaks count="1" manualBreakCount="1">
    <brk id="51" max="14"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AD45"/>
  <sheetViews>
    <sheetView workbookViewId="0"/>
  </sheetViews>
  <sheetFormatPr defaultColWidth="9.33203125" defaultRowHeight="12.75"/>
  <cols>
    <col min="1" max="1" width="6.83203125" style="14" customWidth="1"/>
    <col min="2" max="2" width="47.1640625" style="14" customWidth="1"/>
    <col min="3" max="3" width="17.6640625" style="14" customWidth="1"/>
    <col min="4" max="4" width="14.33203125" style="14" customWidth="1"/>
    <col min="5" max="5" width="16.1640625" style="14" customWidth="1"/>
    <col min="6" max="6" width="15.33203125" style="14" customWidth="1"/>
    <col min="7" max="7" width="11.6640625" style="14" customWidth="1"/>
    <col min="8" max="8" width="15" style="14" customWidth="1"/>
    <col min="9" max="9" width="16" style="14" customWidth="1"/>
    <col min="10" max="10" width="14.33203125" style="14" customWidth="1"/>
    <col min="11" max="11" width="1.83203125" style="14" customWidth="1"/>
    <col min="12" max="12" width="10.1640625" style="14" customWidth="1"/>
    <col min="13" max="13" width="1.83203125" style="14" customWidth="1"/>
    <col min="14" max="14" width="12.1640625" style="14" customWidth="1"/>
    <col min="15" max="15" width="19.83203125" style="14" customWidth="1"/>
    <col min="16" max="16" width="3.6640625" style="62" customWidth="1"/>
    <col min="17" max="17" width="5.1640625" style="14" customWidth="1"/>
    <col min="18" max="20" width="12" style="14" customWidth="1"/>
    <col min="21" max="21" width="2.33203125" style="14" customWidth="1"/>
    <col min="22" max="22" width="5.1640625" style="14" customWidth="1"/>
    <col min="23" max="25" width="12" style="14" customWidth="1"/>
    <col min="26" max="26" width="1.33203125" style="14" customWidth="1"/>
    <col min="27" max="27" width="5.1640625" style="14" customWidth="1"/>
    <col min="28" max="30" width="14.6640625" style="14" customWidth="1"/>
    <col min="31" max="16384" width="9.33203125" style="62"/>
  </cols>
  <sheetData>
    <row r="1" spans="1:30">
      <c r="A1" s="25" t="str">
        <f>Company</f>
        <v>BLACK HILLS NEBRASKA GAS, LLC</v>
      </c>
      <c r="F1" s="23"/>
      <c r="N1" s="615"/>
      <c r="O1" s="615" t="s">
        <v>1322</v>
      </c>
      <c r="Q1" s="62"/>
      <c r="R1" s="62"/>
      <c r="S1" s="62"/>
      <c r="T1" s="62"/>
      <c r="V1" s="62"/>
      <c r="W1" s="62"/>
      <c r="X1" s="62"/>
      <c r="Y1" s="62"/>
      <c r="Z1" s="62"/>
      <c r="AA1" s="62"/>
      <c r="AB1" s="62"/>
      <c r="AC1" s="62"/>
      <c r="AD1" s="62"/>
    </row>
    <row r="2" spans="1:30">
      <c r="A2" s="25" t="s">
        <v>501</v>
      </c>
      <c r="N2" s="343"/>
      <c r="O2" s="615" t="str">
        <f>Attach</f>
        <v>FINAL - BH January 15, 2021 Rev. Req. Model</v>
      </c>
      <c r="Q2" s="62"/>
      <c r="R2" s="62"/>
      <c r="S2" s="62"/>
      <c r="T2" s="62"/>
      <c r="V2" s="62"/>
      <c r="W2" s="62"/>
      <c r="X2" s="62"/>
      <c r="Y2" s="62"/>
      <c r="Z2" s="62"/>
      <c r="AA2" s="62"/>
      <c r="AB2" s="62"/>
      <c r="AC2" s="62"/>
      <c r="AD2" s="62"/>
    </row>
    <row r="3" spans="1:30">
      <c r="A3" s="70" t="str">
        <f>TYEnded</f>
        <v>FOR THE TEST YEAR ENDING DECEMBER 31, 2020</v>
      </c>
      <c r="O3" s="343" t="s">
        <v>805</v>
      </c>
      <c r="Q3" s="62"/>
      <c r="R3" s="8" t="s">
        <v>632</v>
      </c>
      <c r="S3" s="62"/>
      <c r="T3" s="62"/>
      <c r="V3" s="62"/>
      <c r="W3" s="8" t="s">
        <v>712</v>
      </c>
      <c r="X3" s="62"/>
      <c r="Y3" s="62"/>
      <c r="Z3" s="62"/>
      <c r="AA3" s="62"/>
      <c r="AB3" s="8" t="s">
        <v>745</v>
      </c>
      <c r="AC3" s="62"/>
      <c r="AD3" s="62"/>
    </row>
    <row r="4" spans="1:30">
      <c r="O4" s="475"/>
      <c r="Q4" s="62"/>
      <c r="R4" s="62"/>
      <c r="S4" s="62"/>
      <c r="T4" s="62"/>
      <c r="V4" s="62"/>
      <c r="W4" s="62"/>
      <c r="X4" s="62"/>
      <c r="Y4" s="62"/>
      <c r="Z4" s="62"/>
      <c r="AA4" s="62"/>
      <c r="AB4" s="62"/>
      <c r="AC4" s="62"/>
      <c r="AD4" s="62"/>
    </row>
    <row r="5" spans="1:30">
      <c r="A5" s="909"/>
      <c r="B5" s="910"/>
      <c r="C5" s="103" t="s">
        <v>199</v>
      </c>
      <c r="D5" s="103" t="s">
        <v>200</v>
      </c>
      <c r="E5" s="103" t="s">
        <v>41</v>
      </c>
      <c r="F5" s="103" t="s">
        <v>202</v>
      </c>
      <c r="G5" s="103" t="s">
        <v>203</v>
      </c>
      <c r="H5" s="103" t="s">
        <v>204</v>
      </c>
      <c r="I5" s="103" t="s">
        <v>205</v>
      </c>
      <c r="J5" s="103" t="s">
        <v>206</v>
      </c>
      <c r="K5" s="103"/>
      <c r="L5" s="103" t="s">
        <v>207</v>
      </c>
      <c r="M5" s="103"/>
      <c r="N5" s="103" t="s">
        <v>208</v>
      </c>
      <c r="O5" s="103" t="s">
        <v>205</v>
      </c>
      <c r="Q5" s="62"/>
      <c r="R5" s="62"/>
      <c r="S5" s="62"/>
      <c r="T5" s="62"/>
      <c r="V5" s="62"/>
      <c r="W5" s="62"/>
      <c r="X5" s="62"/>
      <c r="Y5" s="62"/>
      <c r="Z5" s="62"/>
      <c r="AA5" s="62"/>
      <c r="AB5" s="62"/>
      <c r="AC5" s="62"/>
      <c r="AD5" s="62"/>
    </row>
    <row r="6" spans="1:30">
      <c r="E6" s="909"/>
      <c r="F6" s="909" t="s">
        <v>657</v>
      </c>
      <c r="I6" s="909"/>
      <c r="J6" s="909"/>
      <c r="N6" s="909"/>
      <c r="O6" s="909"/>
      <c r="Q6" s="75">
        <v>1</v>
      </c>
      <c r="R6" s="75" t="str">
        <f>References!$C$17</f>
        <v>Exhibit No. MCC-2 NEG</v>
      </c>
      <c r="S6" s="75" t="str">
        <f>References!$D$17</f>
        <v>Exhibit No. MCC-2 NEGD</v>
      </c>
      <c r="T6" s="75" t="str">
        <f>References!$E$17</f>
        <v>FINAL - BH January 15, 2021 Rev. Req. Model</v>
      </c>
      <c r="U6" s="82"/>
      <c r="V6" s="75">
        <v>1</v>
      </c>
      <c r="W6" s="75" t="str">
        <f>References!$C$17</f>
        <v>Exhibit No. MCC-2 NEG</v>
      </c>
      <c r="X6" s="75" t="str">
        <f>References!$D$17</f>
        <v>Exhibit No. MCC-2 NEGD</v>
      </c>
      <c r="Y6" s="75" t="str">
        <f>References!$E$17</f>
        <v>FINAL - BH January 15, 2021 Rev. Req. Model</v>
      </c>
      <c r="Z6" s="62"/>
      <c r="AA6" s="75">
        <v>1</v>
      </c>
      <c r="AB6" s="75" t="str">
        <f>References!$C$17</f>
        <v>Exhibit No. MCC-2 NEG</v>
      </c>
      <c r="AC6" s="75" t="str">
        <f>References!$D$17</f>
        <v>Exhibit No. MCC-2 NEGD</v>
      </c>
      <c r="AD6" s="75" t="str">
        <f>References!$E$17</f>
        <v>FINAL - BH January 15, 2021 Rev. Req. Model</v>
      </c>
    </row>
    <row r="7" spans="1:30" ht="38.25">
      <c r="A7" s="350" t="s">
        <v>117</v>
      </c>
      <c r="B7" s="350" t="s">
        <v>503</v>
      </c>
      <c r="C7" s="381" t="s">
        <v>970</v>
      </c>
      <c r="D7" s="350" t="s">
        <v>856</v>
      </c>
      <c r="E7" s="350" t="s">
        <v>1378</v>
      </c>
      <c r="F7" s="350" t="s">
        <v>650</v>
      </c>
      <c r="G7" s="350" t="s">
        <v>652</v>
      </c>
      <c r="H7" s="350" t="s">
        <v>653</v>
      </c>
      <c r="I7" s="350" t="s">
        <v>1379</v>
      </c>
      <c r="J7" s="350" t="s">
        <v>333</v>
      </c>
      <c r="K7" s="381"/>
      <c r="L7" s="350" t="s">
        <v>359</v>
      </c>
      <c r="M7" s="381"/>
      <c r="N7" s="350" t="s">
        <v>656</v>
      </c>
      <c r="O7" s="350" t="s">
        <v>786</v>
      </c>
      <c r="Q7" s="75">
        <f>1+Q6</f>
        <v>2</v>
      </c>
      <c r="R7" s="75" t="str">
        <f>References!$C$18</f>
        <v>NEG</v>
      </c>
      <c r="S7" s="75" t="str">
        <f>References!$D$18</f>
        <v>NEGD</v>
      </c>
      <c r="T7" s="75" t="str">
        <f>References!$E$18</f>
        <v>Tot Co</v>
      </c>
      <c r="U7" s="82"/>
      <c r="V7" s="75">
        <f>1+V6</f>
        <v>2</v>
      </c>
      <c r="W7" s="75" t="str">
        <f>References!$C$18</f>
        <v>NEG</v>
      </c>
      <c r="X7" s="75" t="str">
        <f>References!$D$18</f>
        <v>NEGD</v>
      </c>
      <c r="Y7" s="75" t="str">
        <f>References!$E$18</f>
        <v>Tot Co</v>
      </c>
      <c r="Z7" s="62"/>
      <c r="AA7" s="75">
        <f>1+AA6</f>
        <v>2</v>
      </c>
      <c r="AB7" s="75" t="str">
        <f>References!$C$18</f>
        <v>NEG</v>
      </c>
      <c r="AC7" s="75" t="str">
        <f>References!$D$18</f>
        <v>NEGD</v>
      </c>
      <c r="AD7" s="75" t="str">
        <f>References!$E$18</f>
        <v>Tot Co</v>
      </c>
    </row>
    <row r="8" spans="1:30">
      <c r="A8" s="912"/>
      <c r="C8" s="349"/>
      <c r="D8" s="349"/>
      <c r="E8" s="349"/>
      <c r="F8" s="349"/>
      <c r="G8" s="349"/>
      <c r="H8" s="349"/>
      <c r="I8" s="349"/>
      <c r="J8" s="349"/>
      <c r="K8" s="351"/>
      <c r="L8" s="349"/>
      <c r="M8" s="351"/>
      <c r="N8" s="349"/>
      <c r="O8" s="349"/>
      <c r="Q8" s="75">
        <f t="shared" ref="Q8:Q22" si="0">1+Q7</f>
        <v>3</v>
      </c>
      <c r="R8" s="75"/>
      <c r="S8" s="75"/>
      <c r="T8" s="75"/>
      <c r="U8" s="82"/>
      <c r="V8" s="75">
        <f t="shared" ref="V8:V22" si="1">1+V7</f>
        <v>3</v>
      </c>
      <c r="W8" s="75"/>
      <c r="X8" s="75"/>
      <c r="Y8" s="75"/>
      <c r="Z8" s="62"/>
      <c r="AA8" s="75">
        <f t="shared" ref="AA8:AA22" si="2">1+AA7</f>
        <v>3</v>
      </c>
      <c r="AB8" s="75"/>
      <c r="AC8" s="75"/>
      <c r="AD8" s="75"/>
    </row>
    <row r="9" spans="1:30">
      <c r="A9" s="909">
        <v>1</v>
      </c>
      <c r="B9" s="23" t="s">
        <v>1105</v>
      </c>
      <c r="C9" s="888">
        <f>'Sched D-1'!G77-'Sched D-1'!G75</f>
        <v>810794479</v>
      </c>
      <c r="D9" s="858" t="s">
        <v>807</v>
      </c>
      <c r="E9" s="858" t="s">
        <v>1377</v>
      </c>
      <c r="F9" s="860">
        <f>IFERROR(HLOOKUP(Attach,$R$6:$T$194,$Q9,FALSE),0)</f>
        <v>23204381.668520398</v>
      </c>
      <c r="G9" s="579" t="s">
        <v>807</v>
      </c>
      <c r="H9" s="579" t="s">
        <v>807</v>
      </c>
      <c r="I9" s="1026">
        <f>IFERROR(HLOOKUP(Attach,$W$6:$Y$194,$V9,FALSE),0)</f>
        <v>31838689.240000002</v>
      </c>
      <c r="J9" s="895">
        <f>F9-I9</f>
        <v>-8634307.5714796036</v>
      </c>
      <c r="K9" s="579"/>
      <c r="L9" s="1260">
        <f>COMPRATE</f>
        <v>0.27169900000000002</v>
      </c>
      <c r="M9" s="579"/>
      <c r="N9" s="579" t="s">
        <v>666</v>
      </c>
      <c r="O9" s="475">
        <f>J9*L9</f>
        <v>-2345932.7328634369</v>
      </c>
      <c r="Q9" s="75">
        <f t="shared" si="0"/>
        <v>4</v>
      </c>
      <c r="R9" s="1603">
        <f>SUM('Sched E-1'!X15,'Sched E-1'!AH15,'Sched E-1'!X22,'Sched E-1'!AH22,'Sched E-1'!X42,'Sched E-1'!AH42,'Sched E-1'!X68,'Sched E-1'!AH68)</f>
        <v>12568092.644991064</v>
      </c>
      <c r="S9" s="1603">
        <f>SUM('Sched E-1'!Y15,'Sched E-1'!AI15,'Sched E-1'!Y22,'Sched E-1'!AI22,'Sched E-1'!Y42,'Sched E-1'!AI42,'Sched E-1'!Y68,'Sched E-1'!AI68)</f>
        <v>10636289.023529334</v>
      </c>
      <c r="T9" s="937">
        <f>+R9+S9</f>
        <v>23204381.668520398</v>
      </c>
      <c r="U9" s="82"/>
      <c r="V9" s="75">
        <f t="shared" si="1"/>
        <v>4</v>
      </c>
      <c r="W9" s="1603">
        <v>14798116.710000001</v>
      </c>
      <c r="X9" s="1603">
        <v>17040572.530000001</v>
      </c>
      <c r="Y9" s="937">
        <f>+W9+X9</f>
        <v>31838689.240000002</v>
      </c>
      <c r="Z9" s="62"/>
      <c r="AA9" s="75">
        <f t="shared" si="2"/>
        <v>4</v>
      </c>
      <c r="AB9" s="1168">
        <f>(R9-W9)*$L9</f>
        <v>-605895.30843886302</v>
      </c>
      <c r="AC9" s="1168">
        <f>(S9-X9)*$L9</f>
        <v>-1740037.424424574</v>
      </c>
      <c r="AD9" s="937">
        <f>+AB9+AC9</f>
        <v>-2345932.7328634369</v>
      </c>
    </row>
    <row r="10" spans="1:30">
      <c r="A10" s="909">
        <f t="shared" ref="A10:A11" si="3">A9+1</f>
        <v>2</v>
      </c>
      <c r="C10" s="858"/>
      <c r="D10" s="858"/>
      <c r="E10" s="858"/>
      <c r="F10" s="349"/>
      <c r="G10" s="579"/>
      <c r="H10" s="579"/>
      <c r="I10" s="579"/>
      <c r="J10" s="349"/>
      <c r="K10" s="351"/>
      <c r="L10" s="676"/>
      <c r="M10" s="351"/>
      <c r="N10" s="579"/>
      <c r="O10" s="475"/>
      <c r="Q10" s="75">
        <f t="shared" si="0"/>
        <v>5</v>
      </c>
      <c r="R10" s="960"/>
      <c r="S10" s="960"/>
      <c r="T10" s="937">
        <f t="shared" ref="T10:T22" si="4">+R10+S10</f>
        <v>0</v>
      </c>
      <c r="U10" s="82"/>
      <c r="V10" s="75">
        <f t="shared" si="1"/>
        <v>5</v>
      </c>
      <c r="W10" s="960"/>
      <c r="X10" s="960"/>
      <c r="Y10" s="937">
        <f t="shared" ref="Y10:Y22" si="5">+W10+X10</f>
        <v>0</v>
      </c>
      <c r="Z10" s="62"/>
      <c r="AA10" s="75">
        <f t="shared" si="2"/>
        <v>5</v>
      </c>
      <c r="AB10" s="960"/>
      <c r="AC10" s="960"/>
      <c r="AD10" s="937">
        <f t="shared" ref="AD10:AD22" si="6">+AB10+AC10</f>
        <v>0</v>
      </c>
    </row>
    <row r="11" spans="1:30">
      <c r="A11" s="909">
        <f t="shared" si="3"/>
        <v>3</v>
      </c>
      <c r="B11" s="23" t="s">
        <v>1107</v>
      </c>
      <c r="C11" s="888">
        <f>'Sched D-1'!G75</f>
        <v>45535472</v>
      </c>
      <c r="D11" s="858" t="s">
        <v>807</v>
      </c>
      <c r="E11" s="858" t="s">
        <v>1377</v>
      </c>
      <c r="F11" s="888">
        <f>IFERROR(HLOOKUP(Attach,$R$6:$T$194,$Q11,FALSE),0)</f>
        <v>3993638.5223205443</v>
      </c>
      <c r="G11" s="579" t="s">
        <v>807</v>
      </c>
      <c r="H11" s="579" t="s">
        <v>807</v>
      </c>
      <c r="I11" s="475">
        <f>IFERROR(HLOOKUP(Attach,$W$6:$Y$194,$V11,FALSE),0)</f>
        <v>2239493.1192364879</v>
      </c>
      <c r="J11" s="895">
        <f>F11-I11</f>
        <v>1754145.4030840565</v>
      </c>
      <c r="K11" s="351"/>
      <c r="L11" s="1260">
        <f>COMPRATE</f>
        <v>0.27169900000000002</v>
      </c>
      <c r="M11" s="351"/>
      <c r="N11" s="579" t="s">
        <v>666</v>
      </c>
      <c r="O11" s="475">
        <f>J11*L11</f>
        <v>476599.55187253508</v>
      </c>
      <c r="Q11" s="75">
        <f t="shared" si="0"/>
        <v>6</v>
      </c>
      <c r="R11" s="1603">
        <f>SUM('Sched E-1'!X70:X76,'Sched E-1'!AH70:AH76)</f>
        <v>2532530.9705446442</v>
      </c>
      <c r="S11" s="1603">
        <f>SUM('Sched E-1'!Y70:Y76,'Sched E-1'!AI70:AI76)</f>
        <v>1461107.5517759004</v>
      </c>
      <c r="T11" s="937">
        <f>+R11+S11</f>
        <v>3993638.5223205443</v>
      </c>
      <c r="U11" s="82"/>
      <c r="V11" s="75">
        <f t="shared" si="1"/>
        <v>6</v>
      </c>
      <c r="W11" s="1603">
        <v>1420154.9917673825</v>
      </c>
      <c r="X11" s="1603">
        <v>819338.12746910518</v>
      </c>
      <c r="Y11" s="937">
        <f>+W11+X11</f>
        <v>2239493.1192364879</v>
      </c>
      <c r="Z11" s="62"/>
      <c r="AA11" s="75">
        <f t="shared" si="2"/>
        <v>6</v>
      </c>
      <c r="AB11" s="1603">
        <f>(R11-W11)*$L11</f>
        <v>302231.44105780323</v>
      </c>
      <c r="AC11" s="1603">
        <f>(S11-X11)*$L11</f>
        <v>174368.11081473198</v>
      </c>
      <c r="AD11" s="937">
        <f>+AB11+AC11</f>
        <v>476599.5518725352</v>
      </c>
    </row>
    <row r="12" spans="1:30">
      <c r="A12" s="909"/>
      <c r="B12" s="23"/>
      <c r="C12" s="888"/>
      <c r="D12" s="858"/>
      <c r="E12" s="858"/>
      <c r="F12" s="888"/>
      <c r="G12" s="579"/>
      <c r="H12" s="579"/>
      <c r="I12" s="475"/>
      <c r="J12" s="895"/>
      <c r="K12" s="351"/>
      <c r="L12" s="1260"/>
      <c r="M12" s="351"/>
      <c r="N12" s="579"/>
      <c r="O12" s="475"/>
      <c r="Q12" s="75">
        <f t="shared" si="0"/>
        <v>7</v>
      </c>
      <c r="R12" s="960"/>
      <c r="S12" s="960"/>
      <c r="T12" s="937"/>
      <c r="U12" s="82"/>
      <c r="V12" s="75">
        <f t="shared" si="1"/>
        <v>7</v>
      </c>
      <c r="W12" s="960"/>
      <c r="X12" s="960"/>
      <c r="Y12" s="937"/>
      <c r="Z12" s="62"/>
      <c r="AA12" s="75">
        <f t="shared" si="2"/>
        <v>7</v>
      </c>
      <c r="AB12" s="960"/>
      <c r="AC12" s="960"/>
      <c r="AD12" s="937"/>
    </row>
    <row r="13" spans="1:30">
      <c r="A13" s="909"/>
      <c r="B13" s="23"/>
      <c r="C13" s="888"/>
      <c r="D13" s="858"/>
      <c r="E13" s="858"/>
      <c r="F13" s="888"/>
      <c r="G13" s="579"/>
      <c r="H13" s="579"/>
      <c r="I13" s="475"/>
      <c r="J13" s="895"/>
      <c r="K13" s="351"/>
      <c r="L13" s="1260"/>
      <c r="M13" s="351"/>
      <c r="N13" s="579"/>
      <c r="O13" s="475"/>
      <c r="Q13" s="75">
        <f t="shared" si="0"/>
        <v>8</v>
      </c>
      <c r="R13" s="960"/>
      <c r="S13" s="960"/>
      <c r="T13" s="937"/>
      <c r="U13" s="82"/>
      <c r="V13" s="75">
        <f t="shared" si="1"/>
        <v>8</v>
      </c>
      <c r="W13" s="960"/>
      <c r="X13" s="960"/>
      <c r="Y13" s="937"/>
      <c r="Z13" s="62"/>
      <c r="AA13" s="75">
        <f t="shared" si="2"/>
        <v>8</v>
      </c>
      <c r="AB13" s="960"/>
      <c r="AC13" s="960"/>
      <c r="AD13" s="937"/>
    </row>
    <row r="14" spans="1:30" ht="38.25">
      <c r="A14" s="350" t="s">
        <v>117</v>
      </c>
      <c r="B14" s="350" t="s">
        <v>503</v>
      </c>
      <c r="C14" s="381" t="s">
        <v>1486</v>
      </c>
      <c r="D14" s="350" t="s">
        <v>856</v>
      </c>
      <c r="E14" s="350" t="s">
        <v>1380</v>
      </c>
      <c r="F14" s="350" t="s">
        <v>1479</v>
      </c>
      <c r="G14" s="350" t="s">
        <v>652</v>
      </c>
      <c r="H14" s="350" t="s">
        <v>653</v>
      </c>
      <c r="I14" s="350" t="s">
        <v>1480</v>
      </c>
      <c r="J14" s="350" t="s">
        <v>333</v>
      </c>
      <c r="K14" s="381"/>
      <c r="L14" s="350" t="s">
        <v>359</v>
      </c>
      <c r="M14" s="381"/>
      <c r="N14" s="350" t="s">
        <v>656</v>
      </c>
      <c r="O14" s="350" t="s">
        <v>786</v>
      </c>
      <c r="Q14" s="75">
        <f t="shared" si="0"/>
        <v>9</v>
      </c>
      <c r="R14" s="960"/>
      <c r="S14" s="960"/>
      <c r="T14" s="937"/>
      <c r="U14" s="82"/>
      <c r="V14" s="75">
        <f t="shared" si="1"/>
        <v>9</v>
      </c>
      <c r="W14" s="960"/>
      <c r="X14" s="960"/>
      <c r="Y14" s="937"/>
      <c r="Z14" s="62"/>
      <c r="AA14" s="75">
        <f t="shared" si="2"/>
        <v>9</v>
      </c>
      <c r="AB14" s="960"/>
      <c r="AC14" s="960"/>
      <c r="AD14" s="937"/>
    </row>
    <row r="15" spans="1:30">
      <c r="A15" s="909">
        <f>A11+1</f>
        <v>4</v>
      </c>
      <c r="B15" s="23"/>
      <c r="C15" s="888"/>
      <c r="D15" s="858"/>
      <c r="E15" s="858"/>
      <c r="F15" s="889"/>
      <c r="G15" s="579"/>
      <c r="H15" s="579"/>
      <c r="I15" s="579"/>
      <c r="J15" s="579"/>
      <c r="K15" s="351"/>
      <c r="L15" s="883"/>
      <c r="M15" s="351"/>
      <c r="N15" s="579"/>
      <c r="O15" s="475"/>
      <c r="Q15" s="75">
        <f t="shared" si="0"/>
        <v>10</v>
      </c>
      <c r="R15" s="960"/>
      <c r="S15" s="960"/>
      <c r="T15" s="937">
        <f>+R15+S15</f>
        <v>0</v>
      </c>
      <c r="U15" s="82"/>
      <c r="V15" s="75">
        <f t="shared" si="1"/>
        <v>10</v>
      </c>
      <c r="W15" s="960"/>
      <c r="X15" s="960"/>
      <c r="Y15" s="937">
        <f>+W15+X15</f>
        <v>0</v>
      </c>
      <c r="Z15" s="62"/>
      <c r="AA15" s="75">
        <f t="shared" si="2"/>
        <v>10</v>
      </c>
      <c r="AB15" s="960"/>
      <c r="AC15" s="960"/>
      <c r="AD15" s="937">
        <f>+AB15+AC15</f>
        <v>0</v>
      </c>
    </row>
    <row r="16" spans="1:30">
      <c r="A16" s="909">
        <f>A15+1</f>
        <v>5</v>
      </c>
      <c r="B16" s="23" t="s">
        <v>1329</v>
      </c>
      <c r="C16" s="1597">
        <f>'Sched D-3'!E77</f>
        <v>-23994826.687595002</v>
      </c>
      <c r="D16" s="858" t="s">
        <v>807</v>
      </c>
      <c r="E16" s="858" t="s">
        <v>1377</v>
      </c>
      <c r="F16" s="888">
        <f>IFERROR(HLOOKUP(Attach,$R$6:$T$194,$Q16,FALSE),0)</f>
        <v>3215865.1295631262</v>
      </c>
      <c r="G16" s="579" t="s">
        <v>807</v>
      </c>
      <c r="H16" s="579" t="s">
        <v>807</v>
      </c>
      <c r="I16" s="895">
        <f>IFERROR(HLOOKUP(Attach,$W$6:$Y$194,$V16,FALSE),0)</f>
        <v>1564218.3161541915</v>
      </c>
      <c r="J16" s="895">
        <f>F16-I16</f>
        <v>1651646.8134089347</v>
      </c>
      <c r="K16" s="351"/>
      <c r="L16" s="1260">
        <f>COMPRATE</f>
        <v>0.27169900000000002</v>
      </c>
      <c r="M16" s="351"/>
      <c r="N16" s="579" t="s">
        <v>666</v>
      </c>
      <c r="O16" s="475">
        <f>J16*L16</f>
        <v>448750.78755639418</v>
      </c>
      <c r="Q16" s="75">
        <f t="shared" si="0"/>
        <v>11</v>
      </c>
      <c r="R16" s="1603">
        <v>592203.95493155858</v>
      </c>
      <c r="S16" s="1603">
        <v>2623661.1746315677</v>
      </c>
      <c r="T16" s="937">
        <f t="shared" si="4"/>
        <v>3215865.1295631262</v>
      </c>
      <c r="U16" s="82"/>
      <c r="V16" s="75">
        <f t="shared" si="1"/>
        <v>11</v>
      </c>
      <c r="W16" s="1603">
        <v>13963.467172975157</v>
      </c>
      <c r="X16" s="1603">
        <v>1550254.8489812163</v>
      </c>
      <c r="Y16" s="937">
        <f t="shared" si="5"/>
        <v>1564218.3161541915</v>
      </c>
      <c r="Z16" s="62"/>
      <c r="AA16" s="75">
        <f t="shared" si="2"/>
        <v>11</v>
      </c>
      <c r="AB16" s="1603">
        <v>-157107.45633556458</v>
      </c>
      <c r="AC16" s="1603">
        <v>-291643.96210818284</v>
      </c>
      <c r="AD16" s="937">
        <f t="shared" si="6"/>
        <v>-448751.41844374745</v>
      </c>
    </row>
    <row r="17" spans="1:30">
      <c r="A17" s="909">
        <f t="shared" ref="A17:A21" si="7">A16+1</f>
        <v>6</v>
      </c>
      <c r="B17" s="650"/>
      <c r="C17" s="475"/>
      <c r="D17" s="674"/>
      <c r="E17" s="641"/>
      <c r="F17" s="641"/>
      <c r="G17" s="579"/>
      <c r="H17" s="579"/>
      <c r="I17" s="641"/>
      <c r="J17" s="672"/>
      <c r="L17" s="580"/>
      <c r="N17" s="641"/>
      <c r="O17" s="671"/>
      <c r="Q17" s="75">
        <f t="shared" si="0"/>
        <v>12</v>
      </c>
      <c r="R17" s="928"/>
      <c r="S17" s="928"/>
      <c r="T17" s="937">
        <f t="shared" si="4"/>
        <v>0</v>
      </c>
      <c r="U17" s="506"/>
      <c r="V17" s="75">
        <f t="shared" si="1"/>
        <v>12</v>
      </c>
      <c r="W17" s="928"/>
      <c r="X17" s="928"/>
      <c r="Y17" s="937">
        <f t="shared" si="5"/>
        <v>0</v>
      </c>
      <c r="Z17" s="62"/>
      <c r="AA17" s="75">
        <f t="shared" si="2"/>
        <v>12</v>
      </c>
      <c r="AB17" s="928"/>
      <c r="AC17" s="928"/>
      <c r="AD17" s="937">
        <f t="shared" si="6"/>
        <v>0</v>
      </c>
    </row>
    <row r="18" spans="1:30" ht="13.5" thickBot="1">
      <c r="A18" s="909">
        <f t="shared" si="7"/>
        <v>7</v>
      </c>
      <c r="B18" s="505" t="s">
        <v>804</v>
      </c>
      <c r="C18" s="675"/>
      <c r="D18" s="675"/>
      <c r="E18" s="976"/>
      <c r="O18" s="1621">
        <f>O11+O9+O16</f>
        <v>-1420582.3934345075</v>
      </c>
      <c r="Q18" s="75">
        <f t="shared" si="0"/>
        <v>13</v>
      </c>
      <c r="R18" s="928"/>
      <c r="S18" s="928"/>
      <c r="T18" s="937">
        <f t="shared" si="4"/>
        <v>0</v>
      </c>
      <c r="U18" s="506"/>
      <c r="V18" s="75">
        <f t="shared" si="1"/>
        <v>13</v>
      </c>
      <c r="W18" s="928"/>
      <c r="X18" s="928"/>
      <c r="Y18" s="937">
        <f t="shared" si="5"/>
        <v>0</v>
      </c>
      <c r="Z18" s="62"/>
      <c r="AA18" s="75">
        <f t="shared" si="2"/>
        <v>13</v>
      </c>
      <c r="AB18" s="928"/>
      <c r="AC18" s="928"/>
      <c r="AD18" s="937">
        <f t="shared" si="6"/>
        <v>0</v>
      </c>
    </row>
    <row r="19" spans="1:30" ht="13.5" thickTop="1">
      <c r="A19" s="909">
        <f t="shared" si="7"/>
        <v>8</v>
      </c>
      <c r="D19" s="675"/>
      <c r="N19" s="12"/>
      <c r="O19" s="12"/>
      <c r="Q19" s="75">
        <f t="shared" si="0"/>
        <v>14</v>
      </c>
      <c r="R19" s="928"/>
      <c r="S19" s="928"/>
      <c r="T19" s="937">
        <f t="shared" si="4"/>
        <v>0</v>
      </c>
      <c r="U19" s="506"/>
      <c r="V19" s="75">
        <f t="shared" si="1"/>
        <v>14</v>
      </c>
      <c r="W19" s="928"/>
      <c r="X19" s="928"/>
      <c r="Y19" s="937">
        <f t="shared" si="5"/>
        <v>0</v>
      </c>
      <c r="Z19" s="62"/>
      <c r="AA19" s="75">
        <f t="shared" si="2"/>
        <v>14</v>
      </c>
      <c r="AB19" s="928"/>
      <c r="AC19" s="928"/>
      <c r="AD19" s="937">
        <f t="shared" si="6"/>
        <v>0</v>
      </c>
    </row>
    <row r="20" spans="1:30">
      <c r="A20" s="909">
        <f t="shared" si="7"/>
        <v>9</v>
      </c>
      <c r="B20" s="23" t="s">
        <v>1106</v>
      </c>
      <c r="J20" s="475"/>
      <c r="N20" s="12"/>
      <c r="O20" s="12"/>
      <c r="Q20" s="75">
        <f t="shared" si="0"/>
        <v>15</v>
      </c>
      <c r="R20" s="928"/>
      <c r="S20" s="928"/>
      <c r="T20" s="937">
        <f t="shared" si="4"/>
        <v>0</v>
      </c>
      <c r="U20" s="506"/>
      <c r="V20" s="75">
        <f t="shared" si="1"/>
        <v>15</v>
      </c>
      <c r="W20" s="928"/>
      <c r="X20" s="928"/>
      <c r="Y20" s="937">
        <f t="shared" si="5"/>
        <v>0</v>
      </c>
      <c r="Z20" s="62"/>
      <c r="AA20" s="75">
        <f t="shared" si="2"/>
        <v>15</v>
      </c>
      <c r="AB20" s="928"/>
      <c r="AC20" s="928"/>
      <c r="AD20" s="937">
        <f t="shared" si="6"/>
        <v>0</v>
      </c>
    </row>
    <row r="21" spans="1:30">
      <c r="A21" s="909">
        <f t="shared" si="7"/>
        <v>10</v>
      </c>
      <c r="B21" s="23" t="s">
        <v>1108</v>
      </c>
      <c r="J21" s="475"/>
      <c r="Q21" s="75">
        <f t="shared" si="0"/>
        <v>16</v>
      </c>
      <c r="R21" s="928"/>
      <c r="S21" s="928"/>
      <c r="T21" s="937">
        <f t="shared" si="4"/>
        <v>0</v>
      </c>
      <c r="U21" s="506"/>
      <c r="V21" s="75">
        <f t="shared" si="1"/>
        <v>16</v>
      </c>
      <c r="W21" s="928"/>
      <c r="X21" s="928"/>
      <c r="Y21" s="937">
        <f t="shared" si="5"/>
        <v>0</v>
      </c>
      <c r="Z21" s="62"/>
      <c r="AA21" s="75">
        <f t="shared" si="2"/>
        <v>16</v>
      </c>
      <c r="AB21" s="928"/>
      <c r="AC21" s="928"/>
      <c r="AD21" s="937">
        <f t="shared" si="6"/>
        <v>0</v>
      </c>
    </row>
    <row r="22" spans="1:30">
      <c r="A22" s="909"/>
      <c r="B22" s="23"/>
      <c r="Q22" s="75">
        <f t="shared" si="0"/>
        <v>17</v>
      </c>
      <c r="R22" s="928"/>
      <c r="S22" s="928"/>
      <c r="T22" s="937">
        <f t="shared" si="4"/>
        <v>0</v>
      </c>
      <c r="U22" s="506"/>
      <c r="V22" s="75">
        <f t="shared" si="1"/>
        <v>17</v>
      </c>
      <c r="W22" s="928"/>
      <c r="X22" s="928"/>
      <c r="Y22" s="937">
        <f t="shared" si="5"/>
        <v>0</v>
      </c>
      <c r="Z22" s="62"/>
      <c r="AA22" s="75">
        <f t="shared" si="2"/>
        <v>17</v>
      </c>
      <c r="AB22" s="928"/>
      <c r="AC22" s="928"/>
      <c r="AD22" s="937">
        <f t="shared" si="6"/>
        <v>0</v>
      </c>
    </row>
    <row r="23" spans="1:30">
      <c r="B23" s="977"/>
      <c r="O23" s="1604"/>
      <c r="Q23" s="75"/>
      <c r="R23" s="62"/>
      <c r="S23" s="62"/>
      <c r="T23" s="506"/>
      <c r="U23" s="506"/>
      <c r="V23" s="75"/>
      <c r="W23" s="62"/>
      <c r="X23" s="62"/>
      <c r="Y23" s="62"/>
      <c r="Z23" s="62"/>
      <c r="AA23" s="75"/>
      <c r="AB23" s="62"/>
      <c r="AC23" s="62"/>
      <c r="AD23" s="62"/>
    </row>
    <row r="24" spans="1:30">
      <c r="B24" s="977"/>
      <c r="O24" s="1605"/>
      <c r="Q24" s="75"/>
      <c r="R24" s="62"/>
      <c r="S24" s="62"/>
      <c r="T24" s="506"/>
      <c r="U24" s="506"/>
      <c r="V24" s="75"/>
      <c r="W24" s="62"/>
      <c r="X24" s="62"/>
      <c r="Y24" s="62"/>
      <c r="Z24" s="62"/>
      <c r="AA24" s="75"/>
      <c r="AB24" s="62"/>
      <c r="AC24" s="62"/>
      <c r="AD24" s="62"/>
    </row>
    <row r="25" spans="1:30">
      <c r="B25" s="977"/>
      <c r="Q25" s="75"/>
      <c r="R25" s="62"/>
      <c r="S25" s="62"/>
      <c r="T25" s="506"/>
      <c r="U25" s="506"/>
      <c r="V25" s="75"/>
      <c r="W25" s="62"/>
      <c r="X25" s="62"/>
      <c r="Y25" s="62"/>
      <c r="Z25" s="62"/>
      <c r="AA25" s="75"/>
      <c r="AB25" s="62"/>
      <c r="AC25" s="62"/>
      <c r="AD25" s="62"/>
    </row>
    <row r="26" spans="1:30">
      <c r="B26" s="977"/>
      <c r="Q26" s="75"/>
      <c r="R26" s="62"/>
      <c r="S26" s="62"/>
      <c r="T26" s="506"/>
      <c r="U26" s="506"/>
      <c r="V26" s="75"/>
      <c r="W26" s="62"/>
      <c r="X26" s="62"/>
      <c r="Y26" s="62"/>
      <c r="Z26" s="62"/>
      <c r="AA26" s="75"/>
      <c r="AB26" s="62"/>
      <c r="AC26" s="62"/>
      <c r="AD26" s="62"/>
    </row>
    <row r="27" spans="1:30">
      <c r="B27" s="977"/>
      <c r="Q27" s="75"/>
      <c r="R27" s="62"/>
      <c r="S27" s="62"/>
      <c r="T27" s="506"/>
      <c r="U27" s="506"/>
      <c r="V27" s="75"/>
      <c r="W27" s="62"/>
      <c r="X27" s="62"/>
      <c r="Y27" s="62"/>
      <c r="Z27" s="62"/>
      <c r="AA27" s="75"/>
      <c r="AB27" s="62"/>
      <c r="AC27" s="62"/>
      <c r="AD27" s="62"/>
    </row>
    <row r="28" spans="1:30">
      <c r="B28" s="977"/>
      <c r="Q28" s="75"/>
      <c r="R28" s="62"/>
      <c r="S28" s="62"/>
      <c r="T28" s="506"/>
      <c r="U28" s="506"/>
      <c r="V28" s="75"/>
      <c r="W28" s="62"/>
      <c r="X28" s="62"/>
      <c r="Y28" s="62"/>
      <c r="Z28" s="62"/>
      <c r="AA28" s="75"/>
      <c r="AB28" s="62"/>
      <c r="AC28" s="62"/>
      <c r="AD28" s="62"/>
    </row>
    <row r="29" spans="1:30">
      <c r="B29" s="977"/>
      <c r="Q29" s="75"/>
      <c r="R29" s="62"/>
      <c r="S29" s="62"/>
      <c r="T29" s="506"/>
      <c r="U29" s="506"/>
      <c r="V29" s="75"/>
      <c r="W29" s="62"/>
      <c r="X29" s="62"/>
      <c r="Y29" s="62"/>
      <c r="Z29" s="62"/>
      <c r="AA29" s="75"/>
      <c r="AB29" s="62"/>
      <c r="AC29" s="62"/>
      <c r="AD29" s="62"/>
    </row>
    <row r="30" spans="1:30">
      <c r="B30" s="977"/>
      <c r="Q30" s="75"/>
      <c r="R30" s="62"/>
      <c r="S30" s="62"/>
      <c r="T30" s="506"/>
      <c r="U30" s="506"/>
      <c r="V30" s="75"/>
      <c r="W30" s="62"/>
      <c r="X30" s="62"/>
      <c r="Y30" s="62"/>
      <c r="Z30" s="62"/>
      <c r="AA30" s="75"/>
      <c r="AB30" s="62"/>
      <c r="AC30" s="62"/>
      <c r="AD30" s="62"/>
    </row>
    <row r="31" spans="1:30">
      <c r="B31" s="977"/>
      <c r="Q31" s="75"/>
      <c r="R31" s="62"/>
      <c r="S31" s="62"/>
      <c r="T31" s="506"/>
      <c r="U31" s="506"/>
      <c r="V31" s="75"/>
      <c r="W31" s="62"/>
      <c r="X31" s="62"/>
      <c r="Y31" s="62"/>
      <c r="Z31" s="62"/>
      <c r="AA31" s="75"/>
      <c r="AB31" s="62"/>
      <c r="AC31" s="62"/>
      <c r="AD31" s="62"/>
    </row>
    <row r="32" spans="1:30">
      <c r="B32" s="977"/>
      <c r="Q32" s="75"/>
      <c r="R32" s="62"/>
      <c r="S32" s="62"/>
      <c r="T32" s="506"/>
      <c r="U32" s="506"/>
      <c r="V32" s="75"/>
      <c r="W32" s="62"/>
      <c r="X32" s="62"/>
      <c r="Y32" s="62"/>
      <c r="Z32" s="62"/>
      <c r="AA32" s="75"/>
      <c r="AB32" s="62"/>
      <c r="AC32" s="62"/>
      <c r="AD32" s="62"/>
    </row>
    <row r="33" spans="2:30">
      <c r="B33" s="977"/>
      <c r="Q33" s="75"/>
      <c r="R33" s="62"/>
      <c r="S33" s="62"/>
      <c r="T33" s="506"/>
      <c r="U33" s="506"/>
      <c r="V33" s="75"/>
      <c r="W33" s="62"/>
      <c r="X33" s="62"/>
      <c r="Y33" s="62"/>
      <c r="Z33" s="62"/>
      <c r="AA33" s="75"/>
      <c r="AB33" s="62"/>
      <c r="AC33" s="62"/>
      <c r="AD33" s="62"/>
    </row>
    <row r="34" spans="2:30">
      <c r="B34" s="977"/>
      <c r="Q34" s="75"/>
      <c r="R34" s="62"/>
      <c r="S34" s="62"/>
      <c r="T34" s="506"/>
      <c r="U34" s="506"/>
      <c r="V34" s="75"/>
      <c r="W34" s="62"/>
      <c r="X34" s="62"/>
      <c r="Y34" s="62"/>
      <c r="Z34" s="62"/>
      <c r="AA34" s="75"/>
      <c r="AB34" s="62"/>
      <c r="AC34" s="62"/>
      <c r="AD34" s="62"/>
    </row>
    <row r="35" spans="2:30">
      <c r="B35" s="977"/>
      <c r="Q35" s="82"/>
      <c r="T35" s="506"/>
      <c r="U35" s="506"/>
      <c r="V35" s="82"/>
      <c r="AA35" s="82"/>
      <c r="AD35" s="62"/>
    </row>
    <row r="36" spans="2:30">
      <c r="AD36" s="62"/>
    </row>
    <row r="37" spans="2:30">
      <c r="AD37" s="62"/>
    </row>
    <row r="38" spans="2:30">
      <c r="AD38" s="62"/>
    </row>
    <row r="39" spans="2:30">
      <c r="AD39" s="62"/>
    </row>
    <row r="40" spans="2:30">
      <c r="AD40" s="62"/>
    </row>
    <row r="41" spans="2:30">
      <c r="AD41" s="62"/>
    </row>
    <row r="42" spans="2:30">
      <c r="AD42" s="62"/>
    </row>
    <row r="43" spans="2:30">
      <c r="AD43" s="62"/>
    </row>
    <row r="44" spans="2:30">
      <c r="AD44" s="62"/>
    </row>
    <row r="45" spans="2:30">
      <c r="AD45" s="62"/>
    </row>
  </sheetData>
  <printOptions horizontalCentered="1"/>
  <pageMargins left="0.2" right="0.2" top="0.75" bottom="0.5" header="0.3" footer="0.3"/>
  <pageSetup scale="68" orientation="landscape"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A391"/>
  <sheetViews>
    <sheetView topLeftCell="A346" workbookViewId="0">
      <selection activeCell="O9" sqref="O9:O352"/>
    </sheetView>
  </sheetViews>
  <sheetFormatPr defaultColWidth="9.33203125" defaultRowHeight="12.75"/>
  <cols>
    <col min="1" max="1" width="6.83203125" style="256" customWidth="1"/>
    <col min="2" max="2" width="7.1640625" style="256" bestFit="1" customWidth="1"/>
    <col min="3" max="3" width="56.1640625" style="256" customWidth="1"/>
    <col min="4" max="4" width="3.33203125" style="256" customWidth="1"/>
    <col min="5" max="5" width="12" style="258" customWidth="1"/>
    <col min="6" max="6" width="3.33203125" style="255" customWidth="1"/>
    <col min="7" max="7" width="20.33203125" style="586" customWidth="1"/>
    <col min="8" max="8" width="3.33203125" style="256" customWidth="1"/>
    <col min="9" max="9" width="14" style="257" customWidth="1"/>
    <col min="10" max="10" width="3.33203125" style="256" customWidth="1"/>
    <col min="11" max="11" width="20.33203125" style="255" customWidth="1"/>
    <col min="12" max="12" width="1.33203125" style="255" customWidth="1"/>
    <col min="13" max="13" width="6.6640625" style="254" customWidth="1"/>
    <col min="14" max="14" width="18.6640625" style="582" customWidth="1"/>
    <col min="15" max="15" width="20.1640625" style="254" customWidth="1"/>
    <col min="16" max="16" width="3.1640625" style="254" customWidth="1"/>
    <col min="17" max="17" width="15.33203125" style="254" bestFit="1" customWidth="1"/>
    <col min="18" max="18" width="2.83203125" style="254" customWidth="1"/>
    <col min="19" max="20" width="15.83203125" style="254" customWidth="1"/>
    <col min="21" max="21" width="2.83203125" style="254" customWidth="1"/>
    <col min="22" max="23" width="15.83203125" style="254" customWidth="1"/>
    <col min="24" max="24" width="2.83203125" style="254" customWidth="1"/>
    <col min="25" max="26" width="15.83203125" style="254" customWidth="1"/>
    <col min="27" max="27" width="2.83203125" style="254" customWidth="1"/>
    <col min="28" max="29" width="15.83203125" style="254" customWidth="1"/>
    <col min="30" max="30" width="2.83203125" style="254" customWidth="1"/>
    <col min="31" max="32" width="15.83203125" style="254" customWidth="1"/>
    <col min="33" max="33" width="2.83203125" style="254" customWidth="1"/>
    <col min="34" max="35" width="15.83203125" style="254" customWidth="1"/>
    <col min="36" max="36" width="2.83203125" style="254" customWidth="1"/>
    <col min="37" max="38" width="15.83203125" style="254" customWidth="1"/>
    <col min="39" max="39" width="2.83203125" style="254" customWidth="1"/>
    <col min="40" max="41" width="15.83203125" style="254" customWidth="1"/>
    <col min="42" max="42" width="2.83203125" style="254" customWidth="1"/>
    <col min="43" max="44" width="15.83203125" style="254" customWidth="1"/>
    <col min="45" max="45" width="2.83203125" style="254" customWidth="1"/>
    <col min="46" max="47" width="15.83203125" style="254" customWidth="1"/>
    <col min="48" max="48" width="2.83203125" style="254" customWidth="1"/>
    <col min="49" max="50" width="15.83203125" style="254" customWidth="1"/>
    <col min="51" max="51" width="2.83203125" style="254" customWidth="1"/>
    <col min="52" max="53" width="15.83203125" style="254" customWidth="1"/>
    <col min="54" max="54" width="2.83203125" style="254" customWidth="1"/>
    <col min="55" max="56" width="15.83203125" style="254" customWidth="1"/>
    <col min="57" max="57" width="2.83203125" style="254" customWidth="1"/>
    <col min="58" max="59" width="15.83203125" style="254" customWidth="1"/>
    <col min="60" max="60" width="2.83203125" style="254" customWidth="1"/>
    <col min="61" max="62" width="15.83203125" style="254" customWidth="1"/>
    <col min="63" max="63" width="2.83203125" style="254" customWidth="1"/>
    <col min="64" max="65" width="15.83203125" style="254" customWidth="1"/>
    <col min="66" max="66" width="2.83203125" style="254" customWidth="1"/>
    <col min="67" max="68" width="15.83203125" style="254" customWidth="1"/>
    <col min="69" max="69" width="2.83203125" style="254" customWidth="1"/>
    <col min="70" max="71" width="15.83203125" style="254" customWidth="1"/>
    <col min="72" max="72" width="2.83203125" style="254" customWidth="1"/>
    <col min="73" max="74" width="15.83203125" style="254" customWidth="1"/>
    <col min="75" max="75" width="2.83203125" style="254" customWidth="1"/>
    <col min="76" max="77" width="15.83203125" style="254" customWidth="1"/>
    <col min="78" max="78" width="2.83203125" style="254" customWidth="1"/>
    <col min="79" max="80" width="15.83203125" style="254" customWidth="1"/>
    <col min="81" max="81" width="2.83203125" style="254" customWidth="1"/>
    <col min="82" max="83" width="15.83203125" style="254" customWidth="1"/>
    <col min="84" max="84" width="2.83203125" style="254" customWidth="1"/>
    <col min="85" max="86" width="15.83203125" style="254" customWidth="1"/>
    <col min="87" max="87" width="11.83203125" style="254" customWidth="1"/>
    <col min="88" max="89" width="15.83203125" style="254" customWidth="1"/>
    <col min="90" max="90" width="2.83203125" style="254" customWidth="1"/>
    <col min="91" max="92" width="15.83203125" style="254" customWidth="1"/>
    <col min="93" max="93" width="2.83203125" style="254" customWidth="1"/>
    <col min="94" max="95" width="15.83203125" style="254" customWidth="1"/>
    <col min="96" max="96" width="2.83203125" style="254" customWidth="1"/>
    <col min="97" max="98" width="15.83203125" style="254" customWidth="1"/>
    <col min="99" max="99" width="2.83203125" style="254" customWidth="1"/>
    <col min="100" max="101" width="15.83203125" style="254" customWidth="1"/>
    <col min="102" max="102" width="2.83203125" style="254" customWidth="1"/>
    <col min="103" max="104" width="15.83203125" style="254" customWidth="1"/>
    <col min="105" max="105" width="11.33203125" style="254" bestFit="1" customWidth="1"/>
    <col min="106" max="16384" width="9.33203125" style="254"/>
  </cols>
  <sheetData>
    <row r="1" spans="1:104">
      <c r="A1" s="69" t="str">
        <f>Company</f>
        <v>BLACK HILLS NEBRASKA GAS, LLC</v>
      </c>
      <c r="B1" s="69"/>
      <c r="C1" s="323"/>
      <c r="D1" s="323"/>
      <c r="E1" s="323"/>
      <c r="F1" s="323"/>
      <c r="G1" s="739"/>
      <c r="H1" s="323"/>
      <c r="I1" s="323"/>
      <c r="J1" s="323"/>
      <c r="L1" s="309"/>
      <c r="N1" s="1128"/>
      <c r="O1" s="72" t="str">
        <f>Attach</f>
        <v>FINAL - BH January 15, 2021 Rev. Req. Model</v>
      </c>
      <c r="P1" s="1127"/>
      <c r="S1" s="1645" t="str">
        <f>'MCC Testimony Table'!F8</f>
        <v>Y</v>
      </c>
      <c r="V1" s="1645" t="str">
        <f>'MCC Testimony Table'!F9</f>
        <v>Y</v>
      </c>
      <c r="Y1" s="1645" t="str">
        <f>'MCC Testimony Table'!F10</f>
        <v>Y</v>
      </c>
      <c r="AB1" s="1645" t="str">
        <f>'MCC Testimony Table'!F11</f>
        <v>Y</v>
      </c>
      <c r="AE1" s="1645" t="str">
        <f>'MCC Testimony Table'!F12</f>
        <v>Y</v>
      </c>
      <c r="AH1" s="1645" t="str">
        <f>'MCC Testimony Table'!F13</f>
        <v>Y</v>
      </c>
      <c r="AK1" s="1645" t="str">
        <f>'MCC Testimony Table'!F14</f>
        <v>Y</v>
      </c>
      <c r="AN1" s="1645" t="str">
        <f>'MCC Testimony Table'!F15</f>
        <v>Y</v>
      </c>
      <c r="AQ1" s="1645" t="str">
        <f>'MCC Testimony Table'!F16</f>
        <v>Y</v>
      </c>
      <c r="AT1" s="1645" t="str">
        <f>'MCC Testimony Table'!F17</f>
        <v>Y</v>
      </c>
      <c r="AW1" s="1645" t="str">
        <f>'MCC Testimony Table'!F19</f>
        <v>Y</v>
      </c>
      <c r="AZ1" s="1645" t="str">
        <f>'MCC Testimony Table'!F20</f>
        <v>Y</v>
      </c>
      <c r="BC1" s="1645">
        <f>'MCC Testimony Table'!F21</f>
        <v>0</v>
      </c>
      <c r="BF1" s="1645" t="str">
        <f>'MCC Testimony Table'!F22</f>
        <v>Y</v>
      </c>
      <c r="BI1" s="1645" t="str">
        <f>'MCC Testimony Table'!F23</f>
        <v>Y</v>
      </c>
      <c r="BL1" s="1645" t="str">
        <f>'MCC Testimony Table'!F24</f>
        <v>Y</v>
      </c>
      <c r="BO1" s="1645" t="str">
        <f>'MCC Testimony Table'!F25</f>
        <v>Y</v>
      </c>
      <c r="BR1" s="1645" t="str">
        <f>'MCC Testimony Table'!F26</f>
        <v>Y</v>
      </c>
      <c r="BU1" s="1645" t="str">
        <f>'MCC Testimony Table'!F27</f>
        <v>Y</v>
      </c>
      <c r="BX1" s="1645" t="str">
        <f>'MCC Testimony Table'!F28</f>
        <v>Y</v>
      </c>
      <c r="CA1" s="1645" t="str">
        <f>'MCC Testimony Table'!F29</f>
        <v>Y</v>
      </c>
      <c r="CD1" s="1645" t="str">
        <f>'MCC Testimony Table'!F30</f>
        <v>Y</v>
      </c>
      <c r="CG1" s="1645" t="str">
        <f>'MCC Testimony Table'!F32</f>
        <v>Y</v>
      </c>
      <c r="CJ1" s="1645" t="str">
        <f>'MCC Testimony Table'!F33</f>
        <v>N</v>
      </c>
      <c r="CM1" s="1645" t="str">
        <f>'MCC Testimony Table'!F34</f>
        <v>Y</v>
      </c>
      <c r="CP1" s="1645" t="str">
        <f>'MCC Testimony Table'!F35</f>
        <v>Y</v>
      </c>
      <c r="CS1" s="1645" t="str">
        <f>'MCC Testimony Table'!F36</f>
        <v>Y</v>
      </c>
      <c r="CV1" s="1645" t="str">
        <f>'MCC Testimony Table'!F37</f>
        <v>Y</v>
      </c>
      <c r="CY1" s="1645" t="e">
        <f>'MCC Testimony Table'!#REF!</f>
        <v>#REF!</v>
      </c>
    </row>
    <row r="2" spans="1:104">
      <c r="A2" s="201" t="s">
        <v>309</v>
      </c>
      <c r="B2" s="201"/>
      <c r="C2" s="323"/>
      <c r="D2" s="323"/>
      <c r="E2" s="323"/>
      <c r="F2" s="323"/>
      <c r="G2" s="739"/>
      <c r="H2" s="323"/>
      <c r="I2" s="323"/>
      <c r="J2" s="323"/>
      <c r="O2" s="56" t="s">
        <v>479</v>
      </c>
      <c r="P2" s="1127"/>
      <c r="CH2" s="582"/>
      <c r="CK2" s="582"/>
      <c r="CN2" s="1749"/>
      <c r="CQ2" s="1749"/>
      <c r="CT2" s="1749"/>
      <c r="CW2" s="1749"/>
    </row>
    <row r="3" spans="1:104">
      <c r="A3" s="70" t="str">
        <f>TYEnded</f>
        <v>FOR THE TEST YEAR ENDING DECEMBER 31, 2020</v>
      </c>
      <c r="B3" s="70"/>
      <c r="C3" s="323"/>
      <c r="D3" s="323"/>
      <c r="E3" s="323"/>
      <c r="F3" s="323"/>
      <c r="G3" s="739"/>
      <c r="H3" s="323"/>
      <c r="I3" s="323"/>
      <c r="J3" s="323"/>
      <c r="AW3" s="582"/>
      <c r="AX3" s="582"/>
      <c r="AY3" s="582"/>
      <c r="AZ3" s="582"/>
      <c r="BA3" s="582"/>
      <c r="BB3" s="582"/>
      <c r="BC3" s="582"/>
      <c r="BD3" s="582"/>
      <c r="BE3" s="582"/>
      <c r="BF3" s="582"/>
      <c r="BG3" s="582"/>
      <c r="BH3" s="582"/>
      <c r="BI3" s="582"/>
      <c r="BJ3" s="582"/>
      <c r="BK3" s="582"/>
      <c r="BL3" s="582"/>
      <c r="BM3" s="582"/>
      <c r="BN3" s="582"/>
      <c r="BO3" s="582"/>
      <c r="BP3" s="582"/>
      <c r="BQ3" s="582"/>
      <c r="BR3" s="582"/>
    </row>
    <row r="4" spans="1:104">
      <c r="A4" s="1375"/>
      <c r="B4" s="70"/>
      <c r="C4" s="323"/>
      <c r="D4" s="323"/>
      <c r="E4" s="323"/>
      <c r="F4" s="323"/>
      <c r="G4" s="1784" t="s">
        <v>347</v>
      </c>
      <c r="H4" s="1784"/>
      <c r="I4" s="1784"/>
      <c r="J4" s="1784"/>
      <c r="K4" s="1784"/>
      <c r="M4" s="1785" t="s">
        <v>1062</v>
      </c>
      <c r="N4" s="1785"/>
      <c r="O4" s="1785"/>
    </row>
    <row r="5" spans="1:104">
      <c r="A5" s="307" t="s">
        <v>365</v>
      </c>
      <c r="B5" s="307" t="s">
        <v>241</v>
      </c>
      <c r="C5" s="307"/>
      <c r="D5" s="307"/>
      <c r="E5" s="307"/>
      <c r="F5" s="308"/>
      <c r="G5" s="740" t="s">
        <v>199</v>
      </c>
      <c r="H5" s="307"/>
      <c r="I5" s="307" t="s">
        <v>200</v>
      </c>
      <c r="J5" s="307"/>
      <c r="K5" s="307" t="s">
        <v>41</v>
      </c>
      <c r="M5" s="307" t="s">
        <v>202</v>
      </c>
      <c r="N5" s="307" t="s">
        <v>1077</v>
      </c>
      <c r="O5" s="307" t="s">
        <v>1079</v>
      </c>
      <c r="BF5" s="1749"/>
      <c r="BG5" s="1749"/>
      <c r="BH5" s="1749"/>
      <c r="BI5" s="1749"/>
      <c r="BJ5" s="1749"/>
      <c r="BK5" s="1749"/>
      <c r="BL5" s="1749"/>
      <c r="BM5" s="1749"/>
      <c r="BN5" s="1749"/>
      <c r="BO5" s="1749"/>
      <c r="BP5" s="1749"/>
      <c r="BQ5" s="1749"/>
      <c r="BR5" s="1749"/>
      <c r="BS5" s="1749"/>
      <c r="BT5" s="1749"/>
      <c r="BU5" s="1749"/>
      <c r="BV5" s="1749"/>
      <c r="BW5" s="1749"/>
      <c r="BX5" s="1749"/>
      <c r="BY5" s="1749"/>
      <c r="BZ5" s="1750"/>
      <c r="CA5" s="1751"/>
      <c r="CB5" s="1751"/>
      <c r="CC5" s="1751"/>
      <c r="CD5" s="1751"/>
      <c r="CE5" s="1751"/>
      <c r="CF5" s="1751"/>
      <c r="CG5" s="1770"/>
      <c r="CH5" s="1770"/>
      <c r="CI5" s="1770"/>
      <c r="CJ5" s="1770"/>
      <c r="CK5" s="1770"/>
      <c r="CL5" s="1770"/>
      <c r="CM5" s="1770"/>
      <c r="CN5" s="1770"/>
      <c r="CO5" s="1770"/>
      <c r="CP5" s="1770"/>
      <c r="CQ5" s="1770"/>
      <c r="CR5" s="1770"/>
      <c r="CS5" s="1770"/>
      <c r="CT5" s="1770"/>
      <c r="CU5" s="1770"/>
      <c r="CV5" s="1770"/>
      <c r="CW5" s="1770"/>
      <c r="CX5" s="1770"/>
      <c r="CY5" s="1770"/>
      <c r="CZ5" s="1770"/>
    </row>
    <row r="6" spans="1:104" ht="63.75">
      <c r="A6" s="384" t="s">
        <v>195</v>
      </c>
      <c r="B6" s="384" t="s">
        <v>515</v>
      </c>
      <c r="C6" s="384" t="s">
        <v>196</v>
      </c>
      <c r="D6" s="385"/>
      <c r="E6" s="384" t="s">
        <v>285</v>
      </c>
      <c r="F6" s="386"/>
      <c r="G6" s="741" t="s">
        <v>1053</v>
      </c>
      <c r="H6" s="386"/>
      <c r="I6" s="387" t="s">
        <v>285</v>
      </c>
      <c r="J6" s="386"/>
      <c r="K6" s="388" t="s">
        <v>817</v>
      </c>
      <c r="M6" s="388" t="s">
        <v>1057</v>
      </c>
      <c r="N6" s="741" t="s">
        <v>1063</v>
      </c>
      <c r="O6" s="388" t="s">
        <v>1058</v>
      </c>
      <c r="Q6" s="388" t="s">
        <v>1533</v>
      </c>
      <c r="R6" s="256"/>
      <c r="S6" s="1642" t="s">
        <v>1536</v>
      </c>
      <c r="T6" s="256"/>
      <c r="U6" s="256"/>
      <c r="V6" s="1642" t="s">
        <v>1572</v>
      </c>
      <c r="W6" s="256"/>
      <c r="X6" s="256"/>
      <c r="Y6" s="1642" t="s">
        <v>1552</v>
      </c>
      <c r="Z6" s="256"/>
      <c r="AA6" s="256"/>
      <c r="AB6" s="1642" t="s">
        <v>1554</v>
      </c>
      <c r="AC6" s="256"/>
      <c r="AD6" s="256"/>
      <c r="AE6" s="1642" t="s">
        <v>1557</v>
      </c>
      <c r="AF6" s="256"/>
      <c r="AG6" s="256"/>
      <c r="AH6" s="1642" t="s">
        <v>1534</v>
      </c>
      <c r="AI6" s="256"/>
      <c r="AJ6" s="256"/>
      <c r="AK6" s="1642" t="s">
        <v>1558</v>
      </c>
      <c r="AL6" s="256"/>
      <c r="AM6" s="256"/>
      <c r="AN6" s="1642" t="s">
        <v>1573</v>
      </c>
      <c r="AO6" s="256"/>
      <c r="AP6" s="256"/>
      <c r="AQ6" s="1642" t="s">
        <v>1574</v>
      </c>
      <c r="AR6" s="256"/>
      <c r="AS6" s="256"/>
      <c r="AT6" s="1642" t="s">
        <v>1563</v>
      </c>
      <c r="AU6" s="256"/>
      <c r="AV6" s="256"/>
      <c r="AW6" s="1783" t="s">
        <v>1609</v>
      </c>
      <c r="AX6" s="1783"/>
      <c r="AY6" s="256"/>
      <c r="AZ6" s="1783" t="s">
        <v>1610</v>
      </c>
      <c r="BA6" s="1783"/>
      <c r="BB6" s="256"/>
      <c r="BC6" s="1783" t="s">
        <v>1611</v>
      </c>
      <c r="BD6" s="1783"/>
      <c r="BE6" s="256"/>
      <c r="BF6" s="256" t="s">
        <v>1604</v>
      </c>
      <c r="BG6" s="256"/>
      <c r="BH6" s="256"/>
      <c r="BI6" s="1783" t="s">
        <v>1608</v>
      </c>
      <c r="BJ6" s="1783"/>
      <c r="BK6" s="256"/>
      <c r="BL6" s="1783" t="s">
        <v>1612</v>
      </c>
      <c r="BM6" s="1783"/>
      <c r="BN6" s="256"/>
      <c r="BO6" s="1783" t="s">
        <v>1626</v>
      </c>
      <c r="BP6" s="1783"/>
      <c r="BQ6" s="256"/>
      <c r="BR6" s="1783" t="s">
        <v>1643</v>
      </c>
      <c r="BS6" s="1783"/>
      <c r="BT6" s="256"/>
      <c r="BU6" s="1783" t="s">
        <v>1637</v>
      </c>
      <c r="BV6" s="1783"/>
      <c r="BW6" s="256"/>
      <c r="BX6" s="1783" t="s">
        <v>1640</v>
      </c>
      <c r="BY6" s="1783"/>
      <c r="BZ6" s="256"/>
      <c r="CA6" s="1783" t="s">
        <v>1641</v>
      </c>
      <c r="CB6" s="1783"/>
      <c r="CC6" s="256"/>
      <c r="CD6" s="1783" t="s">
        <v>1586</v>
      </c>
      <c r="CE6" s="1783"/>
      <c r="CF6" s="256"/>
      <c r="CG6" s="1783" t="s">
        <v>1653</v>
      </c>
      <c r="CH6" s="1783"/>
      <c r="CI6" s="256"/>
      <c r="CJ6" s="1783" t="s">
        <v>1671</v>
      </c>
      <c r="CK6" s="1783"/>
      <c r="CL6" s="256"/>
      <c r="CM6" s="1783" t="s">
        <v>1672</v>
      </c>
      <c r="CN6" s="1783"/>
      <c r="CO6" s="256"/>
      <c r="CP6" s="1783" t="s">
        <v>1673</v>
      </c>
      <c r="CQ6" s="1783"/>
      <c r="CR6" s="256"/>
      <c r="CS6" s="1783" t="s">
        <v>1662</v>
      </c>
      <c r="CT6" s="1783"/>
      <c r="CU6" s="256"/>
      <c r="CV6" s="1783" t="s">
        <v>1682</v>
      </c>
      <c r="CW6" s="1783"/>
      <c r="CX6" s="256"/>
      <c r="CY6" s="1783"/>
      <c r="CZ6" s="1783"/>
    </row>
    <row r="7" spans="1:104">
      <c r="A7" s="305"/>
      <c r="B7" s="305"/>
      <c r="C7" s="305"/>
      <c r="D7" s="306"/>
      <c r="E7" s="305"/>
      <c r="F7" s="303"/>
      <c r="G7" s="742"/>
      <c r="H7" s="303"/>
      <c r="I7" s="304"/>
      <c r="J7" s="303"/>
      <c r="K7" s="45"/>
      <c r="N7" s="742"/>
      <c r="Q7" s="45"/>
      <c r="R7" s="256"/>
      <c r="S7" s="1643" t="s">
        <v>347</v>
      </c>
      <c r="T7" s="1643" t="s">
        <v>1062</v>
      </c>
      <c r="U7" s="256"/>
      <c r="V7" s="1643" t="s">
        <v>347</v>
      </c>
      <c r="W7" s="1643" t="s">
        <v>1062</v>
      </c>
      <c r="X7" s="256"/>
      <c r="Y7" s="1643" t="s">
        <v>347</v>
      </c>
      <c r="Z7" s="1643" t="s">
        <v>1062</v>
      </c>
      <c r="AA7" s="256"/>
      <c r="AB7" s="1643" t="s">
        <v>347</v>
      </c>
      <c r="AC7" s="1643" t="s">
        <v>1062</v>
      </c>
      <c r="AD7" s="256"/>
      <c r="AE7" s="1643" t="s">
        <v>347</v>
      </c>
      <c r="AF7" s="1643" t="s">
        <v>1062</v>
      </c>
      <c r="AG7" s="256"/>
      <c r="AH7" s="1643" t="s">
        <v>347</v>
      </c>
      <c r="AI7" s="1643" t="s">
        <v>1062</v>
      </c>
      <c r="AJ7" s="256"/>
      <c r="AK7" s="1643" t="s">
        <v>347</v>
      </c>
      <c r="AL7" s="1643" t="s">
        <v>1062</v>
      </c>
      <c r="AM7" s="256"/>
      <c r="AN7" s="1643" t="s">
        <v>347</v>
      </c>
      <c r="AO7" s="1643" t="s">
        <v>1062</v>
      </c>
      <c r="AP7" s="256"/>
      <c r="AQ7" s="1643" t="s">
        <v>347</v>
      </c>
      <c r="AR7" s="1643" t="s">
        <v>1062</v>
      </c>
      <c r="AS7" s="256"/>
      <c r="AT7" s="1643" t="s">
        <v>347</v>
      </c>
      <c r="AU7" s="1643" t="s">
        <v>1062</v>
      </c>
      <c r="AV7" s="256"/>
      <c r="AW7" s="1643" t="s">
        <v>347</v>
      </c>
      <c r="AX7" s="1643" t="s">
        <v>1062</v>
      </c>
      <c r="AY7" s="256"/>
      <c r="AZ7" s="1643" t="s">
        <v>347</v>
      </c>
      <c r="BA7" s="1643" t="s">
        <v>1062</v>
      </c>
      <c r="BB7" s="256"/>
      <c r="BC7" s="1643" t="s">
        <v>347</v>
      </c>
      <c r="BD7" s="1643" t="s">
        <v>1062</v>
      </c>
      <c r="BE7" s="256"/>
      <c r="BF7" s="1643" t="s">
        <v>347</v>
      </c>
      <c r="BG7" s="1643" t="s">
        <v>1062</v>
      </c>
      <c r="BH7" s="256"/>
      <c r="BI7" s="1643" t="s">
        <v>347</v>
      </c>
      <c r="BJ7" s="1643" t="s">
        <v>1062</v>
      </c>
      <c r="BK7" s="256"/>
      <c r="BL7" s="1643" t="s">
        <v>347</v>
      </c>
      <c r="BM7" s="1643" t="s">
        <v>1062</v>
      </c>
      <c r="BN7" s="256"/>
      <c r="BO7" s="1643" t="s">
        <v>347</v>
      </c>
      <c r="BP7" s="1643" t="s">
        <v>1062</v>
      </c>
      <c r="BQ7" s="256"/>
      <c r="BR7" s="1643" t="s">
        <v>347</v>
      </c>
      <c r="BS7" s="1643" t="s">
        <v>1062</v>
      </c>
      <c r="BT7" s="256"/>
      <c r="BU7" s="1643" t="s">
        <v>347</v>
      </c>
      <c r="BV7" s="1643" t="s">
        <v>1062</v>
      </c>
      <c r="BW7" s="256"/>
      <c r="BX7" s="1643" t="s">
        <v>347</v>
      </c>
      <c r="BY7" s="1643" t="s">
        <v>1062</v>
      </c>
      <c r="BZ7" s="256"/>
      <c r="CA7" s="1643" t="s">
        <v>347</v>
      </c>
      <c r="CB7" s="1643" t="s">
        <v>1062</v>
      </c>
      <c r="CC7" s="256"/>
      <c r="CD7" s="1643" t="s">
        <v>347</v>
      </c>
      <c r="CE7" s="1643" t="s">
        <v>1062</v>
      </c>
      <c r="CF7" s="256"/>
      <c r="CG7" s="1643" t="s">
        <v>347</v>
      </c>
      <c r="CH7" s="1643" t="s">
        <v>1062</v>
      </c>
      <c r="CI7" s="256"/>
      <c r="CJ7" s="1643" t="s">
        <v>347</v>
      </c>
      <c r="CK7" s="1643" t="s">
        <v>1062</v>
      </c>
      <c r="CL7" s="256"/>
      <c r="CM7" s="1643" t="s">
        <v>347</v>
      </c>
      <c r="CN7" s="1643" t="s">
        <v>1062</v>
      </c>
      <c r="CO7" s="256"/>
      <c r="CP7" s="1643" t="s">
        <v>347</v>
      </c>
      <c r="CQ7" s="1643" t="s">
        <v>1062</v>
      </c>
      <c r="CR7" s="256"/>
      <c r="CS7" s="1643" t="s">
        <v>347</v>
      </c>
      <c r="CT7" s="1643" t="s">
        <v>1062</v>
      </c>
      <c r="CU7" s="256"/>
      <c r="CV7" s="1643" t="s">
        <v>347</v>
      </c>
      <c r="CW7" s="1643" t="s">
        <v>1062</v>
      </c>
      <c r="CX7" s="256"/>
      <c r="CY7" s="1643" t="s">
        <v>347</v>
      </c>
      <c r="CZ7" s="1643" t="s">
        <v>1062</v>
      </c>
    </row>
    <row r="8" spans="1:104">
      <c r="A8" s="260">
        <v>1</v>
      </c>
      <c r="B8" s="260"/>
      <c r="C8" s="275" t="s">
        <v>254</v>
      </c>
      <c r="D8" s="302"/>
      <c r="E8" s="301"/>
      <c r="F8" s="300"/>
      <c r="G8" s="353"/>
      <c r="H8" s="267"/>
      <c r="I8" s="268"/>
      <c r="J8" s="267"/>
      <c r="K8" s="39"/>
      <c r="N8" s="353"/>
      <c r="Q8" s="39"/>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row>
    <row r="9" spans="1:104">
      <c r="A9" s="260">
        <f>A8+1</f>
        <v>2</v>
      </c>
      <c r="B9" s="260">
        <f>'Sched D-1'!B11</f>
        <v>301</v>
      </c>
      <c r="C9" s="862" t="str">
        <f>'Sched D-1'!C11</f>
        <v>Intangibles Organization</v>
      </c>
      <c r="D9" s="302"/>
      <c r="E9" s="289" t="s">
        <v>539</v>
      </c>
      <c r="F9" s="300"/>
      <c r="G9" s="353">
        <f>'Sched D-1'!G11</f>
        <v>256</v>
      </c>
      <c r="H9" s="267"/>
      <c r="I9" s="583" t="s">
        <v>539</v>
      </c>
      <c r="J9" s="267"/>
      <c r="K9" s="297">
        <f>'Sched D-1'!O11</f>
        <v>256</v>
      </c>
      <c r="M9" s="1624">
        <f>IF(ISERROR(O9/K9),0,O9/K9)</f>
        <v>0.87194347602411737</v>
      </c>
      <c r="N9" s="1614">
        <f>M9*G9</f>
        <v>223.21752986217405</v>
      </c>
      <c r="O9" s="1614">
        <v>223.21752986217405</v>
      </c>
      <c r="Q9" s="1684">
        <v>256</v>
      </c>
      <c r="R9" s="256"/>
      <c r="S9" s="1684">
        <v>256</v>
      </c>
      <c r="T9" s="1685">
        <v>223.03699409573102</v>
      </c>
      <c r="U9" s="256"/>
      <c r="V9" s="1684">
        <v>256</v>
      </c>
      <c r="W9" s="1685">
        <v>223.03699409573102</v>
      </c>
      <c r="X9" s="256"/>
      <c r="Y9" s="1684">
        <v>256</v>
      </c>
      <c r="Z9" s="1685">
        <v>223.03913775302732</v>
      </c>
      <c r="AA9" s="256"/>
      <c r="AB9" s="1684">
        <v>256</v>
      </c>
      <c r="AC9" s="1685">
        <v>223.02107395176444</v>
      </c>
      <c r="AD9" s="256"/>
      <c r="AE9" s="1684">
        <v>256</v>
      </c>
      <c r="AF9" s="1685">
        <v>223.02107395176444</v>
      </c>
      <c r="AG9" s="256"/>
      <c r="AH9" s="1684">
        <v>256</v>
      </c>
      <c r="AI9" s="1685">
        <v>223.02107395176449</v>
      </c>
      <c r="AJ9" s="256"/>
      <c r="AK9" s="1684">
        <v>256</v>
      </c>
      <c r="AL9" s="1685">
        <v>223.01858281779903</v>
      </c>
      <c r="AM9" s="256"/>
      <c r="AN9" s="1684">
        <v>256</v>
      </c>
      <c r="AO9" s="1685">
        <v>223.02000957624699</v>
      </c>
      <c r="AP9" s="256"/>
      <c r="AQ9" s="1684">
        <v>256</v>
      </c>
      <c r="AR9" s="1685">
        <v>223.02000957624702</v>
      </c>
      <c r="AS9" s="256"/>
      <c r="AT9" s="1684">
        <v>256</v>
      </c>
      <c r="AU9" s="1684">
        <v>223.02000957624699</v>
      </c>
      <c r="AV9" s="256"/>
      <c r="AW9" s="1684">
        <v>256</v>
      </c>
      <c r="AX9" s="1684">
        <v>223.02000957624699</v>
      </c>
      <c r="AY9" s="256"/>
      <c r="AZ9" s="1684">
        <v>256</v>
      </c>
      <c r="BA9" s="1684">
        <v>223.02000957624702</v>
      </c>
      <c r="BB9" s="256"/>
      <c r="BC9" s="1684">
        <v>256</v>
      </c>
      <c r="BD9" s="1684">
        <v>223.02000957624702</v>
      </c>
      <c r="BE9" s="256"/>
      <c r="BF9" s="1684">
        <v>256</v>
      </c>
      <c r="BG9" s="1684">
        <v>223.02000957624699</v>
      </c>
      <c r="BH9" s="256"/>
      <c r="BI9" s="1684">
        <v>256</v>
      </c>
      <c r="BJ9" s="1684">
        <v>223.02000957624702</v>
      </c>
      <c r="BK9" s="256"/>
      <c r="BL9" s="1684">
        <v>256</v>
      </c>
      <c r="BM9" s="1684">
        <v>223.02000957624699</v>
      </c>
      <c r="BN9" s="256"/>
      <c r="BO9" s="1684">
        <v>256</v>
      </c>
      <c r="BP9" s="1684">
        <v>223.02000957624699</v>
      </c>
      <c r="BQ9" s="256"/>
      <c r="BR9" s="1684">
        <v>256</v>
      </c>
      <c r="BS9" s="1684">
        <v>223.02000957624699</v>
      </c>
      <c r="BT9" s="256"/>
      <c r="BU9" s="1684">
        <v>256</v>
      </c>
      <c r="BV9" s="1684">
        <v>223.02000957624699</v>
      </c>
      <c r="BW9" s="256"/>
      <c r="BX9" s="1684">
        <v>256</v>
      </c>
      <c r="BY9" s="1684">
        <v>223.02000957624702</v>
      </c>
      <c r="BZ9" s="256"/>
      <c r="CA9" s="1684">
        <v>256</v>
      </c>
      <c r="CB9" s="1684">
        <v>223.17336150869997</v>
      </c>
      <c r="CC9" s="256"/>
      <c r="CD9" s="1684">
        <v>256</v>
      </c>
      <c r="CE9" s="1684">
        <v>223.17336150869997</v>
      </c>
      <c r="CF9" s="256"/>
      <c r="CG9" s="1684">
        <v>256</v>
      </c>
      <c r="CH9" s="1684">
        <v>223.17336150869997</v>
      </c>
      <c r="CI9" s="1684">
        <f t="shared" ref="CI9:CI72" si="0">CH9-CE9</f>
        <v>0</v>
      </c>
      <c r="CJ9" s="1684">
        <v>256</v>
      </c>
      <c r="CK9" s="1684">
        <v>223.17336150869997</v>
      </c>
      <c r="CL9" s="256"/>
      <c r="CM9" s="1684">
        <v>256</v>
      </c>
      <c r="CN9" s="1684">
        <v>223.19203255750023</v>
      </c>
      <c r="CO9" s="256"/>
      <c r="CP9" s="297">
        <v>256</v>
      </c>
      <c r="CQ9" s="1684">
        <v>223.19203255750023</v>
      </c>
      <c r="CR9" s="256"/>
      <c r="CS9" s="297">
        <v>256</v>
      </c>
      <c r="CT9" s="1684">
        <v>223.21752986217405</v>
      </c>
      <c r="CU9" s="256"/>
      <c r="CV9" s="1684">
        <v>256</v>
      </c>
      <c r="CW9" s="1684">
        <v>223.21752986217405</v>
      </c>
      <c r="CX9" s="256"/>
      <c r="CY9" s="1684"/>
      <c r="CZ9" s="1684"/>
    </row>
    <row r="10" spans="1:104">
      <c r="A10" s="260">
        <f t="shared" ref="A10:A86" si="1">A9+1</f>
        <v>3</v>
      </c>
      <c r="B10" s="260">
        <f>'Sched D-1'!B12</f>
        <v>302</v>
      </c>
      <c r="C10" s="862" t="str">
        <f>'Sched D-1'!C12</f>
        <v>Intangibles Franchises &amp; Consents</v>
      </c>
      <c r="E10" s="289" t="s">
        <v>539</v>
      </c>
      <c r="G10" s="207">
        <f>'Sched D-1'!G12</f>
        <v>121062.49</v>
      </c>
      <c r="H10" s="1239"/>
      <c r="I10" s="632" t="s">
        <v>539</v>
      </c>
      <c r="J10" s="1239"/>
      <c r="K10" s="207">
        <f>'Sched D-1'!O12</f>
        <v>121062.49</v>
      </c>
      <c r="M10" s="1624">
        <f>IF(ISERROR(O10/K10),0,O10/K10)</f>
        <v>0.87194347602411748</v>
      </c>
      <c r="N10" s="1625">
        <f>M10*G10</f>
        <v>105559.64834673496</v>
      </c>
      <c r="O10" s="1625">
        <v>105559.64834673496</v>
      </c>
      <c r="Q10" s="1065">
        <v>121062.49</v>
      </c>
      <c r="R10" s="256"/>
      <c r="S10" s="1065">
        <v>121062.49</v>
      </c>
      <c r="T10" s="1686">
        <v>105474.27291931445</v>
      </c>
      <c r="U10" s="256"/>
      <c r="V10" s="1065">
        <v>121062.49</v>
      </c>
      <c r="W10" s="1686">
        <v>105474.27291931445</v>
      </c>
      <c r="X10" s="256"/>
      <c r="Y10" s="1065">
        <v>121062.49</v>
      </c>
      <c r="Z10" s="1686">
        <v>105475.28665560347</v>
      </c>
      <c r="AA10" s="256"/>
      <c r="AB10" s="1065">
        <v>121062.49</v>
      </c>
      <c r="AC10" s="1686">
        <v>105466.74427763572</v>
      </c>
      <c r="AD10" s="256"/>
      <c r="AE10" s="1065">
        <v>121062.49</v>
      </c>
      <c r="AF10" s="1686">
        <v>105466.74427763572</v>
      </c>
      <c r="AG10" s="256"/>
      <c r="AH10" s="1065">
        <v>121062.49</v>
      </c>
      <c r="AI10" s="1686">
        <v>105466.74427763573</v>
      </c>
      <c r="AJ10" s="256"/>
      <c r="AK10" s="1065">
        <v>121062.49</v>
      </c>
      <c r="AL10" s="1686">
        <v>105465.56621950769</v>
      </c>
      <c r="AM10" s="256"/>
      <c r="AN10" s="1065">
        <v>121062.49</v>
      </c>
      <c r="AO10" s="1686">
        <v>105466.24093407932</v>
      </c>
      <c r="AP10" s="256"/>
      <c r="AQ10" s="1065">
        <v>121062.49</v>
      </c>
      <c r="AR10" s="1686">
        <v>105466.24093407934</v>
      </c>
      <c r="AS10" s="256"/>
      <c r="AT10" s="1065">
        <v>121062.49</v>
      </c>
      <c r="AU10" s="1065">
        <v>105466.24093407934</v>
      </c>
      <c r="AV10" s="256"/>
      <c r="AW10" s="1065">
        <v>121062.49</v>
      </c>
      <c r="AX10" s="1065">
        <v>105466.24093407932</v>
      </c>
      <c r="AY10" s="256"/>
      <c r="AZ10" s="1065">
        <v>121062.49</v>
      </c>
      <c r="BA10" s="1065">
        <v>105466.24093407934</v>
      </c>
      <c r="BB10" s="256"/>
      <c r="BC10" s="1065">
        <v>121062.49</v>
      </c>
      <c r="BD10" s="1065">
        <v>105466.24093407934</v>
      </c>
      <c r="BE10" s="256"/>
      <c r="BF10" s="1065">
        <v>121062.49</v>
      </c>
      <c r="BG10" s="1065">
        <v>105466.24093407934</v>
      </c>
      <c r="BH10" s="256"/>
      <c r="BI10" s="1065">
        <v>121062.49</v>
      </c>
      <c r="BJ10" s="1065">
        <v>105466.24093407934</v>
      </c>
      <c r="BK10" s="256"/>
      <c r="BL10" s="1065">
        <v>121062.49</v>
      </c>
      <c r="BM10" s="1065">
        <v>105466.24093407934</v>
      </c>
      <c r="BN10" s="256"/>
      <c r="BO10" s="1065">
        <v>121062.49</v>
      </c>
      <c r="BP10" s="1065">
        <v>105466.24093407934</v>
      </c>
      <c r="BQ10" s="256"/>
      <c r="BR10" s="1065">
        <v>121062.49</v>
      </c>
      <c r="BS10" s="1065">
        <v>105466.24093407934</v>
      </c>
      <c r="BT10" s="256"/>
      <c r="BU10" s="1065">
        <v>121062.49</v>
      </c>
      <c r="BV10" s="1065">
        <v>105466.24093407934</v>
      </c>
      <c r="BW10" s="256"/>
      <c r="BX10" s="1065">
        <v>121062.49</v>
      </c>
      <c r="BY10" s="1065">
        <v>105466.24093407934</v>
      </c>
      <c r="BZ10" s="256"/>
      <c r="CA10" s="1065">
        <v>121062.49</v>
      </c>
      <c r="CB10" s="1065">
        <v>105538.76111684913</v>
      </c>
      <c r="CC10" s="256"/>
      <c r="CD10" s="1065">
        <v>121062.49</v>
      </c>
      <c r="CE10" s="1065">
        <v>105538.76111684913</v>
      </c>
      <c r="CF10" s="256"/>
      <c r="CG10" s="1065">
        <v>121062.49</v>
      </c>
      <c r="CH10" s="1065">
        <v>105538.76111684913</v>
      </c>
      <c r="CI10" s="1684">
        <f t="shared" si="0"/>
        <v>0</v>
      </c>
      <c r="CJ10" s="1065">
        <v>121062.49</v>
      </c>
      <c r="CK10" s="1065">
        <v>105538.76111684913</v>
      </c>
      <c r="CL10" s="256"/>
      <c r="CM10" s="1065">
        <v>121062.49</v>
      </c>
      <c r="CN10" s="1065">
        <v>105547.59066239081</v>
      </c>
      <c r="CO10" s="256"/>
      <c r="CP10" s="207">
        <v>121062.49</v>
      </c>
      <c r="CQ10" s="1065">
        <v>105547.59066239081</v>
      </c>
      <c r="CR10" s="256"/>
      <c r="CS10" s="207">
        <v>121062.49</v>
      </c>
      <c r="CT10" s="1065">
        <v>105559.64834673496</v>
      </c>
      <c r="CU10" s="256"/>
      <c r="CV10" s="1065">
        <v>121062.49</v>
      </c>
      <c r="CW10" s="1065">
        <v>105559.64834673496</v>
      </c>
      <c r="CX10" s="256"/>
      <c r="CY10" s="1065"/>
      <c r="CZ10" s="1065"/>
    </row>
    <row r="11" spans="1:104">
      <c r="A11" s="260">
        <f t="shared" si="1"/>
        <v>4</v>
      </c>
      <c r="B11" s="260">
        <f>'Sched D-1'!B13</f>
        <v>303</v>
      </c>
      <c r="C11" s="862" t="str">
        <f>'Sched D-1'!C13</f>
        <v>Intangibles Miscellaneous</v>
      </c>
      <c r="D11" s="254"/>
      <c r="E11" s="289" t="s">
        <v>539</v>
      </c>
      <c r="F11" s="254"/>
      <c r="G11" s="207">
        <f>'Sched D-1'!G13</f>
        <v>742880.94</v>
      </c>
      <c r="H11" s="631"/>
      <c r="I11" s="632" t="s">
        <v>539</v>
      </c>
      <c r="J11" s="631"/>
      <c r="K11" s="207">
        <f>'Sched D-1'!O13</f>
        <v>742880.94</v>
      </c>
      <c r="M11" s="1624">
        <f>IF(ISERROR(O11/K11),0,O11/K11)</f>
        <v>0.87194347602411748</v>
      </c>
      <c r="N11" s="1625">
        <f>M11*G11</f>
        <v>647750.18909566384</v>
      </c>
      <c r="O11" s="1625">
        <v>647750.18909566384</v>
      </c>
      <c r="Q11" s="1065">
        <v>742880.94</v>
      </c>
      <c r="R11" s="256"/>
      <c r="S11" s="1065">
        <v>742880.94</v>
      </c>
      <c r="T11" s="1686">
        <v>647226.29620551202</v>
      </c>
      <c r="U11" s="256"/>
      <c r="V11" s="1065">
        <v>742880.94</v>
      </c>
      <c r="W11" s="1686">
        <v>647226.29620551202</v>
      </c>
      <c r="X11" s="256"/>
      <c r="Y11" s="1065">
        <v>742880.94</v>
      </c>
      <c r="Z11" s="1686">
        <v>647232.51683890005</v>
      </c>
      <c r="AA11" s="256"/>
      <c r="AB11" s="1065">
        <v>742880.94</v>
      </c>
      <c r="AC11" s="1686">
        <v>647180.0978792822</v>
      </c>
      <c r="AD11" s="256"/>
      <c r="AE11" s="1065">
        <v>742880.94</v>
      </c>
      <c r="AF11" s="1686">
        <v>647180.09787928232</v>
      </c>
      <c r="AG11" s="256"/>
      <c r="AH11" s="1065">
        <v>742880.94</v>
      </c>
      <c r="AI11" s="1686">
        <v>647180.09787928232</v>
      </c>
      <c r="AJ11" s="256"/>
      <c r="AK11" s="1065">
        <v>742880.94</v>
      </c>
      <c r="AL11" s="1686">
        <v>647172.86891075934</v>
      </c>
      <c r="AM11" s="256"/>
      <c r="AN11" s="1065">
        <v>742880.94</v>
      </c>
      <c r="AO11" s="1686">
        <v>647177.0091906694</v>
      </c>
      <c r="AP11" s="256"/>
      <c r="AQ11" s="1065">
        <v>742880.94</v>
      </c>
      <c r="AR11" s="1686">
        <v>647177.00919066952</v>
      </c>
      <c r="AS11" s="256"/>
      <c r="AT11" s="1065">
        <v>742880.94</v>
      </c>
      <c r="AU11" s="1065">
        <v>647177.00919066952</v>
      </c>
      <c r="AV11" s="256"/>
      <c r="AW11" s="1065">
        <v>742880.94</v>
      </c>
      <c r="AX11" s="1065">
        <v>647177.0091906694</v>
      </c>
      <c r="AY11" s="256"/>
      <c r="AZ11" s="1065">
        <v>742880.94</v>
      </c>
      <c r="BA11" s="1065">
        <v>647177.00919066952</v>
      </c>
      <c r="BB11" s="256"/>
      <c r="BC11" s="1065">
        <v>742880.94</v>
      </c>
      <c r="BD11" s="1065">
        <v>647177.00919066952</v>
      </c>
      <c r="BE11" s="256"/>
      <c r="BF11" s="1065">
        <v>742880.94</v>
      </c>
      <c r="BG11" s="1065">
        <v>647177.00919066952</v>
      </c>
      <c r="BH11" s="256"/>
      <c r="BI11" s="1065">
        <v>742880.94</v>
      </c>
      <c r="BJ11" s="1065">
        <v>647177.00919066952</v>
      </c>
      <c r="BK11" s="256"/>
      <c r="BL11" s="1065">
        <v>742880.94</v>
      </c>
      <c r="BM11" s="1065">
        <v>647177.00919066952</v>
      </c>
      <c r="BN11" s="256"/>
      <c r="BO11" s="1065">
        <v>742880.94</v>
      </c>
      <c r="BP11" s="1065">
        <v>647177.00919066952</v>
      </c>
      <c r="BQ11" s="256"/>
      <c r="BR11" s="1065">
        <v>742880.94</v>
      </c>
      <c r="BS11" s="1065">
        <v>647177.00919066952</v>
      </c>
      <c r="BT11" s="256"/>
      <c r="BU11" s="1065">
        <v>742880.94</v>
      </c>
      <c r="BV11" s="1065">
        <v>647177.00919066952</v>
      </c>
      <c r="BW11" s="256"/>
      <c r="BX11" s="1065">
        <v>742880.94</v>
      </c>
      <c r="BY11" s="1065">
        <v>647177.00919066952</v>
      </c>
      <c r="BZ11" s="256"/>
      <c r="CA11" s="1065">
        <v>742880.94</v>
      </c>
      <c r="CB11" s="1065">
        <v>647622.01789274556</v>
      </c>
      <c r="CC11" s="256"/>
      <c r="CD11" s="1065">
        <v>742880.94</v>
      </c>
      <c r="CE11" s="1065">
        <v>647622.01789274556</v>
      </c>
      <c r="CF11" s="256"/>
      <c r="CG11" s="1065">
        <v>742880.94</v>
      </c>
      <c r="CH11" s="1065">
        <v>647622.01789274556</v>
      </c>
      <c r="CI11" s="1684">
        <f t="shared" si="0"/>
        <v>0</v>
      </c>
      <c r="CJ11" s="1065">
        <v>742880.94</v>
      </c>
      <c r="CK11" s="1065">
        <v>647622.01789274556</v>
      </c>
      <c r="CL11" s="256"/>
      <c r="CM11" s="1065">
        <v>742880.94</v>
      </c>
      <c r="CN11" s="1065">
        <v>647676.19901104039</v>
      </c>
      <c r="CO11" s="256"/>
      <c r="CP11" s="207">
        <v>742880.94</v>
      </c>
      <c r="CQ11" s="1065">
        <v>647676.19901104039</v>
      </c>
      <c r="CR11" s="256"/>
      <c r="CS11" s="207">
        <v>742880.94</v>
      </c>
      <c r="CT11" s="1065">
        <v>647750.18909566384</v>
      </c>
      <c r="CU11" s="256"/>
      <c r="CV11" s="1065">
        <v>742880.94</v>
      </c>
      <c r="CW11" s="1065">
        <v>647750.18909566384</v>
      </c>
      <c r="CX11" s="256"/>
      <c r="CY11" s="1065"/>
      <c r="CZ11" s="1065"/>
    </row>
    <row r="12" spans="1:104">
      <c r="A12" s="260">
        <f t="shared" si="1"/>
        <v>5</v>
      </c>
      <c r="B12" s="581">
        <f>'Sched D-1'!B14</f>
        <v>303.01</v>
      </c>
      <c r="C12" s="863" t="str">
        <f>'Sched D-1'!C14</f>
        <v>Intangibles Miscellaneous - Easements</v>
      </c>
      <c r="D12" s="582"/>
      <c r="E12" s="583" t="s">
        <v>539</v>
      </c>
      <c r="F12" s="582"/>
      <c r="G12" s="787">
        <f>'Sched D-1'!G14</f>
        <v>500000</v>
      </c>
      <c r="H12" s="631"/>
      <c r="I12" s="632" t="s">
        <v>539</v>
      </c>
      <c r="J12" s="631"/>
      <c r="K12" s="787">
        <f>'Sched D-1'!O14</f>
        <v>500000</v>
      </c>
      <c r="M12" s="1624">
        <f>IF(ISERROR(O12/K12),0,O12/K12)</f>
        <v>0.87194347602411748</v>
      </c>
      <c r="N12" s="1626">
        <f>M12*G12</f>
        <v>435971.73801205872</v>
      </c>
      <c r="O12" s="1626">
        <v>435971.73801205872</v>
      </c>
      <c r="Q12" s="1687">
        <v>500000</v>
      </c>
      <c r="R12" s="256"/>
      <c r="S12" s="1687">
        <v>500000</v>
      </c>
      <c r="T12" s="1688">
        <v>435619.12909322465</v>
      </c>
      <c r="U12" s="256"/>
      <c r="V12" s="1687">
        <v>500000</v>
      </c>
      <c r="W12" s="1688">
        <v>435619.12909322465</v>
      </c>
      <c r="X12" s="256"/>
      <c r="Y12" s="1687">
        <v>500000</v>
      </c>
      <c r="Z12" s="1688">
        <v>435623.31592388148</v>
      </c>
      <c r="AA12" s="256"/>
      <c r="AB12" s="1687">
        <v>500000</v>
      </c>
      <c r="AC12" s="1688">
        <v>435588.03506203985</v>
      </c>
      <c r="AD12" s="256"/>
      <c r="AE12" s="1687">
        <v>500000</v>
      </c>
      <c r="AF12" s="1688">
        <v>435588.03506203991</v>
      </c>
      <c r="AG12" s="256"/>
      <c r="AH12" s="1687">
        <v>500000</v>
      </c>
      <c r="AI12" s="1688">
        <v>435588.03506204003</v>
      </c>
      <c r="AJ12" s="256"/>
      <c r="AK12" s="1687">
        <v>500000</v>
      </c>
      <c r="AL12" s="1688">
        <v>435583.16956601385</v>
      </c>
      <c r="AM12" s="256"/>
      <c r="AN12" s="1687">
        <v>500000</v>
      </c>
      <c r="AO12" s="1688">
        <v>435585.95620360743</v>
      </c>
      <c r="AP12" s="256"/>
      <c r="AQ12" s="1687">
        <v>500000</v>
      </c>
      <c r="AR12" s="1688">
        <v>435585.95620360749</v>
      </c>
      <c r="AS12" s="256"/>
      <c r="AT12" s="1687">
        <v>500000</v>
      </c>
      <c r="AU12" s="1687">
        <v>435585.95620360743</v>
      </c>
      <c r="AV12" s="256"/>
      <c r="AW12" s="1687">
        <v>500000</v>
      </c>
      <c r="AX12" s="1687">
        <v>435585.95620360743</v>
      </c>
      <c r="AY12" s="256"/>
      <c r="AZ12" s="1687">
        <v>500000</v>
      </c>
      <c r="BA12" s="1687">
        <v>435585.95620360749</v>
      </c>
      <c r="BB12" s="256"/>
      <c r="BC12" s="1687">
        <v>500000</v>
      </c>
      <c r="BD12" s="1687">
        <v>435585.95620360749</v>
      </c>
      <c r="BE12" s="256"/>
      <c r="BF12" s="1687">
        <v>500000</v>
      </c>
      <c r="BG12" s="1687">
        <v>435585.95620360743</v>
      </c>
      <c r="BH12" s="256"/>
      <c r="BI12" s="1687">
        <v>500000</v>
      </c>
      <c r="BJ12" s="1687">
        <v>435585.95620360749</v>
      </c>
      <c r="BK12" s="256"/>
      <c r="BL12" s="1687">
        <v>500000</v>
      </c>
      <c r="BM12" s="1687">
        <v>435585.95620360743</v>
      </c>
      <c r="BN12" s="256"/>
      <c r="BO12" s="1687">
        <v>500000</v>
      </c>
      <c r="BP12" s="1687">
        <v>435585.95620360743</v>
      </c>
      <c r="BQ12" s="256"/>
      <c r="BR12" s="1687">
        <v>500000</v>
      </c>
      <c r="BS12" s="1687">
        <v>435585.95620360743</v>
      </c>
      <c r="BT12" s="256"/>
      <c r="BU12" s="1687">
        <v>500000</v>
      </c>
      <c r="BV12" s="1687">
        <v>435585.95620360743</v>
      </c>
      <c r="BW12" s="256"/>
      <c r="BX12" s="1687">
        <v>500000</v>
      </c>
      <c r="BY12" s="1687">
        <v>435585.95620360749</v>
      </c>
      <c r="BZ12" s="256"/>
      <c r="CA12" s="1687">
        <v>500000</v>
      </c>
      <c r="CB12" s="1687">
        <v>435885.4716966796</v>
      </c>
      <c r="CC12" s="256"/>
      <c r="CD12" s="1687">
        <v>500000</v>
      </c>
      <c r="CE12" s="1687">
        <v>435885.4716966796</v>
      </c>
      <c r="CF12" s="256"/>
      <c r="CG12" s="1687">
        <v>500000</v>
      </c>
      <c r="CH12" s="1687">
        <v>435885.4716966796</v>
      </c>
      <c r="CI12" s="1684">
        <f t="shared" si="0"/>
        <v>0</v>
      </c>
      <c r="CJ12" s="1687">
        <v>500000</v>
      </c>
      <c r="CK12" s="1687">
        <v>435885.4716966796</v>
      </c>
      <c r="CL12" s="256"/>
      <c r="CM12" s="1687">
        <v>500000</v>
      </c>
      <c r="CN12" s="1687">
        <v>435921.9385888676</v>
      </c>
      <c r="CO12" s="256"/>
      <c r="CP12" s="787">
        <v>500000</v>
      </c>
      <c r="CQ12" s="1687">
        <v>435921.9385888676</v>
      </c>
      <c r="CR12" s="256"/>
      <c r="CS12" s="787">
        <v>500000</v>
      </c>
      <c r="CT12" s="1687">
        <v>435971.73801205872</v>
      </c>
      <c r="CU12" s="256"/>
      <c r="CV12" s="1687">
        <v>500000</v>
      </c>
      <c r="CW12" s="1687">
        <v>435971.73801205872</v>
      </c>
      <c r="CX12" s="256"/>
      <c r="CY12" s="1687"/>
      <c r="CZ12" s="1687"/>
    </row>
    <row r="13" spans="1:104">
      <c r="A13" s="260">
        <f t="shared" si="1"/>
        <v>6</v>
      </c>
      <c r="B13" s="581"/>
      <c r="C13" s="584" t="s">
        <v>367</v>
      </c>
      <c r="D13" s="255"/>
      <c r="E13" s="261" t="s">
        <v>567</v>
      </c>
      <c r="G13" s="620">
        <f>+'Stmt D'!J12</f>
        <v>1364199</v>
      </c>
      <c r="H13" s="255"/>
      <c r="I13" s="261" t="s">
        <v>567</v>
      </c>
      <c r="J13" s="255"/>
      <c r="K13" s="620">
        <f>+'Stmt D'!N12</f>
        <v>1364199</v>
      </c>
      <c r="M13" s="1630" t="s">
        <v>1528</v>
      </c>
      <c r="N13" s="1614">
        <f>SUM(N9:N12)</f>
        <v>1189504.7929843196</v>
      </c>
      <c r="O13" s="1614">
        <v>1189504.7929843196</v>
      </c>
      <c r="Q13" s="1689">
        <v>1364199</v>
      </c>
      <c r="R13" s="256"/>
      <c r="S13" s="1689">
        <v>1364199</v>
      </c>
      <c r="T13" s="1690">
        <v>1188542.7352121468</v>
      </c>
      <c r="U13" s="256"/>
      <c r="V13" s="1689">
        <v>1364199</v>
      </c>
      <c r="W13" s="1690">
        <v>1188542.7352121468</v>
      </c>
      <c r="X13" s="256"/>
      <c r="Y13" s="1689">
        <v>1364199</v>
      </c>
      <c r="Z13" s="1690">
        <v>1188554.1585561382</v>
      </c>
      <c r="AA13" s="256"/>
      <c r="AB13" s="1689">
        <v>1364199</v>
      </c>
      <c r="AC13" s="1690">
        <v>1188457.8982929094</v>
      </c>
      <c r="AD13" s="256"/>
      <c r="AE13" s="1689">
        <v>1364199</v>
      </c>
      <c r="AF13" s="1690">
        <v>1188457.8982929096</v>
      </c>
      <c r="AG13" s="256"/>
      <c r="AH13" s="1689">
        <v>1364199</v>
      </c>
      <c r="AI13" s="1690">
        <v>1188457.8982929098</v>
      </c>
      <c r="AJ13" s="256"/>
      <c r="AK13" s="1689">
        <v>1364199</v>
      </c>
      <c r="AL13" s="1690">
        <v>1188444.6232790987</v>
      </c>
      <c r="AM13" s="256"/>
      <c r="AN13" s="1689">
        <v>1364199</v>
      </c>
      <c r="AO13" s="1690">
        <v>1188452.2263379323</v>
      </c>
      <c r="AP13" s="256"/>
      <c r="AQ13" s="1689">
        <v>1364199</v>
      </c>
      <c r="AR13" s="1690">
        <v>1188452.2263379325</v>
      </c>
      <c r="AS13" s="256"/>
      <c r="AT13" s="1689">
        <v>1364199</v>
      </c>
      <c r="AU13" s="1689">
        <v>1188452.2263379325</v>
      </c>
      <c r="AV13" s="256"/>
      <c r="AW13" s="1689">
        <v>1364199</v>
      </c>
      <c r="AX13" s="1689">
        <v>1188452.2263379323</v>
      </c>
      <c r="AY13" s="256"/>
      <c r="AZ13" s="1689">
        <v>1364199</v>
      </c>
      <c r="BA13" s="1689">
        <v>1188452.2263379325</v>
      </c>
      <c r="BB13" s="256"/>
      <c r="BC13" s="1689">
        <v>1364199</v>
      </c>
      <c r="BD13" s="1689">
        <v>1188452.2263379325</v>
      </c>
      <c r="BE13" s="256"/>
      <c r="BF13" s="1689">
        <v>1364199</v>
      </c>
      <c r="BG13" s="1689">
        <v>1188452.2263379325</v>
      </c>
      <c r="BH13" s="256"/>
      <c r="BI13" s="1689">
        <v>1364199</v>
      </c>
      <c r="BJ13" s="1689">
        <v>1188452.2263379325</v>
      </c>
      <c r="BK13" s="256"/>
      <c r="BL13" s="1689">
        <v>1364199</v>
      </c>
      <c r="BM13" s="1689">
        <v>1188452.2263379325</v>
      </c>
      <c r="BN13" s="256"/>
      <c r="BO13" s="1689">
        <v>1364199</v>
      </c>
      <c r="BP13" s="1689">
        <v>1188452.2263379325</v>
      </c>
      <c r="BQ13" s="256"/>
      <c r="BR13" s="1689">
        <v>1364199</v>
      </c>
      <c r="BS13" s="1689">
        <v>1188452.2263379325</v>
      </c>
      <c r="BT13" s="256"/>
      <c r="BU13" s="1689">
        <v>1364199</v>
      </c>
      <c r="BV13" s="1689">
        <v>1188452.2263379325</v>
      </c>
      <c r="BW13" s="256"/>
      <c r="BX13" s="1689">
        <v>1364199</v>
      </c>
      <c r="BY13" s="1689">
        <v>1188452.2263379325</v>
      </c>
      <c r="BZ13" s="256"/>
      <c r="CA13" s="1689">
        <v>1364199</v>
      </c>
      <c r="CB13" s="1689">
        <v>1189269.4240677829</v>
      </c>
      <c r="CC13" s="256"/>
      <c r="CD13" s="1689">
        <v>1364199</v>
      </c>
      <c r="CE13" s="1689">
        <v>1189269.4240677829</v>
      </c>
      <c r="CF13" s="256"/>
      <c r="CG13" s="1689">
        <v>1364199</v>
      </c>
      <c r="CH13" s="1689">
        <v>1189269.4240677829</v>
      </c>
      <c r="CI13" s="1684">
        <f t="shared" si="0"/>
        <v>0</v>
      </c>
      <c r="CJ13" s="1689">
        <v>1364199</v>
      </c>
      <c r="CK13" s="1689">
        <v>1189269.4240677829</v>
      </c>
      <c r="CL13" s="256"/>
      <c r="CM13" s="1689">
        <v>1364199</v>
      </c>
      <c r="CN13" s="1689">
        <v>1189368.9202948564</v>
      </c>
      <c r="CO13" s="256"/>
      <c r="CP13" s="620">
        <v>1364199</v>
      </c>
      <c r="CQ13" s="1689">
        <v>1189368.9202948564</v>
      </c>
      <c r="CR13" s="256"/>
      <c r="CS13" s="620">
        <v>1364199</v>
      </c>
      <c r="CT13" s="1689">
        <v>1189504.7929843196</v>
      </c>
      <c r="CU13" s="256"/>
      <c r="CV13" s="1689">
        <v>1364199</v>
      </c>
      <c r="CW13" s="1689">
        <v>1189504.7929843196</v>
      </c>
      <c r="CX13" s="256"/>
      <c r="CY13" s="1689"/>
      <c r="CZ13" s="1689"/>
    </row>
    <row r="14" spans="1:104">
      <c r="A14" s="260">
        <f t="shared" si="1"/>
        <v>7</v>
      </c>
      <c r="B14" s="581"/>
      <c r="C14" s="584"/>
      <c r="D14" s="255"/>
      <c r="E14" s="261"/>
      <c r="G14" s="353"/>
      <c r="H14" s="255"/>
      <c r="I14" s="261"/>
      <c r="J14" s="255"/>
      <c r="K14" s="297"/>
      <c r="M14" s="1624"/>
      <c r="N14" s="1614"/>
      <c r="O14" s="1614"/>
      <c r="Q14" s="1684"/>
      <c r="R14" s="256"/>
      <c r="S14" s="1684"/>
      <c r="T14" s="1685"/>
      <c r="U14" s="256"/>
      <c r="V14" s="1684"/>
      <c r="W14" s="1685"/>
      <c r="X14" s="256"/>
      <c r="Y14" s="1684"/>
      <c r="Z14" s="1685"/>
      <c r="AA14" s="256"/>
      <c r="AB14" s="1684"/>
      <c r="AC14" s="1685"/>
      <c r="AD14" s="256"/>
      <c r="AE14" s="1684"/>
      <c r="AF14" s="1685"/>
      <c r="AG14" s="256"/>
      <c r="AH14" s="1684"/>
      <c r="AI14" s="1685"/>
      <c r="AJ14" s="256"/>
      <c r="AK14" s="1684"/>
      <c r="AL14" s="1685"/>
      <c r="AM14" s="256"/>
      <c r="AN14" s="1684"/>
      <c r="AO14" s="1685"/>
      <c r="AP14" s="256"/>
      <c r="AQ14" s="1684"/>
      <c r="AR14" s="1685"/>
      <c r="AS14" s="256"/>
      <c r="AT14" s="1684"/>
      <c r="AU14" s="1684"/>
      <c r="AV14" s="256"/>
      <c r="AW14" s="1684"/>
      <c r="AX14" s="1684"/>
      <c r="AY14" s="256"/>
      <c r="AZ14" s="1684"/>
      <c r="BA14" s="1684"/>
      <c r="BB14" s="256"/>
      <c r="BC14" s="1684"/>
      <c r="BD14" s="1684"/>
      <c r="BE14" s="256"/>
      <c r="BF14" s="1684"/>
      <c r="BG14" s="1684"/>
      <c r="BH14" s="256"/>
      <c r="BI14" s="1684"/>
      <c r="BJ14" s="1684"/>
      <c r="BK14" s="256"/>
      <c r="BL14" s="1684"/>
      <c r="BM14" s="1684"/>
      <c r="BN14" s="256"/>
      <c r="BO14" s="1684"/>
      <c r="BP14" s="1684"/>
      <c r="BQ14" s="256"/>
      <c r="BR14" s="1684"/>
      <c r="BS14" s="1684"/>
      <c r="BT14" s="256"/>
      <c r="BU14" s="1684"/>
      <c r="BV14" s="1684"/>
      <c r="BW14" s="256"/>
      <c r="BX14" s="1684"/>
      <c r="BY14" s="1684"/>
      <c r="BZ14" s="256"/>
      <c r="CA14" s="1684"/>
      <c r="CB14" s="1684"/>
      <c r="CC14" s="256"/>
      <c r="CD14" s="1684"/>
      <c r="CE14" s="1684"/>
      <c r="CF14" s="256"/>
      <c r="CG14" s="1684"/>
      <c r="CH14" s="1684"/>
      <c r="CI14" s="1684">
        <f t="shared" si="0"/>
        <v>0</v>
      </c>
      <c r="CJ14" s="1684"/>
      <c r="CK14" s="1684"/>
      <c r="CL14" s="256"/>
      <c r="CM14" s="1684"/>
      <c r="CN14" s="1684"/>
      <c r="CO14" s="256"/>
      <c r="CP14" s="297"/>
      <c r="CQ14" s="1684"/>
      <c r="CR14" s="256"/>
      <c r="CS14" s="297"/>
      <c r="CT14" s="1684"/>
      <c r="CU14" s="256"/>
      <c r="CV14" s="1684"/>
      <c r="CW14" s="1684"/>
      <c r="CX14" s="256"/>
      <c r="CY14" s="1684"/>
      <c r="CZ14" s="1684"/>
    </row>
    <row r="15" spans="1:104">
      <c r="A15" s="260">
        <f>A14+1</f>
        <v>8</v>
      </c>
      <c r="B15" s="260">
        <f>'Sched D-1'!B18</f>
        <v>365.03</v>
      </c>
      <c r="C15" s="862" t="str">
        <f>'Sched D-1'!C18</f>
        <v xml:space="preserve">Right-of-Way </v>
      </c>
      <c r="D15" s="292"/>
      <c r="E15" s="257" t="s">
        <v>539</v>
      </c>
      <c r="F15" s="254"/>
      <c r="G15" s="353">
        <f>'Sched D-1'!G18</f>
        <v>170272.49</v>
      </c>
      <c r="H15" s="1240"/>
      <c r="I15" s="1241" t="s">
        <v>539</v>
      </c>
      <c r="J15" s="1240"/>
      <c r="K15" s="353">
        <f>'Sched D-1'!O18</f>
        <v>170272.49</v>
      </c>
      <c r="M15" s="1624">
        <f>IF(ISERROR(O15/K15),0,O15/K15)</f>
        <v>0.48928298099618767</v>
      </c>
      <c r="N15" s="1566">
        <f>M15*G15</f>
        <v>83311.431488843547</v>
      </c>
      <c r="O15" s="1627">
        <v>83311.431488843547</v>
      </c>
      <c r="Q15" s="816">
        <v>170272.49</v>
      </c>
      <c r="R15" s="256"/>
      <c r="S15" s="816">
        <v>170272.49</v>
      </c>
      <c r="T15" s="1691">
        <v>83311.431488843547</v>
      </c>
      <c r="U15" s="256"/>
      <c r="V15" s="816">
        <v>170272.49</v>
      </c>
      <c r="W15" s="1691">
        <v>83311.431488843547</v>
      </c>
      <c r="X15" s="256"/>
      <c r="Y15" s="816">
        <v>170272.49</v>
      </c>
      <c r="Z15" s="1691">
        <v>83311.431488843547</v>
      </c>
      <c r="AA15" s="256"/>
      <c r="AB15" s="816">
        <v>170272.49</v>
      </c>
      <c r="AC15" s="1691">
        <v>83311.431488843547</v>
      </c>
      <c r="AD15" s="256"/>
      <c r="AE15" s="816">
        <v>170272.49</v>
      </c>
      <c r="AF15" s="1691">
        <v>83311.431488843547</v>
      </c>
      <c r="AG15" s="256"/>
      <c r="AH15" s="816">
        <v>170272.49</v>
      </c>
      <c r="AI15" s="1691">
        <v>83311.431488843547</v>
      </c>
      <c r="AJ15" s="256"/>
      <c r="AK15" s="816">
        <v>170272.49</v>
      </c>
      <c r="AL15" s="1691">
        <v>83311.431488843547</v>
      </c>
      <c r="AM15" s="256"/>
      <c r="AN15" s="816">
        <v>170272.49</v>
      </c>
      <c r="AO15" s="1691">
        <v>83311.431488843547</v>
      </c>
      <c r="AP15" s="256"/>
      <c r="AQ15" s="816">
        <v>170272.49</v>
      </c>
      <c r="AR15" s="1691">
        <v>83311.431488843547</v>
      </c>
      <c r="AS15" s="256"/>
      <c r="AT15" s="816">
        <v>170272.49</v>
      </c>
      <c r="AU15" s="816">
        <v>83311.431488843547</v>
      </c>
      <c r="AV15" s="256"/>
      <c r="AW15" s="816">
        <v>170272.49</v>
      </c>
      <c r="AX15" s="816">
        <v>83311.431488843547</v>
      </c>
      <c r="AY15" s="256"/>
      <c r="AZ15" s="816">
        <v>170272.49</v>
      </c>
      <c r="BA15" s="816">
        <v>83311.431488843547</v>
      </c>
      <c r="BB15" s="256"/>
      <c r="BC15" s="816">
        <v>170272.49</v>
      </c>
      <c r="BD15" s="816">
        <v>83311.431488843547</v>
      </c>
      <c r="BE15" s="256"/>
      <c r="BF15" s="816">
        <v>170272.49</v>
      </c>
      <c r="BG15" s="816">
        <v>83311.431488843547</v>
      </c>
      <c r="BH15" s="256"/>
      <c r="BI15" s="816">
        <v>170272.49</v>
      </c>
      <c r="BJ15" s="816">
        <v>83311.431488843547</v>
      </c>
      <c r="BK15" s="256"/>
      <c r="BL15" s="816">
        <v>170272.49</v>
      </c>
      <c r="BM15" s="816">
        <v>83311.431488843547</v>
      </c>
      <c r="BN15" s="256"/>
      <c r="BO15" s="816">
        <v>170272.49</v>
      </c>
      <c r="BP15" s="816">
        <v>83311.431488843547</v>
      </c>
      <c r="BQ15" s="256"/>
      <c r="BR15" s="816">
        <v>170272.49</v>
      </c>
      <c r="BS15" s="816">
        <v>83311.431488843547</v>
      </c>
      <c r="BT15" s="256"/>
      <c r="BU15" s="816">
        <v>170272.49</v>
      </c>
      <c r="BV15" s="816">
        <v>83311.431488843547</v>
      </c>
      <c r="BW15" s="256"/>
      <c r="BX15" s="816">
        <v>170272.49</v>
      </c>
      <c r="BY15" s="816">
        <v>83311.431488843547</v>
      </c>
      <c r="BZ15" s="256"/>
      <c r="CA15" s="816">
        <v>170272.49</v>
      </c>
      <c r="CB15" s="816">
        <v>83311.431488843547</v>
      </c>
      <c r="CC15" s="256"/>
      <c r="CD15" s="816">
        <v>170272.49</v>
      </c>
      <c r="CE15" s="816">
        <v>83311.431488843547</v>
      </c>
      <c r="CF15" s="256"/>
      <c r="CG15" s="816">
        <v>170272.49</v>
      </c>
      <c r="CH15" s="816">
        <v>83311.431488843547</v>
      </c>
      <c r="CI15" s="1684">
        <f t="shared" si="0"/>
        <v>0</v>
      </c>
      <c r="CJ15" s="816">
        <v>170272.49</v>
      </c>
      <c r="CK15" s="816">
        <v>83311.431488843547</v>
      </c>
      <c r="CL15" s="256"/>
      <c r="CM15" s="816">
        <v>170272.49</v>
      </c>
      <c r="CN15" s="816">
        <v>83311.431488843547</v>
      </c>
      <c r="CO15" s="256"/>
      <c r="CP15" s="353">
        <v>170272.49</v>
      </c>
      <c r="CQ15" s="816">
        <v>83311.431488843547</v>
      </c>
      <c r="CR15" s="256"/>
      <c r="CS15" s="353">
        <v>170272.49</v>
      </c>
      <c r="CT15" s="816">
        <v>83311.431488843547</v>
      </c>
      <c r="CU15" s="256"/>
      <c r="CV15" s="816">
        <v>170272.49</v>
      </c>
      <c r="CW15" s="816">
        <v>83311.431488843547</v>
      </c>
      <c r="CX15" s="256"/>
      <c r="CY15" s="816"/>
      <c r="CZ15" s="816"/>
    </row>
    <row r="16" spans="1:104">
      <c r="A16" s="260">
        <f>A15+1</f>
        <v>9</v>
      </c>
      <c r="B16" s="260">
        <f>'Sched D-1'!B19</f>
        <v>366.01</v>
      </c>
      <c r="C16" s="862" t="str">
        <f>'Sched D-1'!C19</f>
        <v>Structures and Improvements</v>
      </c>
      <c r="D16" s="292"/>
      <c r="E16" s="257" t="s">
        <v>539</v>
      </c>
      <c r="F16" s="254"/>
      <c r="G16" s="207">
        <f>'Sched D-1'!G19</f>
        <v>8173.65</v>
      </c>
      <c r="H16" s="1240"/>
      <c r="I16" s="1241" t="s">
        <v>539</v>
      </c>
      <c r="J16" s="1240"/>
      <c r="K16" s="207">
        <f>'Sched D-1'!O19</f>
        <v>8173.65</v>
      </c>
      <c r="M16" s="1624">
        <f>IF(ISERROR(O16/K16),0,O16/K16)</f>
        <v>0.47718096127727649</v>
      </c>
      <c r="N16" s="1625">
        <f>M16*G16</f>
        <v>3900.3101641440107</v>
      </c>
      <c r="O16" s="1627">
        <v>3900.3101641440107</v>
      </c>
      <c r="Q16" s="1065">
        <v>8173.65</v>
      </c>
      <c r="R16" s="256"/>
      <c r="S16" s="1065">
        <v>8173.65</v>
      </c>
      <c r="T16" s="1686">
        <v>3900.3101641440107</v>
      </c>
      <c r="U16" s="256"/>
      <c r="V16" s="1065">
        <v>8173.65</v>
      </c>
      <c r="W16" s="1686">
        <v>3900.3101641440107</v>
      </c>
      <c r="X16" s="256"/>
      <c r="Y16" s="1065">
        <v>8173.65</v>
      </c>
      <c r="Z16" s="1686">
        <v>3900.3101641440107</v>
      </c>
      <c r="AA16" s="256"/>
      <c r="AB16" s="1065">
        <v>8173.65</v>
      </c>
      <c r="AC16" s="1686">
        <v>3900.3101641440107</v>
      </c>
      <c r="AD16" s="256"/>
      <c r="AE16" s="1065">
        <v>8173.65</v>
      </c>
      <c r="AF16" s="1686">
        <v>3900.3101641440107</v>
      </c>
      <c r="AG16" s="256"/>
      <c r="AH16" s="1065">
        <v>8173.65</v>
      </c>
      <c r="AI16" s="1686">
        <v>3900.3101641440107</v>
      </c>
      <c r="AJ16" s="256"/>
      <c r="AK16" s="1065">
        <v>8173.65</v>
      </c>
      <c r="AL16" s="1686">
        <v>3900.3101641440107</v>
      </c>
      <c r="AM16" s="256"/>
      <c r="AN16" s="1065">
        <v>8173.65</v>
      </c>
      <c r="AO16" s="1686">
        <v>3900.3101641440107</v>
      </c>
      <c r="AP16" s="256"/>
      <c r="AQ16" s="1065">
        <v>8173.65</v>
      </c>
      <c r="AR16" s="1686">
        <v>3900.3101641440107</v>
      </c>
      <c r="AS16" s="256"/>
      <c r="AT16" s="1065">
        <v>8173.65</v>
      </c>
      <c r="AU16" s="1065">
        <v>3900.3101641440107</v>
      </c>
      <c r="AV16" s="256"/>
      <c r="AW16" s="1065">
        <v>8173.65</v>
      </c>
      <c r="AX16" s="1065">
        <v>3900.3101641440107</v>
      </c>
      <c r="AY16" s="256"/>
      <c r="AZ16" s="1065">
        <v>8173.65</v>
      </c>
      <c r="BA16" s="1065">
        <v>3900.3101641440107</v>
      </c>
      <c r="BB16" s="256"/>
      <c r="BC16" s="1065">
        <v>8173.65</v>
      </c>
      <c r="BD16" s="1065">
        <v>3900.3101641440107</v>
      </c>
      <c r="BE16" s="256"/>
      <c r="BF16" s="1065">
        <v>8173.65</v>
      </c>
      <c r="BG16" s="1065">
        <v>3900.3101641440107</v>
      </c>
      <c r="BH16" s="256"/>
      <c r="BI16" s="1065">
        <v>8173.65</v>
      </c>
      <c r="BJ16" s="1065">
        <v>3900.3101641440107</v>
      </c>
      <c r="BK16" s="256"/>
      <c r="BL16" s="1065">
        <v>8173.65</v>
      </c>
      <c r="BM16" s="1065">
        <v>3900.3101641440107</v>
      </c>
      <c r="BN16" s="256"/>
      <c r="BO16" s="1065">
        <v>8173.65</v>
      </c>
      <c r="BP16" s="1065">
        <v>3900.3101641440107</v>
      </c>
      <c r="BQ16" s="256"/>
      <c r="BR16" s="1065">
        <v>8173.65</v>
      </c>
      <c r="BS16" s="1065">
        <v>3900.3101641440107</v>
      </c>
      <c r="BT16" s="256"/>
      <c r="BU16" s="1065">
        <v>8173.65</v>
      </c>
      <c r="BV16" s="1065">
        <v>3900.3101641440107</v>
      </c>
      <c r="BW16" s="256"/>
      <c r="BX16" s="1065">
        <v>8173.65</v>
      </c>
      <c r="BY16" s="1065">
        <v>3900.3101641440107</v>
      </c>
      <c r="BZ16" s="256"/>
      <c r="CA16" s="1065">
        <v>8173.65</v>
      </c>
      <c r="CB16" s="1065">
        <v>3900.3101641440107</v>
      </c>
      <c r="CC16" s="256"/>
      <c r="CD16" s="1065">
        <v>8173.65</v>
      </c>
      <c r="CE16" s="1065">
        <v>3900.3101641440107</v>
      </c>
      <c r="CF16" s="256"/>
      <c r="CG16" s="1065">
        <v>8173.65</v>
      </c>
      <c r="CH16" s="1065">
        <v>3900.3101641440107</v>
      </c>
      <c r="CI16" s="1684">
        <f t="shared" si="0"/>
        <v>0</v>
      </c>
      <c r="CJ16" s="1065">
        <v>8173.65</v>
      </c>
      <c r="CK16" s="1065">
        <v>3900.3101641440107</v>
      </c>
      <c r="CL16" s="256"/>
      <c r="CM16" s="1065">
        <v>8173.65</v>
      </c>
      <c r="CN16" s="1065">
        <v>3900.3101641440107</v>
      </c>
      <c r="CO16" s="256"/>
      <c r="CP16" s="207">
        <v>8173.65</v>
      </c>
      <c r="CQ16" s="1065">
        <v>3900.3101641440107</v>
      </c>
      <c r="CR16" s="256"/>
      <c r="CS16" s="207">
        <v>8173.65</v>
      </c>
      <c r="CT16" s="1065">
        <v>3900.3101641440107</v>
      </c>
      <c r="CU16" s="256"/>
      <c r="CV16" s="1065">
        <v>8173.65</v>
      </c>
      <c r="CW16" s="1065">
        <v>3900.3101641440107</v>
      </c>
      <c r="CX16" s="256"/>
      <c r="CY16" s="1065"/>
      <c r="CZ16" s="1065"/>
    </row>
    <row r="17" spans="1:104">
      <c r="A17" s="260">
        <f t="shared" si="1"/>
        <v>10</v>
      </c>
      <c r="B17" s="260">
        <f>'Sched D-1'!B20</f>
        <v>367</v>
      </c>
      <c r="C17" s="862" t="str">
        <f>'Sched D-1'!C20</f>
        <v xml:space="preserve">Transmission Plant - Mains </v>
      </c>
      <c r="D17" s="292"/>
      <c r="E17" s="257" t="s">
        <v>539</v>
      </c>
      <c r="F17" s="290"/>
      <c r="G17" s="207">
        <f>'Sched D-1'!G20</f>
        <v>5361146.8400000008</v>
      </c>
      <c r="H17" s="29"/>
      <c r="I17" s="1241" t="s">
        <v>539</v>
      </c>
      <c r="J17" s="29"/>
      <c r="K17" s="207">
        <f>'Sched D-1'!O20</f>
        <v>5361146.8400000008</v>
      </c>
      <c r="M17" s="1624">
        <f>IF(ISERROR(O17/K17),0,O17/K17)</f>
        <v>0.55248182696507231</v>
      </c>
      <c r="N17" s="1628">
        <f>M17*G17</f>
        <v>2961936.2007912248</v>
      </c>
      <c r="O17" s="1627">
        <v>2961936.2007912248</v>
      </c>
      <c r="Q17" s="1065">
        <v>5361146.8400000008</v>
      </c>
      <c r="R17" s="256"/>
      <c r="S17" s="1065">
        <v>5361146.8400000008</v>
      </c>
      <c r="T17" s="1686">
        <v>2961936.2007912248</v>
      </c>
      <c r="U17" s="256"/>
      <c r="V17" s="1065">
        <v>5361146.8400000008</v>
      </c>
      <c r="W17" s="1686">
        <v>2961936.2007912248</v>
      </c>
      <c r="X17" s="256"/>
      <c r="Y17" s="1065">
        <v>5361146.8400000008</v>
      </c>
      <c r="Z17" s="1686">
        <v>2961936.2007912248</v>
      </c>
      <c r="AA17" s="256"/>
      <c r="AB17" s="1065">
        <v>5361146.8400000008</v>
      </c>
      <c r="AC17" s="1686">
        <v>2961936.2007912248</v>
      </c>
      <c r="AD17" s="256"/>
      <c r="AE17" s="1065">
        <v>5361146.8400000008</v>
      </c>
      <c r="AF17" s="1686">
        <v>2961936.2007912248</v>
      </c>
      <c r="AG17" s="256"/>
      <c r="AH17" s="1065">
        <v>5361146.8400000008</v>
      </c>
      <c r="AI17" s="1686">
        <v>2961936.2007912248</v>
      </c>
      <c r="AJ17" s="256"/>
      <c r="AK17" s="1065">
        <v>5361146.8400000008</v>
      </c>
      <c r="AL17" s="1686">
        <v>2961936.2007912248</v>
      </c>
      <c r="AM17" s="256"/>
      <c r="AN17" s="1065">
        <v>5361146.8400000008</v>
      </c>
      <c r="AO17" s="1686">
        <v>2961936.2007912248</v>
      </c>
      <c r="AP17" s="256"/>
      <c r="AQ17" s="1065">
        <v>5361146.8400000008</v>
      </c>
      <c r="AR17" s="1686">
        <v>2961936.2007912248</v>
      </c>
      <c r="AS17" s="256"/>
      <c r="AT17" s="1065">
        <v>5361146.8400000008</v>
      </c>
      <c r="AU17" s="1065">
        <v>2961936.2007912248</v>
      </c>
      <c r="AV17" s="256"/>
      <c r="AW17" s="1065">
        <v>5361146.8400000008</v>
      </c>
      <c r="AX17" s="1065">
        <v>2961936.2007912248</v>
      </c>
      <c r="AY17" s="256"/>
      <c r="AZ17" s="1065">
        <v>5361146.8400000008</v>
      </c>
      <c r="BA17" s="1065">
        <v>2961936.2007912248</v>
      </c>
      <c r="BB17" s="256"/>
      <c r="BC17" s="1065">
        <v>5361146.8400000008</v>
      </c>
      <c r="BD17" s="1065">
        <v>2961936.2007912248</v>
      </c>
      <c r="BE17" s="256"/>
      <c r="BF17" s="1065">
        <v>5361146.8400000008</v>
      </c>
      <c r="BG17" s="1065">
        <v>2961936.2007912248</v>
      </c>
      <c r="BH17" s="256"/>
      <c r="BI17" s="1065">
        <v>5361146.8400000008</v>
      </c>
      <c r="BJ17" s="1065">
        <v>2961936.2007912248</v>
      </c>
      <c r="BK17" s="256"/>
      <c r="BL17" s="1065">
        <v>5361146.8400000008</v>
      </c>
      <c r="BM17" s="1065">
        <v>2961936.2007912248</v>
      </c>
      <c r="BN17" s="256"/>
      <c r="BO17" s="1065">
        <v>5361146.8400000008</v>
      </c>
      <c r="BP17" s="1065">
        <v>2961936.2007912248</v>
      </c>
      <c r="BQ17" s="256"/>
      <c r="BR17" s="1065">
        <v>5361146.8400000008</v>
      </c>
      <c r="BS17" s="1065">
        <v>2961936.2007912248</v>
      </c>
      <c r="BT17" s="256"/>
      <c r="BU17" s="1065">
        <v>5361146.8400000008</v>
      </c>
      <c r="BV17" s="1065">
        <v>2961936.2007912248</v>
      </c>
      <c r="BW17" s="256"/>
      <c r="BX17" s="1065">
        <v>5361146.8400000008</v>
      </c>
      <c r="BY17" s="1065">
        <v>2961936.2007912248</v>
      </c>
      <c r="BZ17" s="256"/>
      <c r="CA17" s="1065">
        <v>5361146.8400000008</v>
      </c>
      <c r="CB17" s="1065">
        <v>2961936.2007912248</v>
      </c>
      <c r="CC17" s="256"/>
      <c r="CD17" s="1065">
        <v>5361146.8400000008</v>
      </c>
      <c r="CE17" s="1065">
        <v>2961936.2007912248</v>
      </c>
      <c r="CF17" s="256"/>
      <c r="CG17" s="1065">
        <v>5361146.8400000008</v>
      </c>
      <c r="CH17" s="1065">
        <v>2961936.2007912248</v>
      </c>
      <c r="CI17" s="1684">
        <f t="shared" si="0"/>
        <v>0</v>
      </c>
      <c r="CJ17" s="1065">
        <v>5361146.8400000008</v>
      </c>
      <c r="CK17" s="1065">
        <v>2961936.2007912248</v>
      </c>
      <c r="CL17" s="256"/>
      <c r="CM17" s="1065">
        <v>5361146.8400000008</v>
      </c>
      <c r="CN17" s="1065">
        <v>2961936.2007912248</v>
      </c>
      <c r="CO17" s="256"/>
      <c r="CP17" s="207">
        <v>5361146.8400000008</v>
      </c>
      <c r="CQ17" s="1065">
        <v>2961936.2007912248</v>
      </c>
      <c r="CR17" s="256"/>
      <c r="CS17" s="207">
        <v>5361146.8400000008</v>
      </c>
      <c r="CT17" s="1065">
        <v>2961936.2007912248</v>
      </c>
      <c r="CU17" s="256"/>
      <c r="CV17" s="1065">
        <v>5361146.8400000008</v>
      </c>
      <c r="CW17" s="1065">
        <v>2961936.2007912248</v>
      </c>
      <c r="CX17" s="256"/>
      <c r="CY17" s="1065"/>
      <c r="CZ17" s="1065"/>
    </row>
    <row r="18" spans="1:104">
      <c r="A18" s="260">
        <f>A17+1</f>
        <v>11</v>
      </c>
      <c r="B18" s="260">
        <f>'Sched D-1'!B21</f>
        <v>369.03</v>
      </c>
      <c r="C18" s="862" t="str">
        <f>'Sched D-1'!C21</f>
        <v xml:space="preserve">Transmission Plant - Meas. &amp; Reg. Sta. Equip. </v>
      </c>
      <c r="D18" s="292"/>
      <c r="E18" s="257" t="s">
        <v>539</v>
      </c>
      <c r="F18" s="290"/>
      <c r="G18" s="207">
        <f>'Sched D-1'!G21</f>
        <v>624131.56999999995</v>
      </c>
      <c r="H18" s="29"/>
      <c r="I18" s="1241" t="s">
        <v>539</v>
      </c>
      <c r="J18" s="29"/>
      <c r="K18" s="207">
        <f>'Sched D-1'!O21</f>
        <v>624131.56999999995</v>
      </c>
      <c r="M18" s="1624">
        <f>IF(ISERROR(O18/K18),0,O18/K18)</f>
        <v>0.6142724322022145</v>
      </c>
      <c r="N18" s="1626">
        <f>M18*G18</f>
        <v>383386.81751808664</v>
      </c>
      <c r="O18" s="1629">
        <v>383386.81751808664</v>
      </c>
      <c r="Q18" s="1065">
        <v>624131.56999999995</v>
      </c>
      <c r="R18" s="256"/>
      <c r="S18" s="1065">
        <v>624131.56999999995</v>
      </c>
      <c r="T18" s="1686">
        <v>383386.81751808664</v>
      </c>
      <c r="U18" s="256"/>
      <c r="V18" s="1065">
        <v>624131.56999999995</v>
      </c>
      <c r="W18" s="1686">
        <v>383386.81751808664</v>
      </c>
      <c r="X18" s="256"/>
      <c r="Y18" s="1065">
        <v>624131.56999999995</v>
      </c>
      <c r="Z18" s="1686">
        <v>383386.81751808664</v>
      </c>
      <c r="AA18" s="256"/>
      <c r="AB18" s="1065">
        <v>624131.56999999995</v>
      </c>
      <c r="AC18" s="1686">
        <v>383386.81751808664</v>
      </c>
      <c r="AD18" s="256"/>
      <c r="AE18" s="1065">
        <v>624131.56999999995</v>
      </c>
      <c r="AF18" s="1686">
        <v>383386.81751808664</v>
      </c>
      <c r="AG18" s="256"/>
      <c r="AH18" s="1065">
        <v>624131.56999999995</v>
      </c>
      <c r="AI18" s="1686">
        <v>383386.81751808664</v>
      </c>
      <c r="AJ18" s="256"/>
      <c r="AK18" s="1065">
        <v>624131.56999999995</v>
      </c>
      <c r="AL18" s="1686">
        <v>383386.81751808664</v>
      </c>
      <c r="AM18" s="256"/>
      <c r="AN18" s="1065">
        <v>624131.56999999995</v>
      </c>
      <c r="AO18" s="1686">
        <v>383386.81751808664</v>
      </c>
      <c r="AP18" s="256"/>
      <c r="AQ18" s="1065">
        <v>624131.56999999995</v>
      </c>
      <c r="AR18" s="1686">
        <v>383386.81751808664</v>
      </c>
      <c r="AS18" s="256"/>
      <c r="AT18" s="1065">
        <v>624131.56999999995</v>
      </c>
      <c r="AU18" s="1065">
        <v>383386.81751808664</v>
      </c>
      <c r="AV18" s="256"/>
      <c r="AW18" s="1065">
        <v>624131.56999999995</v>
      </c>
      <c r="AX18" s="1065">
        <v>383386.81751808664</v>
      </c>
      <c r="AY18" s="256"/>
      <c r="AZ18" s="1065">
        <v>624131.56999999995</v>
      </c>
      <c r="BA18" s="1065">
        <v>383386.81751808664</v>
      </c>
      <c r="BB18" s="256"/>
      <c r="BC18" s="1065">
        <v>624131.56999999995</v>
      </c>
      <c r="BD18" s="1065">
        <v>383386.81751808664</v>
      </c>
      <c r="BE18" s="256"/>
      <c r="BF18" s="1065">
        <v>624131.56999999995</v>
      </c>
      <c r="BG18" s="1065">
        <v>383386.81751808664</v>
      </c>
      <c r="BH18" s="256"/>
      <c r="BI18" s="1065">
        <v>624131.56999999995</v>
      </c>
      <c r="BJ18" s="1065">
        <v>383386.81751808664</v>
      </c>
      <c r="BK18" s="256"/>
      <c r="BL18" s="1065">
        <v>624131.56999999995</v>
      </c>
      <c r="BM18" s="1065">
        <v>383386.81751808664</v>
      </c>
      <c r="BN18" s="256"/>
      <c r="BO18" s="1065">
        <v>624131.56999999995</v>
      </c>
      <c r="BP18" s="1065">
        <v>383386.81751808664</v>
      </c>
      <c r="BQ18" s="256"/>
      <c r="BR18" s="1065">
        <v>624131.56999999995</v>
      </c>
      <c r="BS18" s="1065">
        <v>383386.81751808664</v>
      </c>
      <c r="BT18" s="256"/>
      <c r="BU18" s="1065">
        <v>624131.56999999995</v>
      </c>
      <c r="BV18" s="1065">
        <v>383386.81751808664</v>
      </c>
      <c r="BW18" s="256"/>
      <c r="BX18" s="1065">
        <v>624131.56999999995</v>
      </c>
      <c r="BY18" s="1065">
        <v>383386.81751808664</v>
      </c>
      <c r="BZ18" s="256"/>
      <c r="CA18" s="1065">
        <v>624131.56999999995</v>
      </c>
      <c r="CB18" s="1065">
        <v>383386.81751808664</v>
      </c>
      <c r="CC18" s="256"/>
      <c r="CD18" s="1065">
        <v>624131.56999999995</v>
      </c>
      <c r="CE18" s="1065">
        <v>383386.81751808664</v>
      </c>
      <c r="CF18" s="256"/>
      <c r="CG18" s="1065">
        <v>624131.56999999995</v>
      </c>
      <c r="CH18" s="1065">
        <v>383386.81751808664</v>
      </c>
      <c r="CI18" s="1684">
        <f t="shared" si="0"/>
        <v>0</v>
      </c>
      <c r="CJ18" s="1065">
        <v>624131.56999999995</v>
      </c>
      <c r="CK18" s="1065">
        <v>383386.81751808664</v>
      </c>
      <c r="CL18" s="256"/>
      <c r="CM18" s="1065">
        <v>624131.56999999995</v>
      </c>
      <c r="CN18" s="1065">
        <v>383386.81751808664</v>
      </c>
      <c r="CO18" s="256"/>
      <c r="CP18" s="207">
        <v>624131.56999999995</v>
      </c>
      <c r="CQ18" s="1065">
        <v>383386.81751808664</v>
      </c>
      <c r="CR18" s="256"/>
      <c r="CS18" s="207">
        <v>624131.56999999995</v>
      </c>
      <c r="CT18" s="1065">
        <v>383386.81751808664</v>
      </c>
      <c r="CU18" s="256"/>
      <c r="CV18" s="1065">
        <v>624131.56999999995</v>
      </c>
      <c r="CW18" s="1065">
        <v>383386.81751808664</v>
      </c>
      <c r="CX18" s="256"/>
      <c r="CY18" s="1065"/>
      <c r="CZ18" s="1065"/>
    </row>
    <row r="19" spans="1:104">
      <c r="A19" s="260">
        <f>A18+1</f>
        <v>12</v>
      </c>
      <c r="B19" s="260"/>
      <c r="C19" s="275" t="s">
        <v>118</v>
      </c>
      <c r="D19" s="292"/>
      <c r="E19" s="289" t="s">
        <v>567</v>
      </c>
      <c r="F19" s="290"/>
      <c r="G19" s="620">
        <f>+'Stmt D'!J20</f>
        <v>6163725</v>
      </c>
      <c r="H19" s="298"/>
      <c r="I19" s="289" t="s">
        <v>567</v>
      </c>
      <c r="J19" s="298"/>
      <c r="K19" s="620">
        <f>+'Stmt D'!N20</f>
        <v>6163725</v>
      </c>
      <c r="M19" s="1630" t="s">
        <v>1528</v>
      </c>
      <c r="N19" s="1614">
        <f>SUM(N15:N18)</f>
        <v>3432534.7599622989</v>
      </c>
      <c r="O19" s="1614">
        <v>3432534.7599622989</v>
      </c>
      <c r="Q19" s="1689">
        <v>6163725</v>
      </c>
      <c r="R19" s="256"/>
      <c r="S19" s="1689">
        <v>6163725</v>
      </c>
      <c r="T19" s="1690">
        <v>3432534.7599622989</v>
      </c>
      <c r="U19" s="256"/>
      <c r="V19" s="1689">
        <v>6163725</v>
      </c>
      <c r="W19" s="1690">
        <v>3432534.7599622989</v>
      </c>
      <c r="X19" s="256"/>
      <c r="Y19" s="1689">
        <v>6163725</v>
      </c>
      <c r="Z19" s="1690">
        <v>3432534.7599622989</v>
      </c>
      <c r="AA19" s="256"/>
      <c r="AB19" s="1689">
        <v>6163725</v>
      </c>
      <c r="AC19" s="1690">
        <v>3432534.7599622989</v>
      </c>
      <c r="AD19" s="256"/>
      <c r="AE19" s="1689">
        <v>6163725</v>
      </c>
      <c r="AF19" s="1690">
        <v>3432534.7599622989</v>
      </c>
      <c r="AG19" s="256"/>
      <c r="AH19" s="1689">
        <v>6163725</v>
      </c>
      <c r="AI19" s="1690">
        <v>3432534.7599622989</v>
      </c>
      <c r="AJ19" s="256"/>
      <c r="AK19" s="1689">
        <v>6163725</v>
      </c>
      <c r="AL19" s="1690">
        <v>3432534.7599622989</v>
      </c>
      <c r="AM19" s="256"/>
      <c r="AN19" s="1689">
        <v>6163725</v>
      </c>
      <c r="AO19" s="1690">
        <v>3432534.7599622989</v>
      </c>
      <c r="AP19" s="256"/>
      <c r="AQ19" s="1689">
        <v>6163725</v>
      </c>
      <c r="AR19" s="1690">
        <v>3432534.7599622989</v>
      </c>
      <c r="AS19" s="256"/>
      <c r="AT19" s="1689">
        <v>6163725</v>
      </c>
      <c r="AU19" s="1689">
        <v>3432534.7599622989</v>
      </c>
      <c r="AV19" s="256"/>
      <c r="AW19" s="1689">
        <v>6163725</v>
      </c>
      <c r="AX19" s="1689">
        <v>3432534.7599622989</v>
      </c>
      <c r="AY19" s="256"/>
      <c r="AZ19" s="1689">
        <v>6163725</v>
      </c>
      <c r="BA19" s="1689">
        <v>3432534.7599622989</v>
      </c>
      <c r="BB19" s="256"/>
      <c r="BC19" s="1689">
        <v>6163725</v>
      </c>
      <c r="BD19" s="1689">
        <v>3432534.7599622989</v>
      </c>
      <c r="BE19" s="256"/>
      <c r="BF19" s="1689">
        <v>6163725</v>
      </c>
      <c r="BG19" s="1689">
        <v>3432534.7599622989</v>
      </c>
      <c r="BH19" s="256"/>
      <c r="BI19" s="1689">
        <v>6163725</v>
      </c>
      <c r="BJ19" s="1689">
        <v>3432534.7599622989</v>
      </c>
      <c r="BK19" s="256"/>
      <c r="BL19" s="1689">
        <v>6163725</v>
      </c>
      <c r="BM19" s="1689">
        <v>3432534.7599622989</v>
      </c>
      <c r="BN19" s="256"/>
      <c r="BO19" s="1689">
        <v>6163725</v>
      </c>
      <c r="BP19" s="1689">
        <v>3432534.7599622989</v>
      </c>
      <c r="BQ19" s="256"/>
      <c r="BR19" s="1689">
        <v>6163725</v>
      </c>
      <c r="BS19" s="1689">
        <v>3432534.7599622989</v>
      </c>
      <c r="BT19" s="256"/>
      <c r="BU19" s="1689">
        <v>6163725</v>
      </c>
      <c r="BV19" s="1689">
        <v>3432534.7599622989</v>
      </c>
      <c r="BW19" s="256"/>
      <c r="BX19" s="1689">
        <v>6163725</v>
      </c>
      <c r="BY19" s="1689">
        <v>3432534.7599622989</v>
      </c>
      <c r="BZ19" s="256"/>
      <c r="CA19" s="1689">
        <v>6163725</v>
      </c>
      <c r="CB19" s="1689">
        <v>3432534.7599622989</v>
      </c>
      <c r="CC19" s="256"/>
      <c r="CD19" s="1689">
        <v>6163725</v>
      </c>
      <c r="CE19" s="1689">
        <v>3432534.7599622989</v>
      </c>
      <c r="CF19" s="256"/>
      <c r="CG19" s="1689">
        <v>6163725</v>
      </c>
      <c r="CH19" s="1689">
        <v>3432534.7599622989</v>
      </c>
      <c r="CI19" s="1684">
        <f t="shared" si="0"/>
        <v>0</v>
      </c>
      <c r="CJ19" s="1689">
        <v>6163725</v>
      </c>
      <c r="CK19" s="1689">
        <v>3432534.7599622989</v>
      </c>
      <c r="CL19" s="256"/>
      <c r="CM19" s="1689">
        <v>6163725</v>
      </c>
      <c r="CN19" s="1689">
        <v>3432534.7599622989</v>
      </c>
      <c r="CO19" s="256"/>
      <c r="CP19" s="620">
        <v>6163725</v>
      </c>
      <c r="CQ19" s="1689">
        <v>3432534.7599622989</v>
      </c>
      <c r="CR19" s="256"/>
      <c r="CS19" s="620">
        <v>6163725</v>
      </c>
      <c r="CT19" s="1689">
        <v>3432534.7599622989</v>
      </c>
      <c r="CU19" s="256"/>
      <c r="CV19" s="1689">
        <v>6163725</v>
      </c>
      <c r="CW19" s="1689">
        <v>3432534.7599622989</v>
      </c>
      <c r="CX19" s="256"/>
      <c r="CY19" s="1689"/>
      <c r="CZ19" s="1689"/>
    </row>
    <row r="20" spans="1:104">
      <c r="A20" s="260">
        <f>A19+1</f>
        <v>13</v>
      </c>
      <c r="B20" s="260"/>
      <c r="D20" s="292"/>
      <c r="M20" s="1624"/>
      <c r="N20" s="1566"/>
      <c r="O20" s="1566"/>
      <c r="Q20" s="256"/>
      <c r="R20" s="256"/>
      <c r="S20" s="256"/>
      <c r="T20" s="1692"/>
      <c r="U20" s="256"/>
      <c r="V20" s="256"/>
      <c r="W20" s="1692"/>
      <c r="X20" s="256"/>
      <c r="Y20" s="256"/>
      <c r="Z20" s="1692"/>
      <c r="AA20" s="256"/>
      <c r="AB20" s="256"/>
      <c r="AC20" s="1692"/>
      <c r="AD20" s="256"/>
      <c r="AE20" s="256"/>
      <c r="AF20" s="1692"/>
      <c r="AG20" s="256"/>
      <c r="AH20" s="256"/>
      <c r="AI20" s="1692"/>
      <c r="AJ20" s="256"/>
      <c r="AK20" s="256"/>
      <c r="AL20" s="1692"/>
      <c r="AM20" s="256"/>
      <c r="AN20" s="256"/>
      <c r="AO20" s="1692"/>
      <c r="AP20" s="256"/>
      <c r="AQ20" s="256"/>
      <c r="AR20" s="1692"/>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1684">
        <f t="shared" si="0"/>
        <v>0</v>
      </c>
      <c r="CJ20" s="256"/>
      <c r="CK20" s="256"/>
      <c r="CL20" s="256"/>
      <c r="CM20" s="256"/>
      <c r="CN20" s="256"/>
      <c r="CO20" s="256"/>
      <c r="CP20" s="255"/>
      <c r="CQ20" s="256"/>
      <c r="CR20" s="256"/>
      <c r="CS20" s="255"/>
      <c r="CT20" s="256"/>
      <c r="CU20" s="256"/>
      <c r="CV20" s="256"/>
      <c r="CW20" s="256"/>
      <c r="CX20" s="256"/>
      <c r="CY20" s="256"/>
      <c r="CZ20" s="256"/>
    </row>
    <row r="21" spans="1:104">
      <c r="A21" s="260">
        <f t="shared" ref="A21:A26" si="2">A20+1</f>
        <v>14</v>
      </c>
      <c r="B21" s="260">
        <f>'Sched D-1'!B25</f>
        <v>374.01</v>
      </c>
      <c r="C21" s="862" t="str">
        <f>'Sched D-1'!C25</f>
        <v>Distribution Plant - Land</v>
      </c>
      <c r="D21" s="292"/>
      <c r="E21" s="289" t="s">
        <v>539</v>
      </c>
      <c r="F21" s="290"/>
      <c r="G21" s="353">
        <f>'Sched D-1'!G25</f>
        <v>1358867.6</v>
      </c>
      <c r="H21" s="29"/>
      <c r="I21" s="583" t="s">
        <v>539</v>
      </c>
      <c r="J21" s="29"/>
      <c r="K21" s="297">
        <f>'Sched D-1'!O25</f>
        <v>608493.55000000005</v>
      </c>
      <c r="M21" s="1624">
        <f t="shared" ref="M21:M36" si="3">IF(ISERROR(O21/K21),0,O21/K21)</f>
        <v>0.67411602428063488</v>
      </c>
      <c r="N21" s="1566">
        <f t="shared" ref="N21:N36" si="4">M21*G21</f>
        <v>916034.42403576814</v>
      </c>
      <c r="O21" s="1566">
        <v>410195.25272640976</v>
      </c>
      <c r="Q21" s="1684">
        <v>608493.55000000005</v>
      </c>
      <c r="R21" s="256"/>
      <c r="S21" s="1684">
        <v>608493.55000000005</v>
      </c>
      <c r="T21" s="1685">
        <v>410195.25272640976</v>
      </c>
      <c r="U21" s="256"/>
      <c r="V21" s="1684">
        <v>608493.55000000005</v>
      </c>
      <c r="W21" s="1685">
        <v>410195.25272640976</v>
      </c>
      <c r="X21" s="256"/>
      <c r="Y21" s="1684">
        <v>608493.55000000005</v>
      </c>
      <c r="Z21" s="1685">
        <v>410195.25272640976</v>
      </c>
      <c r="AA21" s="256"/>
      <c r="AB21" s="1684">
        <v>608493.55000000005</v>
      </c>
      <c r="AC21" s="1685">
        <v>410195.25272640976</v>
      </c>
      <c r="AD21" s="256"/>
      <c r="AE21" s="1684">
        <v>608493.55000000005</v>
      </c>
      <c r="AF21" s="1685">
        <v>410195.25272640976</v>
      </c>
      <c r="AG21" s="256"/>
      <c r="AH21" s="1684">
        <v>608493.55000000005</v>
      </c>
      <c r="AI21" s="1685">
        <v>410195.25272640976</v>
      </c>
      <c r="AJ21" s="256"/>
      <c r="AK21" s="1684">
        <v>608493.55000000005</v>
      </c>
      <c r="AL21" s="1685">
        <v>410195.25272640976</v>
      </c>
      <c r="AM21" s="256"/>
      <c r="AN21" s="1684">
        <v>608493.55000000005</v>
      </c>
      <c r="AO21" s="1685">
        <v>410195.25272640976</v>
      </c>
      <c r="AP21" s="256"/>
      <c r="AQ21" s="1684">
        <v>608493.55000000005</v>
      </c>
      <c r="AR21" s="1685">
        <v>410195.25272640976</v>
      </c>
      <c r="AS21" s="256"/>
      <c r="AT21" s="1684">
        <v>608493.55000000005</v>
      </c>
      <c r="AU21" s="1684">
        <v>410195.25272640976</v>
      </c>
      <c r="AV21" s="256"/>
      <c r="AW21" s="1684">
        <v>608493.55000000005</v>
      </c>
      <c r="AX21" s="1684">
        <v>410195.25272640976</v>
      </c>
      <c r="AY21" s="256"/>
      <c r="AZ21" s="1684">
        <v>608493.55000000005</v>
      </c>
      <c r="BA21" s="1684">
        <v>410195.25272640976</v>
      </c>
      <c r="BB21" s="256"/>
      <c r="BC21" s="1684">
        <v>608493.55000000005</v>
      </c>
      <c r="BD21" s="1684">
        <v>410195.25272640976</v>
      </c>
      <c r="BE21" s="256"/>
      <c r="BF21" s="1684">
        <v>608493.55000000005</v>
      </c>
      <c r="BG21" s="1684">
        <v>410195.25272640976</v>
      </c>
      <c r="BH21" s="256"/>
      <c r="BI21" s="1684">
        <v>608493.55000000005</v>
      </c>
      <c r="BJ21" s="1684">
        <v>410195.25272640976</v>
      </c>
      <c r="BK21" s="256"/>
      <c r="BL21" s="1684">
        <v>608493.55000000005</v>
      </c>
      <c r="BM21" s="1684">
        <v>410195.25272640976</v>
      </c>
      <c r="BN21" s="256"/>
      <c r="BO21" s="1684">
        <v>608493.55000000005</v>
      </c>
      <c r="BP21" s="1684">
        <v>410195.25272640976</v>
      </c>
      <c r="BQ21" s="256"/>
      <c r="BR21" s="1684">
        <v>608493.55000000005</v>
      </c>
      <c r="BS21" s="1684">
        <v>410195.25272640976</v>
      </c>
      <c r="BT21" s="256"/>
      <c r="BU21" s="1684">
        <v>608493.55000000005</v>
      </c>
      <c r="BV21" s="1684">
        <v>410195.25272640976</v>
      </c>
      <c r="BW21" s="256"/>
      <c r="BX21" s="1684">
        <v>608493.55000000005</v>
      </c>
      <c r="BY21" s="1684">
        <v>410195.25272640976</v>
      </c>
      <c r="BZ21" s="256"/>
      <c r="CA21" s="1684">
        <v>608493.55000000005</v>
      </c>
      <c r="CB21" s="1684">
        <v>410195.25272640976</v>
      </c>
      <c r="CC21" s="256"/>
      <c r="CD21" s="1684">
        <v>608493.55000000005</v>
      </c>
      <c r="CE21" s="1684">
        <v>410195.25272640976</v>
      </c>
      <c r="CF21" s="256"/>
      <c r="CG21" s="1684">
        <v>608493.55000000005</v>
      </c>
      <c r="CH21" s="1684">
        <v>410195.25272640976</v>
      </c>
      <c r="CI21" s="1684">
        <f t="shared" si="0"/>
        <v>0</v>
      </c>
      <c r="CJ21" s="1684">
        <v>608493.55000000005</v>
      </c>
      <c r="CK21" s="1684">
        <v>410195.25272640976</v>
      </c>
      <c r="CL21" s="256"/>
      <c r="CM21" s="1684">
        <v>608493.55000000005</v>
      </c>
      <c r="CN21" s="1684">
        <v>410195.25272640976</v>
      </c>
      <c r="CO21" s="256"/>
      <c r="CP21" s="297">
        <v>608493.55000000005</v>
      </c>
      <c r="CQ21" s="1684">
        <v>410195.25272640976</v>
      </c>
      <c r="CR21" s="256"/>
      <c r="CS21" s="297">
        <v>608493.55000000005</v>
      </c>
      <c r="CT21" s="1684">
        <v>410195.25272640976</v>
      </c>
      <c r="CU21" s="256"/>
      <c r="CV21" s="1684">
        <v>608493.55000000005</v>
      </c>
      <c r="CW21" s="1684">
        <v>410195.25272640976</v>
      </c>
      <c r="CX21" s="256"/>
      <c r="CY21" s="1684"/>
      <c r="CZ21" s="1684"/>
    </row>
    <row r="22" spans="1:104">
      <c r="A22" s="260">
        <f t="shared" si="2"/>
        <v>15</v>
      </c>
      <c r="B22" s="260">
        <f>'Sched D-1'!B26</f>
        <v>374.02</v>
      </c>
      <c r="C22" s="862" t="str">
        <f>'Sched D-1'!C26</f>
        <v>Land Rights (Non-Depreciable)</v>
      </c>
      <c r="D22" s="292"/>
      <c r="E22" s="289" t="s">
        <v>539</v>
      </c>
      <c r="F22" s="290"/>
      <c r="G22" s="207">
        <f>'Sched D-1'!G26</f>
        <v>176100</v>
      </c>
      <c r="H22" s="29"/>
      <c r="I22" s="635" t="s">
        <v>539</v>
      </c>
      <c r="J22" s="29"/>
      <c r="K22" s="207">
        <f>'Sched D-1'!O26</f>
        <v>1693103.5573682757</v>
      </c>
      <c r="M22" s="1624">
        <f t="shared" si="3"/>
        <v>0.71236152179758516</v>
      </c>
      <c r="N22" s="1625">
        <f t="shared" si="4"/>
        <v>125446.86398855475</v>
      </c>
      <c r="O22" s="1625">
        <v>1206101.82668777</v>
      </c>
      <c r="Q22" s="1065">
        <v>1724267.8962500002</v>
      </c>
      <c r="R22" s="256"/>
      <c r="S22" s="1065">
        <v>1724267.8962500002</v>
      </c>
      <c r="T22" s="1686">
        <v>1228302.1025593712</v>
      </c>
      <c r="U22" s="256"/>
      <c r="V22" s="1065">
        <v>1724267.8962500002</v>
      </c>
      <c r="W22" s="1686">
        <v>1228302.1025593712</v>
      </c>
      <c r="X22" s="256"/>
      <c r="Y22" s="1065">
        <v>1724267.8962500002</v>
      </c>
      <c r="Z22" s="1686">
        <v>1228302.1025593712</v>
      </c>
      <c r="AA22" s="256"/>
      <c r="AB22" s="1065">
        <v>1724267.8962500002</v>
      </c>
      <c r="AC22" s="1686">
        <v>1228302.1025593712</v>
      </c>
      <c r="AD22" s="256"/>
      <c r="AE22" s="1065">
        <v>1724267.8962500002</v>
      </c>
      <c r="AF22" s="1686">
        <v>1228302.1025593712</v>
      </c>
      <c r="AG22" s="256"/>
      <c r="AH22" s="1065">
        <v>1724267.8962500002</v>
      </c>
      <c r="AI22" s="1686">
        <v>1228302.1025593712</v>
      </c>
      <c r="AJ22" s="256"/>
      <c r="AK22" s="1065">
        <v>1724267.8962500002</v>
      </c>
      <c r="AL22" s="1686">
        <v>1228302.1025593712</v>
      </c>
      <c r="AM22" s="256"/>
      <c r="AN22" s="1065">
        <v>1724267.8962500002</v>
      </c>
      <c r="AO22" s="1686">
        <v>1228302.1025593712</v>
      </c>
      <c r="AP22" s="256"/>
      <c r="AQ22" s="1065">
        <v>1724267.8962500002</v>
      </c>
      <c r="AR22" s="1686">
        <v>1228302.1025593712</v>
      </c>
      <c r="AS22" s="256"/>
      <c r="AT22" s="1065">
        <v>1724267.8962500002</v>
      </c>
      <c r="AU22" s="1065">
        <v>1228302.1025593712</v>
      </c>
      <c r="AV22" s="256"/>
      <c r="AW22" s="1065">
        <v>1724267.8962500002</v>
      </c>
      <c r="AX22" s="1065">
        <v>1228302.1025593712</v>
      </c>
      <c r="AY22" s="256"/>
      <c r="AZ22" s="1065">
        <v>1724267.8962500002</v>
      </c>
      <c r="BA22" s="1065">
        <v>1228302.1025593712</v>
      </c>
      <c r="BB22" s="256"/>
      <c r="BC22" s="1065">
        <v>1724267.8962500002</v>
      </c>
      <c r="BD22" s="1065">
        <v>1228302.1025593712</v>
      </c>
      <c r="BE22" s="256"/>
      <c r="BF22" s="1065">
        <v>1724267.8962500002</v>
      </c>
      <c r="BG22" s="1065">
        <v>1228302.1025593712</v>
      </c>
      <c r="BH22" s="256"/>
      <c r="BI22" s="1065">
        <v>1724267.8962500002</v>
      </c>
      <c r="BJ22" s="1065">
        <v>1228302.1025593712</v>
      </c>
      <c r="BK22" s="256"/>
      <c r="BL22" s="1065">
        <v>1724267.8962500002</v>
      </c>
      <c r="BM22" s="1065">
        <v>1228302.1025593712</v>
      </c>
      <c r="BN22" s="256"/>
      <c r="BO22" s="1065">
        <v>1724267.8962500002</v>
      </c>
      <c r="BP22" s="1065">
        <v>1228302.1025593712</v>
      </c>
      <c r="BQ22" s="256"/>
      <c r="BR22" s="1065">
        <v>1724267.8962500002</v>
      </c>
      <c r="BS22" s="1065">
        <v>1228302.1025593712</v>
      </c>
      <c r="BT22" s="256"/>
      <c r="BU22" s="1065">
        <v>1724267.8962500002</v>
      </c>
      <c r="BV22" s="1065">
        <v>1228302.1025593712</v>
      </c>
      <c r="BW22" s="256"/>
      <c r="BX22" s="1065">
        <v>1724267.8962500002</v>
      </c>
      <c r="BY22" s="1065">
        <v>1228302.1025593712</v>
      </c>
      <c r="BZ22" s="256"/>
      <c r="CA22" s="1065">
        <v>1693103.5573682757</v>
      </c>
      <c r="CB22" s="1065">
        <v>1206101.82668777</v>
      </c>
      <c r="CC22" s="256"/>
      <c r="CD22" s="1065">
        <v>1693103.5573682757</v>
      </c>
      <c r="CE22" s="1065">
        <v>1206101.82668777</v>
      </c>
      <c r="CF22" s="256"/>
      <c r="CG22" s="1065">
        <v>1693103.5573682757</v>
      </c>
      <c r="CH22" s="1065">
        <v>1206101.82668777</v>
      </c>
      <c r="CI22" s="1684">
        <f t="shared" si="0"/>
        <v>0</v>
      </c>
      <c r="CJ22" s="1065">
        <v>1693103.5573682757</v>
      </c>
      <c r="CK22" s="1065">
        <v>1206101.82668777</v>
      </c>
      <c r="CL22" s="256"/>
      <c r="CM22" s="1065">
        <v>1693103.5573682757</v>
      </c>
      <c r="CN22" s="1065">
        <v>1206101.82668777</v>
      </c>
      <c r="CO22" s="256"/>
      <c r="CP22" s="207">
        <v>1693103.5573682757</v>
      </c>
      <c r="CQ22" s="1065">
        <v>1206101.82668777</v>
      </c>
      <c r="CR22" s="256"/>
      <c r="CS22" s="207">
        <v>1693103.5573682757</v>
      </c>
      <c r="CT22" s="1065">
        <v>1206101.82668777</v>
      </c>
      <c r="CU22" s="256"/>
      <c r="CV22" s="1065">
        <v>1693103.5573682757</v>
      </c>
      <c r="CW22" s="1065">
        <v>1206101.82668777</v>
      </c>
      <c r="CX22" s="256"/>
      <c r="CY22" s="1065"/>
      <c r="CZ22" s="1065"/>
    </row>
    <row r="23" spans="1:104">
      <c r="A23" s="260">
        <f t="shared" si="2"/>
        <v>16</v>
      </c>
      <c r="B23" s="260">
        <f>'Sched D-1'!B27</f>
        <v>374.03</v>
      </c>
      <c r="C23" s="862" t="str">
        <f>'Sched D-1'!C27</f>
        <v>Land Rights - Right of Way (Depreciable)</v>
      </c>
      <c r="D23" s="292"/>
      <c r="E23" s="289" t="s">
        <v>539</v>
      </c>
      <c r="F23" s="290"/>
      <c r="G23" s="207">
        <f>'Sched D-1'!G27</f>
        <v>6797135.5700000003</v>
      </c>
      <c r="H23" s="29"/>
      <c r="I23" s="635" t="s">
        <v>539</v>
      </c>
      <c r="J23" s="29"/>
      <c r="K23" s="207">
        <f>'Sched D-1'!O27</f>
        <v>6797135.5700000003</v>
      </c>
      <c r="M23" s="1624">
        <f t="shared" si="3"/>
        <v>0.71236152179758527</v>
      </c>
      <c r="N23" s="1625">
        <f t="shared" si="4"/>
        <v>4842017.8385096975</v>
      </c>
      <c r="O23" s="1625">
        <v>4842017.8385096975</v>
      </c>
      <c r="Q23" s="1065">
        <v>6797135.5700000003</v>
      </c>
      <c r="R23" s="256"/>
      <c r="S23" s="1065">
        <v>6797135.5700000003</v>
      </c>
      <c r="T23" s="1686">
        <v>4842017.8385096975</v>
      </c>
      <c r="U23" s="256"/>
      <c r="V23" s="1065">
        <v>6797135.5700000003</v>
      </c>
      <c r="W23" s="1686">
        <v>4842017.8385096975</v>
      </c>
      <c r="X23" s="256"/>
      <c r="Y23" s="1065">
        <v>6797135.5700000003</v>
      </c>
      <c r="Z23" s="1686">
        <v>4842017.8385096975</v>
      </c>
      <c r="AA23" s="256"/>
      <c r="AB23" s="1065">
        <v>6797135.5700000003</v>
      </c>
      <c r="AC23" s="1686">
        <v>4842017.8385096975</v>
      </c>
      <c r="AD23" s="256"/>
      <c r="AE23" s="1065">
        <v>6797135.5700000003</v>
      </c>
      <c r="AF23" s="1686">
        <v>4842017.8385096975</v>
      </c>
      <c r="AG23" s="256"/>
      <c r="AH23" s="1065">
        <v>6797135.5700000003</v>
      </c>
      <c r="AI23" s="1686">
        <v>4842017.8385096975</v>
      </c>
      <c r="AJ23" s="256"/>
      <c r="AK23" s="1065">
        <v>6797135.5700000003</v>
      </c>
      <c r="AL23" s="1686">
        <v>4842017.8385096975</v>
      </c>
      <c r="AM23" s="256"/>
      <c r="AN23" s="1065">
        <v>6797135.5700000003</v>
      </c>
      <c r="AO23" s="1686">
        <v>4842017.8385096975</v>
      </c>
      <c r="AP23" s="256"/>
      <c r="AQ23" s="1065">
        <v>6797135.5700000003</v>
      </c>
      <c r="AR23" s="1686">
        <v>4842017.8385096975</v>
      </c>
      <c r="AS23" s="256"/>
      <c r="AT23" s="1065">
        <v>6797135.5700000003</v>
      </c>
      <c r="AU23" s="1065">
        <v>4842017.8385096975</v>
      </c>
      <c r="AV23" s="256"/>
      <c r="AW23" s="1065">
        <v>6797135.5700000003</v>
      </c>
      <c r="AX23" s="1065">
        <v>4842017.8385096975</v>
      </c>
      <c r="AY23" s="256"/>
      <c r="AZ23" s="1065">
        <v>6797135.5700000003</v>
      </c>
      <c r="BA23" s="1065">
        <v>4842017.8385096975</v>
      </c>
      <c r="BB23" s="256"/>
      <c r="BC23" s="1065">
        <v>6797135.5700000003</v>
      </c>
      <c r="BD23" s="1065">
        <v>4842017.8385096975</v>
      </c>
      <c r="BE23" s="256"/>
      <c r="BF23" s="1065">
        <v>6797135.5700000003</v>
      </c>
      <c r="BG23" s="1065">
        <v>4842017.8385096975</v>
      </c>
      <c r="BH23" s="256"/>
      <c r="BI23" s="1065">
        <v>6797135.5700000003</v>
      </c>
      <c r="BJ23" s="1065">
        <v>4842017.8385096975</v>
      </c>
      <c r="BK23" s="256"/>
      <c r="BL23" s="1065">
        <v>6797135.5700000003</v>
      </c>
      <c r="BM23" s="1065">
        <v>4842017.8385096975</v>
      </c>
      <c r="BN23" s="256"/>
      <c r="BO23" s="1065">
        <v>6797135.5700000003</v>
      </c>
      <c r="BP23" s="1065">
        <v>4842017.8385096975</v>
      </c>
      <c r="BQ23" s="256"/>
      <c r="BR23" s="1065">
        <v>6797135.5700000003</v>
      </c>
      <c r="BS23" s="1065">
        <v>4842017.8385096975</v>
      </c>
      <c r="BT23" s="256"/>
      <c r="BU23" s="1065">
        <v>6797135.5700000003</v>
      </c>
      <c r="BV23" s="1065">
        <v>4842017.8385096975</v>
      </c>
      <c r="BW23" s="256"/>
      <c r="BX23" s="1065">
        <v>6797135.5700000003</v>
      </c>
      <c r="BY23" s="1065">
        <v>4842017.8385096975</v>
      </c>
      <c r="BZ23" s="256"/>
      <c r="CA23" s="1065">
        <v>6797135.5700000003</v>
      </c>
      <c r="CB23" s="1065">
        <v>4842017.8385096975</v>
      </c>
      <c r="CC23" s="256"/>
      <c r="CD23" s="1065">
        <v>6797135.5700000003</v>
      </c>
      <c r="CE23" s="1065">
        <v>4842017.8385096975</v>
      </c>
      <c r="CF23" s="256"/>
      <c r="CG23" s="1065">
        <v>6797135.5700000003</v>
      </c>
      <c r="CH23" s="1065">
        <v>4842017.8385096975</v>
      </c>
      <c r="CI23" s="1684">
        <f t="shared" si="0"/>
        <v>0</v>
      </c>
      <c r="CJ23" s="1065">
        <v>6797135.5700000003</v>
      </c>
      <c r="CK23" s="1065">
        <v>4842017.8385096975</v>
      </c>
      <c r="CL23" s="256"/>
      <c r="CM23" s="1065">
        <v>6797135.5700000003</v>
      </c>
      <c r="CN23" s="1065">
        <v>4842017.8385096975</v>
      </c>
      <c r="CO23" s="256"/>
      <c r="CP23" s="207">
        <v>6797135.5700000003</v>
      </c>
      <c r="CQ23" s="1065">
        <v>4842017.8385096975</v>
      </c>
      <c r="CR23" s="256"/>
      <c r="CS23" s="207">
        <v>6797135.5700000003</v>
      </c>
      <c r="CT23" s="1065">
        <v>4842017.8385096975</v>
      </c>
      <c r="CU23" s="256"/>
      <c r="CV23" s="1065">
        <v>6797135.5700000003</v>
      </c>
      <c r="CW23" s="1065">
        <v>4842017.8385096975</v>
      </c>
      <c r="CX23" s="256"/>
      <c r="CY23" s="1065"/>
      <c r="CZ23" s="1065"/>
    </row>
    <row r="24" spans="1:104">
      <c r="A24" s="260">
        <f t="shared" si="2"/>
        <v>17</v>
      </c>
      <c r="B24" s="260">
        <f>'Sched D-1'!B28</f>
        <v>375.01</v>
      </c>
      <c r="C24" s="862" t="str">
        <f>'Sched D-1'!C28</f>
        <v>Structures and Improvements</v>
      </c>
      <c r="D24" s="292"/>
      <c r="E24" s="289" t="s">
        <v>539</v>
      </c>
      <c r="F24" s="290"/>
      <c r="G24" s="207">
        <f>'Sched D-1'!G28</f>
        <v>4987056.08</v>
      </c>
      <c r="H24" s="29"/>
      <c r="I24" s="635" t="s">
        <v>539</v>
      </c>
      <c r="J24" s="29"/>
      <c r="K24" s="207">
        <f>'Sched D-1'!O28</f>
        <v>3462086.8492294252</v>
      </c>
      <c r="M24" s="1624">
        <f t="shared" si="3"/>
        <v>0.67283756021124064</v>
      </c>
      <c r="N24" s="1625">
        <f t="shared" si="4"/>
        <v>3355478.6455038339</v>
      </c>
      <c r="O24" s="1625">
        <v>2329422.0688749477</v>
      </c>
      <c r="Q24" s="1065">
        <v>3412283.8900500005</v>
      </c>
      <c r="R24" s="256"/>
      <c r="S24" s="1065">
        <v>3412283.8900500005</v>
      </c>
      <c r="T24" s="1686">
        <v>2293944.3570838696</v>
      </c>
      <c r="U24" s="256"/>
      <c r="V24" s="1065">
        <v>3412283.8900500005</v>
      </c>
      <c r="W24" s="1686">
        <v>2293944.3570838696</v>
      </c>
      <c r="X24" s="256"/>
      <c r="Y24" s="1065">
        <v>3412283.8900500005</v>
      </c>
      <c r="Z24" s="1686">
        <v>2293944.3570838696</v>
      </c>
      <c r="AA24" s="256"/>
      <c r="AB24" s="1065">
        <v>3412283.8900500005</v>
      </c>
      <c r="AC24" s="1686">
        <v>2293944.3570838696</v>
      </c>
      <c r="AD24" s="256"/>
      <c r="AE24" s="1065">
        <v>3412283.8900500005</v>
      </c>
      <c r="AF24" s="1686">
        <v>2293944.3570838696</v>
      </c>
      <c r="AG24" s="256"/>
      <c r="AH24" s="1065">
        <v>3412283.8900500005</v>
      </c>
      <c r="AI24" s="1686">
        <v>2293944.3570838696</v>
      </c>
      <c r="AJ24" s="256"/>
      <c r="AK24" s="1065">
        <v>3412283.8900500005</v>
      </c>
      <c r="AL24" s="1686">
        <v>2293944.3570838696</v>
      </c>
      <c r="AM24" s="256"/>
      <c r="AN24" s="1065">
        <v>3412283.8900500005</v>
      </c>
      <c r="AO24" s="1686">
        <v>2293944.3570838696</v>
      </c>
      <c r="AP24" s="256"/>
      <c r="AQ24" s="1065">
        <v>3412283.8900500005</v>
      </c>
      <c r="AR24" s="1686">
        <v>2293944.3570838696</v>
      </c>
      <c r="AS24" s="256"/>
      <c r="AT24" s="1065">
        <v>3412283.8900500005</v>
      </c>
      <c r="AU24" s="1065">
        <v>2293944.3570838696</v>
      </c>
      <c r="AV24" s="256"/>
      <c r="AW24" s="1065">
        <v>3412283.8900500005</v>
      </c>
      <c r="AX24" s="1065">
        <v>2293944.3570838696</v>
      </c>
      <c r="AY24" s="256"/>
      <c r="AZ24" s="1065">
        <v>3412283.8900500005</v>
      </c>
      <c r="BA24" s="1065">
        <v>2293944.3570838696</v>
      </c>
      <c r="BB24" s="256"/>
      <c r="BC24" s="1065">
        <v>3412283.8900500005</v>
      </c>
      <c r="BD24" s="1065">
        <v>2293944.3570838696</v>
      </c>
      <c r="BE24" s="256"/>
      <c r="BF24" s="1065">
        <v>3412283.8900500005</v>
      </c>
      <c r="BG24" s="1065">
        <v>2293944.3570838696</v>
      </c>
      <c r="BH24" s="256"/>
      <c r="BI24" s="1065">
        <v>3412283.8900500005</v>
      </c>
      <c r="BJ24" s="1065">
        <v>2293944.3570838696</v>
      </c>
      <c r="BK24" s="256"/>
      <c r="BL24" s="1065">
        <v>3412283.8900500005</v>
      </c>
      <c r="BM24" s="1065">
        <v>2293944.3570838696</v>
      </c>
      <c r="BN24" s="256"/>
      <c r="BO24" s="1065">
        <v>3412283.8900500005</v>
      </c>
      <c r="BP24" s="1065">
        <v>2293944.3570838696</v>
      </c>
      <c r="BQ24" s="256"/>
      <c r="BR24" s="1065">
        <v>3412283.8900500005</v>
      </c>
      <c r="BS24" s="1065">
        <v>2293944.3570838696</v>
      </c>
      <c r="BT24" s="256"/>
      <c r="BU24" s="1065">
        <v>3412283.8900500005</v>
      </c>
      <c r="BV24" s="1065">
        <v>2293944.3570838696</v>
      </c>
      <c r="BW24" s="256"/>
      <c r="BX24" s="1065">
        <v>3412283.8900500005</v>
      </c>
      <c r="BY24" s="1065">
        <v>2293944.3570838696</v>
      </c>
      <c r="BZ24" s="256"/>
      <c r="CA24" s="1065">
        <v>3462086.8492294252</v>
      </c>
      <c r="CB24" s="1065">
        <v>2329422.0688749477</v>
      </c>
      <c r="CC24" s="256"/>
      <c r="CD24" s="1065">
        <v>3462086.8492294252</v>
      </c>
      <c r="CE24" s="1065">
        <v>2329422.0688749477</v>
      </c>
      <c r="CF24" s="256"/>
      <c r="CG24" s="1065">
        <v>3462086.8492294252</v>
      </c>
      <c r="CH24" s="1065">
        <v>2329422.0688749477</v>
      </c>
      <c r="CI24" s="1684">
        <f t="shared" si="0"/>
        <v>0</v>
      </c>
      <c r="CJ24" s="1065">
        <v>3462086.8492294252</v>
      </c>
      <c r="CK24" s="1065">
        <v>2329422.0688749477</v>
      </c>
      <c r="CL24" s="256"/>
      <c r="CM24" s="1065">
        <v>3462086.8492294252</v>
      </c>
      <c r="CN24" s="1065">
        <v>2329422.0688749477</v>
      </c>
      <c r="CO24" s="256"/>
      <c r="CP24" s="207">
        <v>3462086.8492294252</v>
      </c>
      <c r="CQ24" s="1065">
        <v>2329422.0688749477</v>
      </c>
      <c r="CR24" s="256"/>
      <c r="CS24" s="207">
        <v>3462086.8492294252</v>
      </c>
      <c r="CT24" s="1065">
        <v>2329422.0688749477</v>
      </c>
      <c r="CU24" s="256"/>
      <c r="CV24" s="1065">
        <v>3462086.8492294252</v>
      </c>
      <c r="CW24" s="1065">
        <v>2329422.0688749477</v>
      </c>
      <c r="CX24" s="256"/>
      <c r="CY24" s="1065"/>
      <c r="CZ24" s="1065"/>
    </row>
    <row r="25" spans="1:104">
      <c r="A25" s="260">
        <f t="shared" si="2"/>
        <v>18</v>
      </c>
      <c r="B25" s="1253">
        <f>'Sched D-1'!B29</f>
        <v>375.2</v>
      </c>
      <c r="C25" s="862" t="str">
        <f>'Sched D-1'!C29</f>
        <v>Structures and Improvements - Other</v>
      </c>
      <c r="D25" s="292"/>
      <c r="E25" s="289" t="s">
        <v>539</v>
      </c>
      <c r="F25" s="290"/>
      <c r="G25" s="207">
        <f>'Sched D-1'!G29</f>
        <v>12119.44</v>
      </c>
      <c r="H25" s="29"/>
      <c r="I25" s="635" t="s">
        <v>539</v>
      </c>
      <c r="J25" s="29"/>
      <c r="K25" s="207">
        <f>'Sched D-1'!O29</f>
        <v>12119.44</v>
      </c>
      <c r="M25" s="1624">
        <f t="shared" si="3"/>
        <v>0.71236152179758538</v>
      </c>
      <c r="N25" s="1625">
        <f t="shared" si="4"/>
        <v>8633.4227217345287</v>
      </c>
      <c r="O25" s="1625">
        <v>8633.4227217345287</v>
      </c>
      <c r="Q25" s="1065">
        <v>12119.44</v>
      </c>
      <c r="R25" s="256"/>
      <c r="S25" s="1065">
        <v>12119.44</v>
      </c>
      <c r="T25" s="1686">
        <v>8633.4227217345287</v>
      </c>
      <c r="U25" s="256"/>
      <c r="V25" s="1065">
        <v>12119.44</v>
      </c>
      <c r="W25" s="1686">
        <v>8633.4227217345287</v>
      </c>
      <c r="X25" s="256"/>
      <c r="Y25" s="1065">
        <v>12119.44</v>
      </c>
      <c r="Z25" s="1686">
        <v>8633.4227217345287</v>
      </c>
      <c r="AA25" s="256"/>
      <c r="AB25" s="1065">
        <v>12119.44</v>
      </c>
      <c r="AC25" s="1686">
        <v>8633.4227217345287</v>
      </c>
      <c r="AD25" s="256"/>
      <c r="AE25" s="1065">
        <v>12119.44</v>
      </c>
      <c r="AF25" s="1686">
        <v>8633.4227217345287</v>
      </c>
      <c r="AG25" s="256"/>
      <c r="AH25" s="1065">
        <v>12119.44</v>
      </c>
      <c r="AI25" s="1686">
        <v>8633.4227217345287</v>
      </c>
      <c r="AJ25" s="256"/>
      <c r="AK25" s="1065">
        <v>12119.44</v>
      </c>
      <c r="AL25" s="1686">
        <v>8633.4227217345287</v>
      </c>
      <c r="AM25" s="256"/>
      <c r="AN25" s="1065">
        <v>12119.44</v>
      </c>
      <c r="AO25" s="1686">
        <v>8633.4227217345287</v>
      </c>
      <c r="AP25" s="256"/>
      <c r="AQ25" s="1065">
        <v>12119.44</v>
      </c>
      <c r="AR25" s="1686">
        <v>8633.4227217345287</v>
      </c>
      <c r="AS25" s="256"/>
      <c r="AT25" s="1065">
        <v>12119.44</v>
      </c>
      <c r="AU25" s="1065">
        <v>8633.4227217345287</v>
      </c>
      <c r="AV25" s="256"/>
      <c r="AW25" s="1065">
        <v>12119.44</v>
      </c>
      <c r="AX25" s="1065">
        <v>8633.4227217345287</v>
      </c>
      <c r="AY25" s="256"/>
      <c r="AZ25" s="1065">
        <v>12119.44</v>
      </c>
      <c r="BA25" s="1065">
        <v>8633.4227217345287</v>
      </c>
      <c r="BB25" s="256"/>
      <c r="BC25" s="1065">
        <v>12119.44</v>
      </c>
      <c r="BD25" s="1065">
        <v>8633.4227217345287</v>
      </c>
      <c r="BE25" s="256"/>
      <c r="BF25" s="1065">
        <v>12119.44</v>
      </c>
      <c r="BG25" s="1065">
        <v>8633.4227217345287</v>
      </c>
      <c r="BH25" s="256"/>
      <c r="BI25" s="1065">
        <v>12119.44</v>
      </c>
      <c r="BJ25" s="1065">
        <v>8633.4227217345287</v>
      </c>
      <c r="BK25" s="256"/>
      <c r="BL25" s="1065">
        <v>12119.44</v>
      </c>
      <c r="BM25" s="1065">
        <v>8633.4227217345287</v>
      </c>
      <c r="BN25" s="256"/>
      <c r="BO25" s="1065">
        <v>12119.44</v>
      </c>
      <c r="BP25" s="1065">
        <v>8633.4227217345287</v>
      </c>
      <c r="BQ25" s="256"/>
      <c r="BR25" s="1065">
        <v>12119.44</v>
      </c>
      <c r="BS25" s="1065">
        <v>8633.4227217345287</v>
      </c>
      <c r="BT25" s="256"/>
      <c r="BU25" s="1065">
        <v>12119.44</v>
      </c>
      <c r="BV25" s="1065">
        <v>8633.4227217345287</v>
      </c>
      <c r="BW25" s="256"/>
      <c r="BX25" s="1065">
        <v>12119.44</v>
      </c>
      <c r="BY25" s="1065">
        <v>8633.4227217345287</v>
      </c>
      <c r="BZ25" s="256"/>
      <c r="CA25" s="1065">
        <v>12119.44</v>
      </c>
      <c r="CB25" s="1065">
        <v>8633.4227217345287</v>
      </c>
      <c r="CC25" s="256"/>
      <c r="CD25" s="1065">
        <v>12119.44</v>
      </c>
      <c r="CE25" s="1065">
        <v>8633.4227217345287</v>
      </c>
      <c r="CF25" s="256"/>
      <c r="CG25" s="1065">
        <v>12119.44</v>
      </c>
      <c r="CH25" s="1065">
        <v>8633.4227217345287</v>
      </c>
      <c r="CI25" s="1684">
        <f t="shared" si="0"/>
        <v>0</v>
      </c>
      <c r="CJ25" s="1065">
        <v>12119.44</v>
      </c>
      <c r="CK25" s="1065">
        <v>8633.4227217345287</v>
      </c>
      <c r="CL25" s="256"/>
      <c r="CM25" s="1065">
        <v>12119.44</v>
      </c>
      <c r="CN25" s="1065">
        <v>8633.4227217345287</v>
      </c>
      <c r="CO25" s="256"/>
      <c r="CP25" s="207">
        <v>12119.44</v>
      </c>
      <c r="CQ25" s="1065">
        <v>8633.4227217345287</v>
      </c>
      <c r="CR25" s="256"/>
      <c r="CS25" s="207">
        <v>12119.44</v>
      </c>
      <c r="CT25" s="1065">
        <v>8633.4227217345287</v>
      </c>
      <c r="CU25" s="256"/>
      <c r="CV25" s="1065">
        <v>12119.44</v>
      </c>
      <c r="CW25" s="1065">
        <v>8633.4227217345287</v>
      </c>
      <c r="CX25" s="256"/>
      <c r="CY25" s="1065"/>
      <c r="CZ25" s="1065"/>
    </row>
    <row r="26" spans="1:104">
      <c r="A26" s="260">
        <f t="shared" si="2"/>
        <v>19</v>
      </c>
      <c r="B26" s="260">
        <f>'Sched D-1'!B30</f>
        <v>376</v>
      </c>
      <c r="C26" s="862" t="str">
        <f>'Sched D-1'!C30</f>
        <v>Distribution Plant - Mains</v>
      </c>
      <c r="D26" s="292"/>
      <c r="E26" s="289" t="s">
        <v>539</v>
      </c>
      <c r="F26" s="290"/>
      <c r="G26" s="207">
        <f>'Sched D-1'!G30</f>
        <v>404011716.14999998</v>
      </c>
      <c r="H26" s="29"/>
      <c r="I26" s="635" t="s">
        <v>539</v>
      </c>
      <c r="J26" s="29"/>
      <c r="K26" s="207">
        <f>'Sched D-1'!O30</f>
        <v>444565701.90557998</v>
      </c>
      <c r="M26" s="1624">
        <f t="shared" si="3"/>
        <v>0.82916459753308547</v>
      </c>
      <c r="N26" s="1625">
        <f t="shared" si="4"/>
        <v>334992212.02016592</v>
      </c>
      <c r="O26" s="1625">
        <v>368618141.2975539</v>
      </c>
      <c r="Q26" s="1065">
        <v>444506217.05339003</v>
      </c>
      <c r="R26" s="256"/>
      <c r="S26" s="1065">
        <v>444506217.05339003</v>
      </c>
      <c r="T26" s="1686">
        <v>368568544.49691308</v>
      </c>
      <c r="U26" s="256"/>
      <c r="V26" s="1065">
        <v>444506217.05339003</v>
      </c>
      <c r="W26" s="1686">
        <v>368568544.49691308</v>
      </c>
      <c r="X26" s="256"/>
      <c r="Y26" s="1065">
        <v>444506217.05339003</v>
      </c>
      <c r="Z26" s="1686">
        <v>368568544.49691308</v>
      </c>
      <c r="AA26" s="256"/>
      <c r="AB26" s="1065">
        <v>444506217.05339003</v>
      </c>
      <c r="AC26" s="1686">
        <v>368568544.49691308</v>
      </c>
      <c r="AD26" s="256"/>
      <c r="AE26" s="1065">
        <v>444506217.05339003</v>
      </c>
      <c r="AF26" s="1686">
        <v>368568544.49691308</v>
      </c>
      <c r="AG26" s="256"/>
      <c r="AH26" s="1065">
        <v>444506217.05339003</v>
      </c>
      <c r="AI26" s="1686">
        <v>368568544.49691308</v>
      </c>
      <c r="AJ26" s="256"/>
      <c r="AK26" s="1065">
        <v>444506217.05339003</v>
      </c>
      <c r="AL26" s="1686">
        <v>368568544.49691308</v>
      </c>
      <c r="AM26" s="256"/>
      <c r="AN26" s="1065">
        <v>444506217.05339003</v>
      </c>
      <c r="AO26" s="1686">
        <v>368568544.49691308</v>
      </c>
      <c r="AP26" s="256"/>
      <c r="AQ26" s="1065">
        <v>444506217.05339003</v>
      </c>
      <c r="AR26" s="1686">
        <v>368568544.49691308</v>
      </c>
      <c r="AS26" s="256"/>
      <c r="AT26" s="1065">
        <v>444506217.05339003</v>
      </c>
      <c r="AU26" s="1065">
        <v>368568544.49691308</v>
      </c>
      <c r="AV26" s="256"/>
      <c r="AW26" s="1065">
        <v>444506217.05339003</v>
      </c>
      <c r="AX26" s="1065">
        <v>368568544.49691308</v>
      </c>
      <c r="AY26" s="256"/>
      <c r="AZ26" s="1065">
        <v>444506217.05339003</v>
      </c>
      <c r="BA26" s="1065">
        <v>368568544.49691308</v>
      </c>
      <c r="BB26" s="256"/>
      <c r="BC26" s="1065">
        <v>444506217.05339003</v>
      </c>
      <c r="BD26" s="1065">
        <v>368568544.49691308</v>
      </c>
      <c r="BE26" s="256"/>
      <c r="BF26" s="1065">
        <v>444506217.05339003</v>
      </c>
      <c r="BG26" s="1065">
        <v>368568544.49691308</v>
      </c>
      <c r="BH26" s="256"/>
      <c r="BI26" s="1065">
        <v>444506217.05339003</v>
      </c>
      <c r="BJ26" s="1065">
        <v>368568544.49691308</v>
      </c>
      <c r="BK26" s="256"/>
      <c r="BL26" s="1065">
        <v>444506217.05339003</v>
      </c>
      <c r="BM26" s="1065">
        <v>368568544.49691308</v>
      </c>
      <c r="BN26" s="256"/>
      <c r="BO26" s="1065">
        <v>444506217.05339003</v>
      </c>
      <c r="BP26" s="1065">
        <v>368568544.49691308</v>
      </c>
      <c r="BQ26" s="256"/>
      <c r="BR26" s="1065">
        <v>444506217.05339003</v>
      </c>
      <c r="BS26" s="1065">
        <v>368568544.49691308</v>
      </c>
      <c r="BT26" s="256"/>
      <c r="BU26" s="1065">
        <v>444506217.05339003</v>
      </c>
      <c r="BV26" s="1065">
        <v>368568544.49691308</v>
      </c>
      <c r="BW26" s="256"/>
      <c r="BX26" s="1065">
        <v>444506217.05339003</v>
      </c>
      <c r="BY26" s="1065">
        <v>368568544.49691308</v>
      </c>
      <c r="BZ26" s="256"/>
      <c r="CA26" s="1065">
        <v>444565701.90557998</v>
      </c>
      <c r="CB26" s="1065">
        <v>368618141.2975539</v>
      </c>
      <c r="CC26" s="256"/>
      <c r="CD26" s="1065">
        <v>444565701.90557998</v>
      </c>
      <c r="CE26" s="1065">
        <v>368618141.2975539</v>
      </c>
      <c r="CF26" s="256"/>
      <c r="CG26" s="1065">
        <v>444565701.90557998</v>
      </c>
      <c r="CH26" s="1065">
        <v>368618141.2975539</v>
      </c>
      <c r="CI26" s="1684">
        <f t="shared" si="0"/>
        <v>0</v>
      </c>
      <c r="CJ26" s="1065">
        <v>444565701.90557998</v>
      </c>
      <c r="CK26" s="1065">
        <v>368618141.2975539</v>
      </c>
      <c r="CL26" s="256"/>
      <c r="CM26" s="1065">
        <v>444565701.90557998</v>
      </c>
      <c r="CN26" s="1065">
        <v>368618141.2975539</v>
      </c>
      <c r="CO26" s="256"/>
      <c r="CP26" s="207">
        <v>444565701.90557998</v>
      </c>
      <c r="CQ26" s="1065">
        <v>368618141.2975539</v>
      </c>
      <c r="CR26" s="256"/>
      <c r="CS26" s="207">
        <v>444565701.90557998</v>
      </c>
      <c r="CT26" s="1065">
        <v>368618141.2975539</v>
      </c>
      <c r="CU26" s="256"/>
      <c r="CV26" s="1065">
        <v>444565701.90557998</v>
      </c>
      <c r="CW26" s="1065">
        <v>368618141.2975539</v>
      </c>
      <c r="CX26" s="256"/>
      <c r="CY26" s="1065"/>
      <c r="CZ26" s="1065"/>
    </row>
    <row r="27" spans="1:104">
      <c r="A27" s="260">
        <f>A26+1</f>
        <v>20</v>
      </c>
      <c r="B27" s="260">
        <f>'Sched D-1'!B31</f>
        <v>378</v>
      </c>
      <c r="C27" s="862" t="str">
        <f>'Sched D-1'!C31</f>
        <v>Distribution Plant - Meas. &amp; Reg. Sta. Equip. - General</v>
      </c>
      <c r="D27" s="292"/>
      <c r="E27" s="289" t="s">
        <v>539</v>
      </c>
      <c r="F27" s="290"/>
      <c r="G27" s="207">
        <f>'Sched D-1'!G31</f>
        <v>23549301.310000002</v>
      </c>
      <c r="H27" s="29"/>
      <c r="I27" s="635" t="s">
        <v>539</v>
      </c>
      <c r="J27" s="29"/>
      <c r="K27" s="207">
        <f>'Sched D-1'!O31</f>
        <v>25439135.747249428</v>
      </c>
      <c r="M27" s="1624">
        <f t="shared" si="3"/>
        <v>0.67057074627446445</v>
      </c>
      <c r="N27" s="1625">
        <f t="shared" si="4"/>
        <v>15791472.553688925</v>
      </c>
      <c r="O27" s="1625">
        <v>17058740.242610455</v>
      </c>
      <c r="Q27" s="1065">
        <v>25407196.844550002</v>
      </c>
      <c r="R27" s="256"/>
      <c r="S27" s="1065">
        <v>25407196.844550002</v>
      </c>
      <c r="T27" s="1686">
        <v>17035988.197278947</v>
      </c>
      <c r="U27" s="256"/>
      <c r="V27" s="1065">
        <v>25407196.844550002</v>
      </c>
      <c r="W27" s="1686">
        <v>17035988.197278947</v>
      </c>
      <c r="X27" s="256"/>
      <c r="Y27" s="1065">
        <v>25407196.844550002</v>
      </c>
      <c r="Z27" s="1686">
        <v>17035988.197278947</v>
      </c>
      <c r="AA27" s="256"/>
      <c r="AB27" s="1065">
        <v>25407196.844550002</v>
      </c>
      <c r="AC27" s="1686">
        <v>17035988.197278947</v>
      </c>
      <c r="AD27" s="256"/>
      <c r="AE27" s="1065">
        <v>25407196.844550002</v>
      </c>
      <c r="AF27" s="1686">
        <v>17035988.197278947</v>
      </c>
      <c r="AG27" s="256"/>
      <c r="AH27" s="1065">
        <v>25407196.844550002</v>
      </c>
      <c r="AI27" s="1686">
        <v>17035988.197278947</v>
      </c>
      <c r="AJ27" s="256"/>
      <c r="AK27" s="1065">
        <v>25407196.844550002</v>
      </c>
      <c r="AL27" s="1686">
        <v>17035988.197278947</v>
      </c>
      <c r="AM27" s="256"/>
      <c r="AN27" s="1065">
        <v>25407196.844550002</v>
      </c>
      <c r="AO27" s="1686">
        <v>17035988.197278947</v>
      </c>
      <c r="AP27" s="256"/>
      <c r="AQ27" s="1065">
        <v>25407196.844550002</v>
      </c>
      <c r="AR27" s="1686">
        <v>17035988.197278947</v>
      </c>
      <c r="AS27" s="256"/>
      <c r="AT27" s="1065">
        <v>25407196.844550002</v>
      </c>
      <c r="AU27" s="1065">
        <v>17035988.197278947</v>
      </c>
      <c r="AV27" s="256"/>
      <c r="AW27" s="1065">
        <v>25407196.844550002</v>
      </c>
      <c r="AX27" s="1065">
        <v>17035988.197278947</v>
      </c>
      <c r="AY27" s="256"/>
      <c r="AZ27" s="1065">
        <v>25407196.844550002</v>
      </c>
      <c r="BA27" s="1065">
        <v>17035988.197278947</v>
      </c>
      <c r="BB27" s="256"/>
      <c r="BC27" s="1065">
        <v>25407196.844550002</v>
      </c>
      <c r="BD27" s="1065">
        <v>17035988.197278947</v>
      </c>
      <c r="BE27" s="256"/>
      <c r="BF27" s="1065">
        <v>25407196.844550002</v>
      </c>
      <c r="BG27" s="1065">
        <v>17035988.197278947</v>
      </c>
      <c r="BH27" s="256"/>
      <c r="BI27" s="1065">
        <v>25407196.844550002</v>
      </c>
      <c r="BJ27" s="1065">
        <v>17035988.197278947</v>
      </c>
      <c r="BK27" s="256"/>
      <c r="BL27" s="1065">
        <v>25407196.844550002</v>
      </c>
      <c r="BM27" s="1065">
        <v>17035988.197278947</v>
      </c>
      <c r="BN27" s="256"/>
      <c r="BO27" s="1065">
        <v>25407196.844550002</v>
      </c>
      <c r="BP27" s="1065">
        <v>17035988.197278947</v>
      </c>
      <c r="BQ27" s="256"/>
      <c r="BR27" s="1065">
        <v>25407196.844550002</v>
      </c>
      <c r="BS27" s="1065">
        <v>17035988.197278947</v>
      </c>
      <c r="BT27" s="256"/>
      <c r="BU27" s="1065">
        <v>25407196.844550002</v>
      </c>
      <c r="BV27" s="1065">
        <v>17035988.197278947</v>
      </c>
      <c r="BW27" s="256"/>
      <c r="BX27" s="1065">
        <v>25407196.844550002</v>
      </c>
      <c r="BY27" s="1065">
        <v>17035988.197278947</v>
      </c>
      <c r="BZ27" s="256"/>
      <c r="CA27" s="1065">
        <v>25439135.747249428</v>
      </c>
      <c r="CB27" s="1065">
        <v>17058740.242610455</v>
      </c>
      <c r="CC27" s="256"/>
      <c r="CD27" s="1065">
        <v>25439135.747249428</v>
      </c>
      <c r="CE27" s="1065">
        <v>17058740.242610455</v>
      </c>
      <c r="CF27" s="256"/>
      <c r="CG27" s="1065">
        <v>25439135.747249428</v>
      </c>
      <c r="CH27" s="1065">
        <v>17058740.242610455</v>
      </c>
      <c r="CI27" s="1684">
        <f t="shared" si="0"/>
        <v>0</v>
      </c>
      <c r="CJ27" s="1065">
        <v>25439135.747249428</v>
      </c>
      <c r="CK27" s="1065">
        <v>17058740.242610455</v>
      </c>
      <c r="CL27" s="256"/>
      <c r="CM27" s="1065">
        <v>25439135.747249428</v>
      </c>
      <c r="CN27" s="1065">
        <v>17058740.242610455</v>
      </c>
      <c r="CO27" s="256"/>
      <c r="CP27" s="207">
        <v>25439135.747249428</v>
      </c>
      <c r="CQ27" s="1065">
        <v>17058740.242610455</v>
      </c>
      <c r="CR27" s="256"/>
      <c r="CS27" s="207">
        <v>25439135.747249428</v>
      </c>
      <c r="CT27" s="1065">
        <v>17058740.242610455</v>
      </c>
      <c r="CU27" s="256"/>
      <c r="CV27" s="1065">
        <v>25439135.747249428</v>
      </c>
      <c r="CW27" s="1065">
        <v>17058740.242610455</v>
      </c>
      <c r="CX27" s="256"/>
      <c r="CY27" s="1065"/>
      <c r="CZ27" s="1065"/>
    </row>
    <row r="28" spans="1:104">
      <c r="A28" s="260">
        <f t="shared" si="1"/>
        <v>21</v>
      </c>
      <c r="B28" s="260">
        <f>'Sched D-1'!B32</f>
        <v>379</v>
      </c>
      <c r="C28" s="862" t="str">
        <f>'Sched D-1'!C32</f>
        <v>Measuring &amp; Regulating Station Equip.- City Gate Check Stn.</v>
      </c>
      <c r="D28" s="292"/>
      <c r="E28" s="289" t="s">
        <v>539</v>
      </c>
      <c r="F28" s="290"/>
      <c r="G28" s="207">
        <f>'Sched D-1'!G32</f>
        <v>4504804.09</v>
      </c>
      <c r="H28" s="29"/>
      <c r="I28" s="635" t="s">
        <v>539</v>
      </c>
      <c r="J28" s="29"/>
      <c r="K28" s="207">
        <f>'Sched D-1'!O32</f>
        <v>5022045.0347600002</v>
      </c>
      <c r="M28" s="1624">
        <f t="shared" si="3"/>
        <v>0.71236152179758527</v>
      </c>
      <c r="N28" s="1625">
        <f t="shared" si="4"/>
        <v>3209049.0969523862</v>
      </c>
      <c r="O28" s="1625">
        <v>3577511.6434976407</v>
      </c>
      <c r="Q28" s="1065">
        <v>5952374.1174499989</v>
      </c>
      <c r="R28" s="256"/>
      <c r="S28" s="1065">
        <v>5952374.1174499989</v>
      </c>
      <c r="T28" s="1686">
        <v>4240242.2846152391</v>
      </c>
      <c r="U28" s="256"/>
      <c r="V28" s="1065">
        <v>5952374.1174499989</v>
      </c>
      <c r="W28" s="1686">
        <v>4240242.2846152391</v>
      </c>
      <c r="X28" s="256"/>
      <c r="Y28" s="1065">
        <v>5952374.1174499989</v>
      </c>
      <c r="Z28" s="1686">
        <v>4240242.2846152391</v>
      </c>
      <c r="AA28" s="256"/>
      <c r="AB28" s="1065">
        <v>5952374.1174499989</v>
      </c>
      <c r="AC28" s="1686">
        <v>4240242.2846152391</v>
      </c>
      <c r="AD28" s="256"/>
      <c r="AE28" s="1065">
        <v>5952374.1174499989</v>
      </c>
      <c r="AF28" s="1686">
        <v>4240242.2846152391</v>
      </c>
      <c r="AG28" s="256"/>
      <c r="AH28" s="1065">
        <v>5952374.1174499989</v>
      </c>
      <c r="AI28" s="1686">
        <v>4240242.2846152391</v>
      </c>
      <c r="AJ28" s="256"/>
      <c r="AK28" s="1065">
        <v>5952374.1174499989</v>
      </c>
      <c r="AL28" s="1686">
        <v>4240242.2846152391</v>
      </c>
      <c r="AM28" s="256"/>
      <c r="AN28" s="1065">
        <v>5952374.1174499989</v>
      </c>
      <c r="AO28" s="1686">
        <v>4240242.2846152391</v>
      </c>
      <c r="AP28" s="256"/>
      <c r="AQ28" s="1065">
        <v>5952374.1174499989</v>
      </c>
      <c r="AR28" s="1686">
        <v>4240242.2846152391</v>
      </c>
      <c r="AS28" s="256"/>
      <c r="AT28" s="1065">
        <v>5952374.1174499989</v>
      </c>
      <c r="AU28" s="1065">
        <v>4240242.2846152391</v>
      </c>
      <c r="AV28" s="256"/>
      <c r="AW28" s="1065">
        <v>5952374.1174499989</v>
      </c>
      <c r="AX28" s="1065">
        <v>4240242.2846152391</v>
      </c>
      <c r="AY28" s="256"/>
      <c r="AZ28" s="1065">
        <v>5952374.1174499989</v>
      </c>
      <c r="BA28" s="1065">
        <v>4240242.2846152391</v>
      </c>
      <c r="BB28" s="256"/>
      <c r="BC28" s="1065">
        <v>5952374.1174499989</v>
      </c>
      <c r="BD28" s="1065">
        <v>4240242.2846152391</v>
      </c>
      <c r="BE28" s="256"/>
      <c r="BF28" s="1065">
        <v>5952374.1174499989</v>
      </c>
      <c r="BG28" s="1065">
        <v>4240242.2846152391</v>
      </c>
      <c r="BH28" s="256"/>
      <c r="BI28" s="1065">
        <v>5952374.1174499989</v>
      </c>
      <c r="BJ28" s="1065">
        <v>4240242.2846152391</v>
      </c>
      <c r="BK28" s="256"/>
      <c r="BL28" s="1065">
        <v>5952374.1174499989</v>
      </c>
      <c r="BM28" s="1065">
        <v>4240242.2846152391</v>
      </c>
      <c r="BN28" s="256"/>
      <c r="BO28" s="1065">
        <v>5952374.1174499989</v>
      </c>
      <c r="BP28" s="1065">
        <v>4240242.2846152391</v>
      </c>
      <c r="BQ28" s="256"/>
      <c r="BR28" s="1065">
        <v>5952374.1174499989</v>
      </c>
      <c r="BS28" s="1065">
        <v>4240242.2846152391</v>
      </c>
      <c r="BT28" s="256"/>
      <c r="BU28" s="1065">
        <v>5952374.1174499989</v>
      </c>
      <c r="BV28" s="1065">
        <v>4240242.2846152391</v>
      </c>
      <c r="BW28" s="256"/>
      <c r="BX28" s="1065">
        <v>5952374.1174499989</v>
      </c>
      <c r="BY28" s="1065">
        <v>4240242.2846152391</v>
      </c>
      <c r="BZ28" s="256"/>
      <c r="CA28" s="1065">
        <v>5022045.0347600002</v>
      </c>
      <c r="CB28" s="1065">
        <v>3577511.6434976407</v>
      </c>
      <c r="CC28" s="256"/>
      <c r="CD28" s="1065">
        <v>5022045.0347600002</v>
      </c>
      <c r="CE28" s="1065">
        <v>3577511.6434976407</v>
      </c>
      <c r="CF28" s="256"/>
      <c r="CG28" s="1065">
        <v>5022045.0347600002</v>
      </c>
      <c r="CH28" s="1065">
        <v>3577511.6434976407</v>
      </c>
      <c r="CI28" s="1684">
        <f t="shared" si="0"/>
        <v>0</v>
      </c>
      <c r="CJ28" s="1065">
        <v>5022045.0347600002</v>
      </c>
      <c r="CK28" s="1065">
        <v>3577511.6434976407</v>
      </c>
      <c r="CL28" s="256"/>
      <c r="CM28" s="1065">
        <v>5022045.0347600002</v>
      </c>
      <c r="CN28" s="1065">
        <v>3577511.6434976407</v>
      </c>
      <c r="CO28" s="256"/>
      <c r="CP28" s="207">
        <v>5022045.0347600002</v>
      </c>
      <c r="CQ28" s="1065">
        <v>3577511.6434976407</v>
      </c>
      <c r="CR28" s="256"/>
      <c r="CS28" s="207">
        <v>5022045.0347600002</v>
      </c>
      <c r="CT28" s="1065">
        <v>3577511.6434976407</v>
      </c>
      <c r="CU28" s="256"/>
      <c r="CV28" s="1065">
        <v>5022045.0347600002</v>
      </c>
      <c r="CW28" s="1065">
        <v>3577511.6434976407</v>
      </c>
      <c r="CX28" s="256"/>
      <c r="CY28" s="1065"/>
      <c r="CZ28" s="1065"/>
    </row>
    <row r="29" spans="1:104">
      <c r="A29" s="260">
        <f t="shared" si="1"/>
        <v>22</v>
      </c>
      <c r="B29" s="260">
        <f>'Sched D-1'!B33</f>
        <v>380</v>
      </c>
      <c r="C29" s="862" t="str">
        <f>'Sched D-1'!C33</f>
        <v>Distribution Plant - Services</v>
      </c>
      <c r="D29" s="292"/>
      <c r="E29" s="289" t="s">
        <v>539</v>
      </c>
      <c r="F29" s="290"/>
      <c r="G29" s="207">
        <f>'Sched D-1'!G33</f>
        <v>134854199.39999998</v>
      </c>
      <c r="H29" s="29"/>
      <c r="I29" s="635" t="s">
        <v>539</v>
      </c>
      <c r="J29" s="29"/>
      <c r="K29" s="207">
        <f>'Sched D-1'!O33</f>
        <v>159737814.73044708</v>
      </c>
      <c r="M29" s="1624">
        <f t="shared" si="3"/>
        <v>0.9932156217360445</v>
      </c>
      <c r="N29" s="1625">
        <f t="shared" si="4"/>
        <v>133939297.5007875</v>
      </c>
      <c r="O29" s="1625">
        <v>158654092.97225809</v>
      </c>
      <c r="Q29" s="1065">
        <v>154387443.26430997</v>
      </c>
      <c r="R29" s="256"/>
      <c r="S29" s="1065">
        <v>154387443.26430997</v>
      </c>
      <c r="T29" s="1686">
        <v>153340020.44999993</v>
      </c>
      <c r="U29" s="256"/>
      <c r="V29" s="1065">
        <v>154387443.26430997</v>
      </c>
      <c r="W29" s="1686">
        <v>153340020.44999993</v>
      </c>
      <c r="X29" s="256"/>
      <c r="Y29" s="1065">
        <v>154387443.26430997</v>
      </c>
      <c r="Z29" s="1686">
        <v>153340020.44999993</v>
      </c>
      <c r="AA29" s="256"/>
      <c r="AB29" s="1065">
        <v>154387443.26430997</v>
      </c>
      <c r="AC29" s="1686">
        <v>153340020.44999993</v>
      </c>
      <c r="AD29" s="256"/>
      <c r="AE29" s="1065">
        <v>154387443.26430997</v>
      </c>
      <c r="AF29" s="1686">
        <v>153340020.44999993</v>
      </c>
      <c r="AG29" s="256"/>
      <c r="AH29" s="1065">
        <v>154387443.26430997</v>
      </c>
      <c r="AI29" s="1686">
        <v>153340020.44999993</v>
      </c>
      <c r="AJ29" s="256"/>
      <c r="AK29" s="1065">
        <v>154387443.26430997</v>
      </c>
      <c r="AL29" s="1686">
        <v>153340020.44999993</v>
      </c>
      <c r="AM29" s="256"/>
      <c r="AN29" s="1065">
        <v>154387443.26430997</v>
      </c>
      <c r="AO29" s="1686">
        <v>153340020.44999993</v>
      </c>
      <c r="AP29" s="256"/>
      <c r="AQ29" s="1065">
        <v>154387443.26430997</v>
      </c>
      <c r="AR29" s="1686">
        <v>153340020.44999993</v>
      </c>
      <c r="AS29" s="256"/>
      <c r="AT29" s="1065">
        <v>154387443.26430997</v>
      </c>
      <c r="AU29" s="1065">
        <v>153340020.44999993</v>
      </c>
      <c r="AV29" s="256"/>
      <c r="AW29" s="1065">
        <v>154387443.26430997</v>
      </c>
      <c r="AX29" s="1065">
        <v>153340020.44999993</v>
      </c>
      <c r="AY29" s="256"/>
      <c r="AZ29" s="1065">
        <v>154387443.26430997</v>
      </c>
      <c r="BA29" s="1065">
        <v>153340020.44999993</v>
      </c>
      <c r="BB29" s="256"/>
      <c r="BC29" s="1065">
        <v>154387443.26430997</v>
      </c>
      <c r="BD29" s="1065">
        <v>153340020.44999993</v>
      </c>
      <c r="BE29" s="256"/>
      <c r="BF29" s="1065">
        <v>154387443.26430997</v>
      </c>
      <c r="BG29" s="1065">
        <v>153340020.44999993</v>
      </c>
      <c r="BH29" s="256"/>
      <c r="BI29" s="1065">
        <v>154387443.26430997</v>
      </c>
      <c r="BJ29" s="1065">
        <v>153340020.44999993</v>
      </c>
      <c r="BK29" s="256"/>
      <c r="BL29" s="1065">
        <v>154387443.26430997</v>
      </c>
      <c r="BM29" s="1065">
        <v>153340020.44999993</v>
      </c>
      <c r="BN29" s="256"/>
      <c r="BO29" s="1065">
        <v>154387443.26430997</v>
      </c>
      <c r="BP29" s="1065">
        <v>153340020.44999993</v>
      </c>
      <c r="BQ29" s="256"/>
      <c r="BR29" s="1065">
        <v>154387443.26430997</v>
      </c>
      <c r="BS29" s="1065">
        <v>153340020.44999993</v>
      </c>
      <c r="BT29" s="256"/>
      <c r="BU29" s="1065">
        <v>154387443.26430997</v>
      </c>
      <c r="BV29" s="1065">
        <v>153340020.44999993</v>
      </c>
      <c r="BW29" s="256"/>
      <c r="BX29" s="1065">
        <v>154387443.26430997</v>
      </c>
      <c r="BY29" s="1065">
        <v>153340020.44999993</v>
      </c>
      <c r="BZ29" s="256"/>
      <c r="CA29" s="1065">
        <v>159737814.73044708</v>
      </c>
      <c r="CB29" s="1065">
        <v>158654092.97225809</v>
      </c>
      <c r="CC29" s="256"/>
      <c r="CD29" s="1065">
        <v>159737814.73044708</v>
      </c>
      <c r="CE29" s="1065">
        <v>158654092.97225809</v>
      </c>
      <c r="CF29" s="256"/>
      <c r="CG29" s="1065">
        <v>159737814.73044708</v>
      </c>
      <c r="CH29" s="1065">
        <v>158654092.97225809</v>
      </c>
      <c r="CI29" s="1684">
        <f t="shared" si="0"/>
        <v>0</v>
      </c>
      <c r="CJ29" s="1065">
        <v>159737814.73044708</v>
      </c>
      <c r="CK29" s="1065">
        <v>158654092.97225809</v>
      </c>
      <c r="CL29" s="256"/>
      <c r="CM29" s="1065">
        <v>159737814.73044708</v>
      </c>
      <c r="CN29" s="1065">
        <v>158654092.97225809</v>
      </c>
      <c r="CO29" s="256"/>
      <c r="CP29" s="207">
        <v>159737814.73044708</v>
      </c>
      <c r="CQ29" s="1065">
        <v>158654092.97225809</v>
      </c>
      <c r="CR29" s="256"/>
      <c r="CS29" s="207">
        <v>159737814.73044708</v>
      </c>
      <c r="CT29" s="1065">
        <v>158654092.97225809</v>
      </c>
      <c r="CU29" s="256"/>
      <c r="CV29" s="1065">
        <v>159737814.73044708</v>
      </c>
      <c r="CW29" s="1065">
        <v>158654092.97225809</v>
      </c>
      <c r="CX29" s="256"/>
      <c r="CY29" s="1065"/>
      <c r="CZ29" s="1065"/>
    </row>
    <row r="30" spans="1:104">
      <c r="A30" s="260">
        <f t="shared" si="1"/>
        <v>23</v>
      </c>
      <c r="B30" s="260">
        <f>'Sched D-1'!B34</f>
        <v>381</v>
      </c>
      <c r="C30" s="862" t="str">
        <f>'Sched D-1'!C34</f>
        <v>Meters</v>
      </c>
      <c r="D30" s="292"/>
      <c r="E30" s="289" t="s">
        <v>539</v>
      </c>
      <c r="F30" s="290"/>
      <c r="G30" s="207">
        <f>'Sched D-1'!G34</f>
        <v>42421416.420000002</v>
      </c>
      <c r="H30" s="29"/>
      <c r="I30" s="635" t="s">
        <v>539</v>
      </c>
      <c r="J30" s="29"/>
      <c r="K30" s="207">
        <f>'Sched D-1'!O34</f>
        <v>46888273.993909426</v>
      </c>
      <c r="M30" s="1624">
        <f t="shared" si="3"/>
        <v>0.86903902691157919</v>
      </c>
      <c r="N30" s="1625">
        <f t="shared" si="4"/>
        <v>36865866.44584769</v>
      </c>
      <c r="O30" s="1625">
        <v>40747740.005230553</v>
      </c>
      <c r="Q30" s="1065">
        <v>45960614.733950004</v>
      </c>
      <c r="R30" s="256"/>
      <c r="S30" s="1065">
        <v>45960614.733950004</v>
      </c>
      <c r="T30" s="1686">
        <v>39941567.904649906</v>
      </c>
      <c r="U30" s="256"/>
      <c r="V30" s="1065">
        <v>45960614.733950004</v>
      </c>
      <c r="W30" s="1686">
        <v>39941567.904649906</v>
      </c>
      <c r="X30" s="256"/>
      <c r="Y30" s="1065">
        <v>45960614.733950004</v>
      </c>
      <c r="Z30" s="1686">
        <v>39941567.904649906</v>
      </c>
      <c r="AA30" s="256"/>
      <c r="AB30" s="1065">
        <v>45960614.733950004</v>
      </c>
      <c r="AC30" s="1686">
        <v>39941567.904649906</v>
      </c>
      <c r="AD30" s="256"/>
      <c r="AE30" s="1065">
        <v>45960614.733950004</v>
      </c>
      <c r="AF30" s="1686">
        <v>39941567.904649906</v>
      </c>
      <c r="AG30" s="256"/>
      <c r="AH30" s="1065">
        <v>45960614.733950004</v>
      </c>
      <c r="AI30" s="1686">
        <v>39941567.904649906</v>
      </c>
      <c r="AJ30" s="256"/>
      <c r="AK30" s="1065">
        <v>45960614.733950004</v>
      </c>
      <c r="AL30" s="1686">
        <v>39941567.904649906</v>
      </c>
      <c r="AM30" s="256"/>
      <c r="AN30" s="1065">
        <v>45960614.733950004</v>
      </c>
      <c r="AO30" s="1686">
        <v>39941567.904649906</v>
      </c>
      <c r="AP30" s="256"/>
      <c r="AQ30" s="1065">
        <v>45960614.733950004</v>
      </c>
      <c r="AR30" s="1686">
        <v>39941567.904649906</v>
      </c>
      <c r="AS30" s="256"/>
      <c r="AT30" s="1065">
        <v>45960614.733950004</v>
      </c>
      <c r="AU30" s="1065">
        <v>39941567.904649906</v>
      </c>
      <c r="AV30" s="256"/>
      <c r="AW30" s="1065">
        <v>45960614.733950004</v>
      </c>
      <c r="AX30" s="1065">
        <v>39941567.904649906</v>
      </c>
      <c r="AY30" s="256"/>
      <c r="AZ30" s="1065">
        <v>45960614.733950004</v>
      </c>
      <c r="BA30" s="1065">
        <v>39941567.904649906</v>
      </c>
      <c r="BB30" s="256"/>
      <c r="BC30" s="1065">
        <v>45960614.733950004</v>
      </c>
      <c r="BD30" s="1065">
        <v>39941567.904649906</v>
      </c>
      <c r="BE30" s="256"/>
      <c r="BF30" s="1065">
        <v>45960614.733950004</v>
      </c>
      <c r="BG30" s="1065">
        <v>39941567.904649906</v>
      </c>
      <c r="BH30" s="256"/>
      <c r="BI30" s="1065">
        <v>45960614.733950004</v>
      </c>
      <c r="BJ30" s="1065">
        <v>39941567.904649906</v>
      </c>
      <c r="BK30" s="256"/>
      <c r="BL30" s="1065">
        <v>45960614.733950004</v>
      </c>
      <c r="BM30" s="1065">
        <v>39941567.904649906</v>
      </c>
      <c r="BN30" s="256"/>
      <c r="BO30" s="1065">
        <v>45960614.733950004</v>
      </c>
      <c r="BP30" s="1065">
        <v>39941567.904649906</v>
      </c>
      <c r="BQ30" s="256"/>
      <c r="BR30" s="1065">
        <v>45960614.733950004</v>
      </c>
      <c r="BS30" s="1065">
        <v>39941567.904649906</v>
      </c>
      <c r="BT30" s="256"/>
      <c r="BU30" s="1065">
        <v>45960614.733950004</v>
      </c>
      <c r="BV30" s="1065">
        <v>39941567.904649906</v>
      </c>
      <c r="BW30" s="256"/>
      <c r="BX30" s="1065">
        <v>45960614.733950004</v>
      </c>
      <c r="BY30" s="1065">
        <v>39941567.904649906</v>
      </c>
      <c r="BZ30" s="256"/>
      <c r="CA30" s="1065">
        <v>46888273.993909426</v>
      </c>
      <c r="CB30" s="1065">
        <v>40747740.005230553</v>
      </c>
      <c r="CC30" s="256"/>
      <c r="CD30" s="1065">
        <v>46888273.993909426</v>
      </c>
      <c r="CE30" s="1065">
        <v>40747740.005230553</v>
      </c>
      <c r="CF30" s="256"/>
      <c r="CG30" s="1065">
        <v>46888273.993909426</v>
      </c>
      <c r="CH30" s="1065">
        <v>40747740.005230553</v>
      </c>
      <c r="CI30" s="1684">
        <f t="shared" si="0"/>
        <v>0</v>
      </c>
      <c r="CJ30" s="1065">
        <v>46888273.993909426</v>
      </c>
      <c r="CK30" s="1065">
        <v>40747740.005230553</v>
      </c>
      <c r="CL30" s="256"/>
      <c r="CM30" s="1065">
        <v>46888273.993909426</v>
      </c>
      <c r="CN30" s="1065">
        <v>40747740.005230553</v>
      </c>
      <c r="CO30" s="256"/>
      <c r="CP30" s="207">
        <v>46888273.993909426</v>
      </c>
      <c r="CQ30" s="1065">
        <v>40747740.005230553</v>
      </c>
      <c r="CR30" s="256"/>
      <c r="CS30" s="207">
        <v>46888273.993909426</v>
      </c>
      <c r="CT30" s="1065">
        <v>40747740.005230553</v>
      </c>
      <c r="CU30" s="256"/>
      <c r="CV30" s="1065">
        <v>46888273.993909426</v>
      </c>
      <c r="CW30" s="1065">
        <v>40747740.005230553</v>
      </c>
      <c r="CX30" s="256"/>
      <c r="CY30" s="1065"/>
      <c r="CZ30" s="1065"/>
    </row>
    <row r="31" spans="1:104">
      <c r="A31" s="260">
        <f>A30+1</f>
        <v>24</v>
      </c>
      <c r="B31" s="260">
        <f>'Sched D-1'!B35</f>
        <v>382.01</v>
      </c>
      <c r="C31" s="862" t="str">
        <f>'Sched D-1'!C35</f>
        <v>Meter Installations</v>
      </c>
      <c r="D31" s="292"/>
      <c r="E31" s="289" t="s">
        <v>539</v>
      </c>
      <c r="F31" s="290"/>
      <c r="G31" s="207">
        <f>'Sched D-1'!G35</f>
        <v>11094169.640000001</v>
      </c>
      <c r="H31" s="29"/>
      <c r="I31" s="634" t="s">
        <v>539</v>
      </c>
      <c r="J31" s="29"/>
      <c r="K31" s="207">
        <f>'Sched D-1'!O35</f>
        <v>12370833.00282</v>
      </c>
      <c r="M31" s="1624">
        <f t="shared" si="3"/>
        <v>0.86903902691157919</v>
      </c>
      <c r="N31" s="1625">
        <f t="shared" si="4"/>
        <v>9641266.3883375861</v>
      </c>
      <c r="O31" s="1625">
        <v>10750736.674856342</v>
      </c>
      <c r="Q31" s="1065">
        <v>12295675.876500001</v>
      </c>
      <c r="R31" s="256"/>
      <c r="S31" s="1065">
        <v>12295675.876500001</v>
      </c>
      <c r="T31" s="1686">
        <v>10685422.198933739</v>
      </c>
      <c r="U31" s="256"/>
      <c r="V31" s="1065">
        <v>12295675.876500001</v>
      </c>
      <c r="W31" s="1686">
        <v>10685422.198933739</v>
      </c>
      <c r="X31" s="256"/>
      <c r="Y31" s="1065">
        <v>12295675.876500001</v>
      </c>
      <c r="Z31" s="1686">
        <v>10685422.198933739</v>
      </c>
      <c r="AA31" s="256"/>
      <c r="AB31" s="1065">
        <v>12295675.876500001</v>
      </c>
      <c r="AC31" s="1686">
        <v>10685422.198933739</v>
      </c>
      <c r="AD31" s="256"/>
      <c r="AE31" s="1065">
        <v>12295675.876500001</v>
      </c>
      <c r="AF31" s="1686">
        <v>10685422.198933739</v>
      </c>
      <c r="AG31" s="256"/>
      <c r="AH31" s="1065">
        <v>12295675.876500001</v>
      </c>
      <c r="AI31" s="1686">
        <v>10685422.198933739</v>
      </c>
      <c r="AJ31" s="256"/>
      <c r="AK31" s="1065">
        <v>12295675.876500001</v>
      </c>
      <c r="AL31" s="1686">
        <v>10685422.198933739</v>
      </c>
      <c r="AM31" s="256"/>
      <c r="AN31" s="1065">
        <v>12295675.876500001</v>
      </c>
      <c r="AO31" s="1686">
        <v>10685422.198933739</v>
      </c>
      <c r="AP31" s="256"/>
      <c r="AQ31" s="1065">
        <v>12295675.876500001</v>
      </c>
      <c r="AR31" s="1686">
        <v>10685422.198933739</v>
      </c>
      <c r="AS31" s="256"/>
      <c r="AT31" s="1065">
        <v>12295675.876500001</v>
      </c>
      <c r="AU31" s="1065">
        <v>10685422.198933739</v>
      </c>
      <c r="AV31" s="256"/>
      <c r="AW31" s="1065">
        <v>12295675.876500001</v>
      </c>
      <c r="AX31" s="1065">
        <v>10685422.198933739</v>
      </c>
      <c r="AY31" s="256"/>
      <c r="AZ31" s="1065">
        <v>12295675.876500001</v>
      </c>
      <c r="BA31" s="1065">
        <v>10685422.198933739</v>
      </c>
      <c r="BB31" s="256"/>
      <c r="BC31" s="1065">
        <v>12295675.876500001</v>
      </c>
      <c r="BD31" s="1065">
        <v>10685422.198933739</v>
      </c>
      <c r="BE31" s="256"/>
      <c r="BF31" s="1065">
        <v>12295675.876500001</v>
      </c>
      <c r="BG31" s="1065">
        <v>10685422.198933739</v>
      </c>
      <c r="BH31" s="256"/>
      <c r="BI31" s="1065">
        <v>12295675.876500001</v>
      </c>
      <c r="BJ31" s="1065">
        <v>10685422.198933739</v>
      </c>
      <c r="BK31" s="256"/>
      <c r="BL31" s="1065">
        <v>12295675.876500001</v>
      </c>
      <c r="BM31" s="1065">
        <v>10685422.198933739</v>
      </c>
      <c r="BN31" s="256"/>
      <c r="BO31" s="1065">
        <v>12295675.876500001</v>
      </c>
      <c r="BP31" s="1065">
        <v>10685422.198933739</v>
      </c>
      <c r="BQ31" s="256"/>
      <c r="BR31" s="1065">
        <v>12295675.876500001</v>
      </c>
      <c r="BS31" s="1065">
        <v>10685422.198933739</v>
      </c>
      <c r="BT31" s="256"/>
      <c r="BU31" s="1065">
        <v>12295675.876500001</v>
      </c>
      <c r="BV31" s="1065">
        <v>10685422.198933739</v>
      </c>
      <c r="BW31" s="256"/>
      <c r="BX31" s="1065">
        <v>12295675.876500001</v>
      </c>
      <c r="BY31" s="1065">
        <v>10685422.198933739</v>
      </c>
      <c r="BZ31" s="256"/>
      <c r="CA31" s="1065">
        <v>12370833.00282</v>
      </c>
      <c r="CB31" s="1065">
        <v>10750736.674856342</v>
      </c>
      <c r="CC31" s="256"/>
      <c r="CD31" s="1065">
        <v>12370833.00282</v>
      </c>
      <c r="CE31" s="1065">
        <v>10750736.674856342</v>
      </c>
      <c r="CF31" s="256"/>
      <c r="CG31" s="1065">
        <v>12370833.00282</v>
      </c>
      <c r="CH31" s="1065">
        <v>10750736.674856342</v>
      </c>
      <c r="CI31" s="1684">
        <f t="shared" si="0"/>
        <v>0</v>
      </c>
      <c r="CJ31" s="1065">
        <v>12370833.00282</v>
      </c>
      <c r="CK31" s="1065">
        <v>10750736.674856342</v>
      </c>
      <c r="CL31" s="256"/>
      <c r="CM31" s="1065">
        <v>12370833.00282</v>
      </c>
      <c r="CN31" s="1065">
        <v>10750736.674856342</v>
      </c>
      <c r="CO31" s="256"/>
      <c r="CP31" s="207">
        <v>12370833.00282</v>
      </c>
      <c r="CQ31" s="1065">
        <v>10750736.674856342</v>
      </c>
      <c r="CR31" s="256"/>
      <c r="CS31" s="207">
        <v>12370833.00282</v>
      </c>
      <c r="CT31" s="1065">
        <v>10750736.674856342</v>
      </c>
      <c r="CU31" s="256"/>
      <c r="CV31" s="1065">
        <v>12370833.00282</v>
      </c>
      <c r="CW31" s="1065">
        <v>10750736.674856342</v>
      </c>
      <c r="CX31" s="256"/>
      <c r="CY31" s="1065"/>
      <c r="CZ31" s="1065"/>
    </row>
    <row r="32" spans="1:104">
      <c r="A32" s="260">
        <f t="shared" si="1"/>
        <v>25</v>
      </c>
      <c r="B32" s="260" t="str">
        <f>LEFT('Sched D-1'!B36,3)</f>
        <v>383</v>
      </c>
      <c r="C32" s="862" t="str">
        <f>'Sched D-1'!C36</f>
        <v>Distribution Plant - House Regulators</v>
      </c>
      <c r="D32" s="292"/>
      <c r="E32" s="289" t="s">
        <v>539</v>
      </c>
      <c r="F32" s="290"/>
      <c r="G32" s="207">
        <f>'Sched D-1'!G36+'Sched D-1'!G37</f>
        <v>71695654.829999998</v>
      </c>
      <c r="H32" s="29"/>
      <c r="I32" s="634" t="s">
        <v>539</v>
      </c>
      <c r="J32" s="29"/>
      <c r="K32" s="207">
        <f>'Sched D-1'!O36+'Sched D-1'!O37</f>
        <v>75357179.16018942</v>
      </c>
      <c r="M32" s="1624">
        <f t="shared" si="3"/>
        <v>0.8690390269115793</v>
      </c>
      <c r="N32" s="1625">
        <f t="shared" si="4"/>
        <v>62306322.107251666</v>
      </c>
      <c r="O32" s="1625">
        <v>65488329.648172557</v>
      </c>
      <c r="Q32" s="1065">
        <v>74644530.715450004</v>
      </c>
      <c r="R32" s="256"/>
      <c r="S32" s="1065">
        <v>74644530.715450004</v>
      </c>
      <c r="T32" s="1686">
        <v>64869010.33722616</v>
      </c>
      <c r="U32" s="256"/>
      <c r="V32" s="1065">
        <v>74644530.715450004</v>
      </c>
      <c r="W32" s="1686">
        <v>64869010.33722616</v>
      </c>
      <c r="X32" s="256"/>
      <c r="Y32" s="1065">
        <v>74644530.715450004</v>
      </c>
      <c r="Z32" s="1686">
        <v>64869010.33722616</v>
      </c>
      <c r="AA32" s="256"/>
      <c r="AB32" s="1065">
        <v>74644530.715450004</v>
      </c>
      <c r="AC32" s="1686">
        <v>64869010.33722616</v>
      </c>
      <c r="AD32" s="256"/>
      <c r="AE32" s="1065">
        <v>74644530.715450004</v>
      </c>
      <c r="AF32" s="1686">
        <v>64869010.33722616</v>
      </c>
      <c r="AG32" s="256"/>
      <c r="AH32" s="1065">
        <v>74644530.715450004</v>
      </c>
      <c r="AI32" s="1686">
        <v>64869010.33722616</v>
      </c>
      <c r="AJ32" s="256"/>
      <c r="AK32" s="1065">
        <v>74644530.715450004</v>
      </c>
      <c r="AL32" s="1686">
        <v>64869010.33722616</v>
      </c>
      <c r="AM32" s="256"/>
      <c r="AN32" s="1065">
        <v>74644530.715450004</v>
      </c>
      <c r="AO32" s="1686">
        <v>64869010.33722616</v>
      </c>
      <c r="AP32" s="256"/>
      <c r="AQ32" s="1065">
        <v>74644530.715450004</v>
      </c>
      <c r="AR32" s="1686">
        <v>64869010.33722616</v>
      </c>
      <c r="AS32" s="256"/>
      <c r="AT32" s="1065">
        <v>74644530.715450004</v>
      </c>
      <c r="AU32" s="1065">
        <v>64869010.33722616</v>
      </c>
      <c r="AV32" s="256"/>
      <c r="AW32" s="1065">
        <v>74644530.715450004</v>
      </c>
      <c r="AX32" s="1065">
        <v>64869010.33722616</v>
      </c>
      <c r="AY32" s="256"/>
      <c r="AZ32" s="1065">
        <v>74644530.715450004</v>
      </c>
      <c r="BA32" s="1065">
        <v>64869010.33722616</v>
      </c>
      <c r="BB32" s="256"/>
      <c r="BC32" s="1065">
        <v>74644530.715450004</v>
      </c>
      <c r="BD32" s="1065">
        <v>64869010.33722616</v>
      </c>
      <c r="BE32" s="256"/>
      <c r="BF32" s="1065">
        <v>74644530.715450004</v>
      </c>
      <c r="BG32" s="1065">
        <v>64869010.33722616</v>
      </c>
      <c r="BH32" s="256"/>
      <c r="BI32" s="1065">
        <v>74644530.715450004</v>
      </c>
      <c r="BJ32" s="1065">
        <v>64869010.33722616</v>
      </c>
      <c r="BK32" s="256"/>
      <c r="BL32" s="1065">
        <v>74644530.715450004</v>
      </c>
      <c r="BM32" s="1065">
        <v>64869010.33722616</v>
      </c>
      <c r="BN32" s="256"/>
      <c r="BO32" s="1065">
        <v>74644530.715450004</v>
      </c>
      <c r="BP32" s="1065">
        <v>64869010.33722616</v>
      </c>
      <c r="BQ32" s="256"/>
      <c r="BR32" s="1065">
        <v>74644530.715450004</v>
      </c>
      <c r="BS32" s="1065">
        <v>64869010.33722616</v>
      </c>
      <c r="BT32" s="256"/>
      <c r="BU32" s="1065">
        <v>74644530.715450004</v>
      </c>
      <c r="BV32" s="1065">
        <v>64869010.33722616</v>
      </c>
      <c r="BW32" s="256"/>
      <c r="BX32" s="1065">
        <v>74644530.715450004</v>
      </c>
      <c r="BY32" s="1065">
        <v>64869010.33722616</v>
      </c>
      <c r="BZ32" s="256"/>
      <c r="CA32" s="1065">
        <v>75357179.16018942</v>
      </c>
      <c r="CB32" s="1065">
        <v>65488329.648172557</v>
      </c>
      <c r="CC32" s="256"/>
      <c r="CD32" s="1065">
        <v>75357179.16018942</v>
      </c>
      <c r="CE32" s="1065">
        <v>65488329.648172557</v>
      </c>
      <c r="CF32" s="256"/>
      <c r="CG32" s="1065">
        <v>75357179.16018942</v>
      </c>
      <c r="CH32" s="1065">
        <v>65488329.648172557</v>
      </c>
      <c r="CI32" s="1684">
        <f t="shared" si="0"/>
        <v>0</v>
      </c>
      <c r="CJ32" s="1065">
        <v>75357179.16018942</v>
      </c>
      <c r="CK32" s="1065">
        <v>65488329.648172557</v>
      </c>
      <c r="CL32" s="256"/>
      <c r="CM32" s="1065">
        <v>75357179.16018942</v>
      </c>
      <c r="CN32" s="1065">
        <v>65488329.648172557</v>
      </c>
      <c r="CO32" s="256"/>
      <c r="CP32" s="207">
        <v>75357179.16018942</v>
      </c>
      <c r="CQ32" s="1065">
        <v>65488329.648172557</v>
      </c>
      <c r="CR32" s="256"/>
      <c r="CS32" s="207">
        <v>75357179.16018942</v>
      </c>
      <c r="CT32" s="1065">
        <v>65488329.648172557</v>
      </c>
      <c r="CU32" s="256"/>
      <c r="CV32" s="1065">
        <v>75357179.16018942</v>
      </c>
      <c r="CW32" s="1065">
        <v>65488329.648172557</v>
      </c>
      <c r="CX32" s="256"/>
      <c r="CY32" s="1065"/>
      <c r="CZ32" s="1065"/>
    </row>
    <row r="33" spans="1:104">
      <c r="A33" s="260">
        <f>A32+1</f>
        <v>26</v>
      </c>
      <c r="B33" s="260">
        <f>'Sched D-1'!B38</f>
        <v>384.01</v>
      </c>
      <c r="C33" s="862" t="str">
        <f>'Sched D-1'!C38</f>
        <v>House regulator installations</v>
      </c>
      <c r="D33" s="292"/>
      <c r="E33" s="289" t="s">
        <v>539</v>
      </c>
      <c r="F33" s="290"/>
      <c r="G33" s="207">
        <f>'Sched D-1'!G38</f>
        <v>1505149.15</v>
      </c>
      <c r="H33" s="29"/>
      <c r="I33" s="634" t="s">
        <v>539</v>
      </c>
      <c r="J33" s="29"/>
      <c r="K33" s="207">
        <f>'Sched D-1'!O38</f>
        <v>1557089.8189999999</v>
      </c>
      <c r="M33" s="1624">
        <f t="shared" si="3"/>
        <v>0.8690390269115793</v>
      </c>
      <c r="N33" s="1625">
        <f t="shared" si="4"/>
        <v>1308033.3526727906</v>
      </c>
      <c r="O33" s="1625">
        <v>1353171.821117687</v>
      </c>
      <c r="Q33" s="1065">
        <v>1553792.8809999998</v>
      </c>
      <c r="R33" s="256"/>
      <c r="S33" s="1065">
        <v>1553792.8809999998</v>
      </c>
      <c r="T33" s="1686">
        <v>1350306.6533263791</v>
      </c>
      <c r="U33" s="256"/>
      <c r="V33" s="1065">
        <v>1553792.8809999998</v>
      </c>
      <c r="W33" s="1686">
        <v>1350306.6533263791</v>
      </c>
      <c r="X33" s="256"/>
      <c r="Y33" s="1065">
        <v>1553792.8809999998</v>
      </c>
      <c r="Z33" s="1686">
        <v>1350306.6533263791</v>
      </c>
      <c r="AA33" s="256"/>
      <c r="AB33" s="1065">
        <v>1553792.8809999998</v>
      </c>
      <c r="AC33" s="1686">
        <v>1350306.6533263791</v>
      </c>
      <c r="AD33" s="256"/>
      <c r="AE33" s="1065">
        <v>1553792.8809999998</v>
      </c>
      <c r="AF33" s="1686">
        <v>1350306.6533263791</v>
      </c>
      <c r="AG33" s="256"/>
      <c r="AH33" s="1065">
        <v>1553792.8809999998</v>
      </c>
      <c r="AI33" s="1686">
        <v>1350306.6533263791</v>
      </c>
      <c r="AJ33" s="256"/>
      <c r="AK33" s="1065">
        <v>1553792.8809999998</v>
      </c>
      <c r="AL33" s="1686">
        <v>1350306.6533263791</v>
      </c>
      <c r="AM33" s="256"/>
      <c r="AN33" s="1065">
        <v>1553792.8809999998</v>
      </c>
      <c r="AO33" s="1686">
        <v>1350306.6533263791</v>
      </c>
      <c r="AP33" s="256"/>
      <c r="AQ33" s="1065">
        <v>1553792.8809999998</v>
      </c>
      <c r="AR33" s="1686">
        <v>1350306.6533263791</v>
      </c>
      <c r="AS33" s="256"/>
      <c r="AT33" s="1065">
        <v>1553792.8809999998</v>
      </c>
      <c r="AU33" s="1065">
        <v>1350306.6533263791</v>
      </c>
      <c r="AV33" s="256"/>
      <c r="AW33" s="1065">
        <v>1553792.8809999998</v>
      </c>
      <c r="AX33" s="1065">
        <v>1350306.6533263791</v>
      </c>
      <c r="AY33" s="256"/>
      <c r="AZ33" s="1065">
        <v>1553792.8809999998</v>
      </c>
      <c r="BA33" s="1065">
        <v>1350306.6533263791</v>
      </c>
      <c r="BB33" s="256"/>
      <c r="BC33" s="1065">
        <v>1553792.8809999998</v>
      </c>
      <c r="BD33" s="1065">
        <v>1350306.6533263791</v>
      </c>
      <c r="BE33" s="256"/>
      <c r="BF33" s="1065">
        <v>1553792.8809999998</v>
      </c>
      <c r="BG33" s="1065">
        <v>1350306.6533263791</v>
      </c>
      <c r="BH33" s="256"/>
      <c r="BI33" s="1065">
        <v>1553792.8809999998</v>
      </c>
      <c r="BJ33" s="1065">
        <v>1350306.6533263791</v>
      </c>
      <c r="BK33" s="256"/>
      <c r="BL33" s="1065">
        <v>1553792.8809999998</v>
      </c>
      <c r="BM33" s="1065">
        <v>1350306.6533263791</v>
      </c>
      <c r="BN33" s="256"/>
      <c r="BO33" s="1065">
        <v>1553792.8809999998</v>
      </c>
      <c r="BP33" s="1065">
        <v>1350306.6533263791</v>
      </c>
      <c r="BQ33" s="256"/>
      <c r="BR33" s="1065">
        <v>1553792.8809999998</v>
      </c>
      <c r="BS33" s="1065">
        <v>1350306.6533263791</v>
      </c>
      <c r="BT33" s="256"/>
      <c r="BU33" s="1065">
        <v>1553792.8809999998</v>
      </c>
      <c r="BV33" s="1065">
        <v>1350306.6533263791</v>
      </c>
      <c r="BW33" s="256"/>
      <c r="BX33" s="1065">
        <v>1553792.8809999998</v>
      </c>
      <c r="BY33" s="1065">
        <v>1350306.6533263791</v>
      </c>
      <c r="BZ33" s="256"/>
      <c r="CA33" s="1065">
        <v>1557089.8189999999</v>
      </c>
      <c r="CB33" s="1065">
        <v>1353171.821117687</v>
      </c>
      <c r="CC33" s="256"/>
      <c r="CD33" s="1065">
        <v>1557089.8189999999</v>
      </c>
      <c r="CE33" s="1065">
        <v>1353171.821117687</v>
      </c>
      <c r="CF33" s="256"/>
      <c r="CG33" s="1065">
        <v>1557089.8189999999</v>
      </c>
      <c r="CH33" s="1065">
        <v>1353171.821117687</v>
      </c>
      <c r="CI33" s="1684">
        <f t="shared" si="0"/>
        <v>0</v>
      </c>
      <c r="CJ33" s="1065">
        <v>1557089.8189999999</v>
      </c>
      <c r="CK33" s="1065">
        <v>1353171.821117687</v>
      </c>
      <c r="CL33" s="256"/>
      <c r="CM33" s="1065">
        <v>1557089.8189999999</v>
      </c>
      <c r="CN33" s="1065">
        <v>1353171.821117687</v>
      </c>
      <c r="CO33" s="256"/>
      <c r="CP33" s="207">
        <v>1557089.8189999999</v>
      </c>
      <c r="CQ33" s="1065">
        <v>1353171.821117687</v>
      </c>
      <c r="CR33" s="256"/>
      <c r="CS33" s="207">
        <v>1557089.8189999999</v>
      </c>
      <c r="CT33" s="1065">
        <v>1353171.821117687</v>
      </c>
      <c r="CU33" s="256"/>
      <c r="CV33" s="1065">
        <v>1557089.8189999999</v>
      </c>
      <c r="CW33" s="1065">
        <v>1353171.821117687</v>
      </c>
      <c r="CX33" s="256"/>
      <c r="CY33" s="1065"/>
      <c r="CZ33" s="1065"/>
    </row>
    <row r="34" spans="1:104">
      <c r="A34" s="260">
        <f t="shared" si="1"/>
        <v>27</v>
      </c>
      <c r="B34" s="260">
        <f>'Sched D-1'!B39</f>
        <v>385</v>
      </c>
      <c r="C34" s="862" t="str">
        <f>'Sched D-1'!C39</f>
        <v>Industrial Measuring &amp; Regulating Station Equipment</v>
      </c>
      <c r="D34" s="292"/>
      <c r="E34" s="289" t="s">
        <v>539</v>
      </c>
      <c r="F34" s="290"/>
      <c r="G34" s="207">
        <f>'Sched D-1'!G39</f>
        <v>8058004.8199999984</v>
      </c>
      <c r="H34" s="29"/>
      <c r="I34" s="634" t="s">
        <v>539</v>
      </c>
      <c r="J34" s="29"/>
      <c r="K34" s="207">
        <f>'Sched D-1'!O39</f>
        <v>12527682.052389422</v>
      </c>
      <c r="M34" s="1624">
        <f t="shared" si="3"/>
        <v>0.8690390269115793</v>
      </c>
      <c r="N34" s="1625">
        <f t="shared" si="4"/>
        <v>7002720.6676216144</v>
      </c>
      <c r="O34" s="1625">
        <v>10887044.62026616</v>
      </c>
      <c r="Q34" s="1065">
        <v>13427611.302099999</v>
      </c>
      <c r="R34" s="256"/>
      <c r="S34" s="1065">
        <v>13427611.302099999</v>
      </c>
      <c r="T34" s="1686">
        <v>11669118.259723907</v>
      </c>
      <c r="U34" s="256"/>
      <c r="V34" s="1065">
        <v>13427611.302099999</v>
      </c>
      <c r="W34" s="1686">
        <v>11669118.259723907</v>
      </c>
      <c r="X34" s="256"/>
      <c r="Y34" s="1065">
        <v>13427611.302099999</v>
      </c>
      <c r="Z34" s="1686">
        <v>11669118.259723907</v>
      </c>
      <c r="AA34" s="256"/>
      <c r="AB34" s="1065">
        <v>13427611.302099999</v>
      </c>
      <c r="AC34" s="1686">
        <v>11669118.259723907</v>
      </c>
      <c r="AD34" s="256"/>
      <c r="AE34" s="1065">
        <v>13427611.302099999</v>
      </c>
      <c r="AF34" s="1686">
        <v>11669118.259723907</v>
      </c>
      <c r="AG34" s="256"/>
      <c r="AH34" s="1065">
        <v>13427611.302099999</v>
      </c>
      <c r="AI34" s="1686">
        <v>11669118.259723907</v>
      </c>
      <c r="AJ34" s="256"/>
      <c r="AK34" s="1065">
        <v>13427611.302099999</v>
      </c>
      <c r="AL34" s="1686">
        <v>11669118.259723907</v>
      </c>
      <c r="AM34" s="256"/>
      <c r="AN34" s="1065">
        <v>13427611.302099999</v>
      </c>
      <c r="AO34" s="1686">
        <v>11669118.259723907</v>
      </c>
      <c r="AP34" s="256"/>
      <c r="AQ34" s="1065">
        <v>13427611.302099999</v>
      </c>
      <c r="AR34" s="1686">
        <v>11669118.259723907</v>
      </c>
      <c r="AS34" s="256"/>
      <c r="AT34" s="1065">
        <v>13427611.302099999</v>
      </c>
      <c r="AU34" s="1065">
        <v>11669118.259723907</v>
      </c>
      <c r="AV34" s="256"/>
      <c r="AW34" s="1065">
        <v>13427611.302099999</v>
      </c>
      <c r="AX34" s="1065">
        <v>11669118.259723907</v>
      </c>
      <c r="AY34" s="256"/>
      <c r="AZ34" s="1065">
        <v>13427611.302099999</v>
      </c>
      <c r="BA34" s="1065">
        <v>11669118.259723907</v>
      </c>
      <c r="BB34" s="256"/>
      <c r="BC34" s="1065">
        <v>13427611.302099999</v>
      </c>
      <c r="BD34" s="1065">
        <v>11669118.259723907</v>
      </c>
      <c r="BE34" s="256"/>
      <c r="BF34" s="1065">
        <v>13427611.302099999</v>
      </c>
      <c r="BG34" s="1065">
        <v>11669118.259723907</v>
      </c>
      <c r="BH34" s="256"/>
      <c r="BI34" s="1065">
        <v>13427611.302099999</v>
      </c>
      <c r="BJ34" s="1065">
        <v>11669118.259723907</v>
      </c>
      <c r="BK34" s="256"/>
      <c r="BL34" s="1065">
        <v>13427611.302099999</v>
      </c>
      <c r="BM34" s="1065">
        <v>11669118.259723907</v>
      </c>
      <c r="BN34" s="256"/>
      <c r="BO34" s="1065">
        <v>13427611.302099999</v>
      </c>
      <c r="BP34" s="1065">
        <v>11669118.259723907</v>
      </c>
      <c r="BQ34" s="256"/>
      <c r="BR34" s="1065">
        <v>13427611.302099999</v>
      </c>
      <c r="BS34" s="1065">
        <v>11669118.259723907</v>
      </c>
      <c r="BT34" s="256"/>
      <c r="BU34" s="1065">
        <v>13427611.302099999</v>
      </c>
      <c r="BV34" s="1065">
        <v>11669118.259723907</v>
      </c>
      <c r="BW34" s="256"/>
      <c r="BX34" s="1065">
        <v>13427611.302099999</v>
      </c>
      <c r="BY34" s="1065">
        <v>11669118.259723907</v>
      </c>
      <c r="BZ34" s="256"/>
      <c r="CA34" s="1065">
        <v>12527682.052389422</v>
      </c>
      <c r="CB34" s="1065">
        <v>10887044.62026616</v>
      </c>
      <c r="CC34" s="256"/>
      <c r="CD34" s="1065">
        <v>12527682.052389422</v>
      </c>
      <c r="CE34" s="1065">
        <v>10887044.62026616</v>
      </c>
      <c r="CF34" s="256"/>
      <c r="CG34" s="1065">
        <v>12527682.052389422</v>
      </c>
      <c r="CH34" s="1065">
        <v>10887044.62026616</v>
      </c>
      <c r="CI34" s="1684">
        <f t="shared" si="0"/>
        <v>0</v>
      </c>
      <c r="CJ34" s="1065">
        <v>12527682.052389422</v>
      </c>
      <c r="CK34" s="1065">
        <v>10887044.62026616</v>
      </c>
      <c r="CL34" s="256"/>
      <c r="CM34" s="1065">
        <v>12527682.052389422</v>
      </c>
      <c r="CN34" s="1065">
        <v>10887044.62026616</v>
      </c>
      <c r="CO34" s="256"/>
      <c r="CP34" s="207">
        <v>12527682.052389422</v>
      </c>
      <c r="CQ34" s="1065">
        <v>10887044.62026616</v>
      </c>
      <c r="CR34" s="256"/>
      <c r="CS34" s="207">
        <v>12527682.052389422</v>
      </c>
      <c r="CT34" s="1065">
        <v>10887044.62026616</v>
      </c>
      <c r="CU34" s="256"/>
      <c r="CV34" s="1065">
        <v>12527682.052389422</v>
      </c>
      <c r="CW34" s="1065">
        <v>10887044.62026616</v>
      </c>
      <c r="CX34" s="256"/>
      <c r="CY34" s="1065"/>
      <c r="CZ34" s="1065"/>
    </row>
    <row r="35" spans="1:104">
      <c r="A35" s="260">
        <f t="shared" si="1"/>
        <v>28</v>
      </c>
      <c r="B35" s="260">
        <f>'Sched D-1'!B40</f>
        <v>386</v>
      </c>
      <c r="C35" s="862" t="str">
        <f>'Sched D-1'!C40</f>
        <v>Other Property on Customers' Premises</v>
      </c>
      <c r="D35" s="292"/>
      <c r="E35" s="289" t="s">
        <v>539</v>
      </c>
      <c r="F35" s="290"/>
      <c r="G35" s="207">
        <f>'Sched D-1'!G40</f>
        <v>35278.870000000003</v>
      </c>
      <c r="H35" s="29"/>
      <c r="I35" s="634" t="s">
        <v>539</v>
      </c>
      <c r="J35" s="29"/>
      <c r="K35" s="207">
        <f>'Sched D-1'!O40</f>
        <v>35278.870000000003</v>
      </c>
      <c r="M35" s="1624">
        <f t="shared" si="3"/>
        <v>0.99321562173604472</v>
      </c>
      <c r="N35" s="1625">
        <f t="shared" si="4"/>
        <v>35039.524801195097</v>
      </c>
      <c r="O35" s="1625">
        <v>35039.524801195097</v>
      </c>
      <c r="Q35" s="1065">
        <v>35278.870000000003</v>
      </c>
      <c r="R35" s="256"/>
      <c r="S35" s="1065">
        <v>35278.870000000003</v>
      </c>
      <c r="T35" s="1686">
        <v>35039.524801195097</v>
      </c>
      <c r="U35" s="256"/>
      <c r="V35" s="1065">
        <v>35278.870000000003</v>
      </c>
      <c r="W35" s="1686">
        <v>35039.524801195097</v>
      </c>
      <c r="X35" s="256"/>
      <c r="Y35" s="1065">
        <v>35278.870000000003</v>
      </c>
      <c r="Z35" s="1686">
        <v>35039.524801195097</v>
      </c>
      <c r="AA35" s="256"/>
      <c r="AB35" s="1065">
        <v>35278.870000000003</v>
      </c>
      <c r="AC35" s="1686">
        <v>35039.524801195097</v>
      </c>
      <c r="AD35" s="256"/>
      <c r="AE35" s="1065">
        <v>35278.870000000003</v>
      </c>
      <c r="AF35" s="1686">
        <v>35039.524801195097</v>
      </c>
      <c r="AG35" s="256"/>
      <c r="AH35" s="1065">
        <v>35278.870000000003</v>
      </c>
      <c r="AI35" s="1686">
        <v>35039.524801195097</v>
      </c>
      <c r="AJ35" s="256"/>
      <c r="AK35" s="1065">
        <v>35278.870000000003</v>
      </c>
      <c r="AL35" s="1686">
        <v>35039.524801195097</v>
      </c>
      <c r="AM35" s="256"/>
      <c r="AN35" s="1065">
        <v>35278.870000000003</v>
      </c>
      <c r="AO35" s="1686">
        <v>35039.524801195097</v>
      </c>
      <c r="AP35" s="256"/>
      <c r="AQ35" s="1065">
        <v>35278.870000000003</v>
      </c>
      <c r="AR35" s="1686">
        <v>35039.524801195097</v>
      </c>
      <c r="AS35" s="256"/>
      <c r="AT35" s="1065">
        <v>35278.870000000003</v>
      </c>
      <c r="AU35" s="1065">
        <v>35039.524801195097</v>
      </c>
      <c r="AV35" s="256"/>
      <c r="AW35" s="1065">
        <v>35278.870000000003</v>
      </c>
      <c r="AX35" s="1065">
        <v>35039.524801195097</v>
      </c>
      <c r="AY35" s="256"/>
      <c r="AZ35" s="1065">
        <v>35278.870000000003</v>
      </c>
      <c r="BA35" s="1065">
        <v>35039.524801195097</v>
      </c>
      <c r="BB35" s="256"/>
      <c r="BC35" s="1065">
        <v>35278.870000000003</v>
      </c>
      <c r="BD35" s="1065">
        <v>35039.524801195097</v>
      </c>
      <c r="BE35" s="256"/>
      <c r="BF35" s="1065">
        <v>35278.870000000003</v>
      </c>
      <c r="BG35" s="1065">
        <v>35039.524801195097</v>
      </c>
      <c r="BH35" s="256"/>
      <c r="BI35" s="1065">
        <v>35278.870000000003</v>
      </c>
      <c r="BJ35" s="1065">
        <v>35039.524801195097</v>
      </c>
      <c r="BK35" s="256"/>
      <c r="BL35" s="1065">
        <v>35278.870000000003</v>
      </c>
      <c r="BM35" s="1065">
        <v>35039.524801195097</v>
      </c>
      <c r="BN35" s="256"/>
      <c r="BO35" s="1065">
        <v>35278.870000000003</v>
      </c>
      <c r="BP35" s="1065">
        <v>35039.524801195097</v>
      </c>
      <c r="BQ35" s="256"/>
      <c r="BR35" s="1065">
        <v>35278.870000000003</v>
      </c>
      <c r="BS35" s="1065">
        <v>35039.524801195097</v>
      </c>
      <c r="BT35" s="256"/>
      <c r="BU35" s="1065">
        <v>35278.870000000003</v>
      </c>
      <c r="BV35" s="1065">
        <v>35039.524801195097</v>
      </c>
      <c r="BW35" s="256"/>
      <c r="BX35" s="1065">
        <v>35278.870000000003</v>
      </c>
      <c r="BY35" s="1065">
        <v>35039.524801195097</v>
      </c>
      <c r="BZ35" s="256"/>
      <c r="CA35" s="1065">
        <v>35278.870000000003</v>
      </c>
      <c r="CB35" s="1065">
        <v>35039.524801195097</v>
      </c>
      <c r="CC35" s="256"/>
      <c r="CD35" s="1065">
        <v>35278.870000000003</v>
      </c>
      <c r="CE35" s="1065">
        <v>35039.524801195097</v>
      </c>
      <c r="CF35" s="256"/>
      <c r="CG35" s="1065">
        <v>35278.870000000003</v>
      </c>
      <c r="CH35" s="1065">
        <v>35039.524801195097</v>
      </c>
      <c r="CI35" s="1684">
        <f t="shared" si="0"/>
        <v>0</v>
      </c>
      <c r="CJ35" s="1065">
        <v>35278.870000000003</v>
      </c>
      <c r="CK35" s="1065">
        <v>35039.524801195097</v>
      </c>
      <c r="CL35" s="256"/>
      <c r="CM35" s="1065">
        <v>35278.870000000003</v>
      </c>
      <c r="CN35" s="1065">
        <v>35039.524801195097</v>
      </c>
      <c r="CO35" s="256"/>
      <c r="CP35" s="207">
        <v>35278.870000000003</v>
      </c>
      <c r="CQ35" s="1065">
        <v>35039.524801195097</v>
      </c>
      <c r="CR35" s="256"/>
      <c r="CS35" s="207">
        <v>35278.870000000003</v>
      </c>
      <c r="CT35" s="1065">
        <v>35039.524801195097</v>
      </c>
      <c r="CU35" s="256"/>
      <c r="CV35" s="1065">
        <v>35278.870000000003</v>
      </c>
      <c r="CW35" s="1065">
        <v>35039.524801195097</v>
      </c>
      <c r="CX35" s="256"/>
      <c r="CY35" s="1065"/>
      <c r="CZ35" s="1065"/>
    </row>
    <row r="36" spans="1:104">
      <c r="A36" s="260">
        <f t="shared" si="1"/>
        <v>29</v>
      </c>
      <c r="B36" s="260">
        <f>'Sched D-1'!B41</f>
        <v>387</v>
      </c>
      <c r="C36" s="862" t="str">
        <f>'Sched D-1'!C41</f>
        <v>Other Equipment</v>
      </c>
      <c r="D36" s="292"/>
      <c r="E36" s="289" t="s">
        <v>539</v>
      </c>
      <c r="F36" s="290"/>
      <c r="G36" s="207">
        <f>'Sched D-1'!G41</f>
        <v>407724.66000000003</v>
      </c>
      <c r="H36" s="29"/>
      <c r="I36" s="634" t="s">
        <v>539</v>
      </c>
      <c r="J36" s="29"/>
      <c r="K36" s="207">
        <f>'Sched D-1'!O41</f>
        <v>407724.66000000003</v>
      </c>
      <c r="M36" s="1624">
        <f t="shared" si="3"/>
        <v>0.86103937423841281</v>
      </c>
      <c r="N36" s="1626">
        <f t="shared" si="4"/>
        <v>351066.98610796966</v>
      </c>
      <c r="O36" s="1626">
        <v>351066.98610796966</v>
      </c>
      <c r="Q36" s="1065">
        <v>407724.66000000003</v>
      </c>
      <c r="R36" s="256"/>
      <c r="S36" s="1065">
        <v>407724.66000000003</v>
      </c>
      <c r="T36" s="1686">
        <v>351066.98610796966</v>
      </c>
      <c r="U36" s="256"/>
      <c r="V36" s="1065">
        <v>407724.66000000003</v>
      </c>
      <c r="W36" s="1686">
        <v>351066.98610796966</v>
      </c>
      <c r="X36" s="256"/>
      <c r="Y36" s="1065">
        <v>407724.66000000003</v>
      </c>
      <c r="Z36" s="1686">
        <v>351066.98610796966</v>
      </c>
      <c r="AA36" s="256"/>
      <c r="AB36" s="1065">
        <v>407724.66000000003</v>
      </c>
      <c r="AC36" s="1686">
        <v>351066.98610796966</v>
      </c>
      <c r="AD36" s="256"/>
      <c r="AE36" s="1065">
        <v>407724.66000000003</v>
      </c>
      <c r="AF36" s="1686">
        <v>351066.98610796966</v>
      </c>
      <c r="AG36" s="256"/>
      <c r="AH36" s="1065">
        <v>407724.66000000003</v>
      </c>
      <c r="AI36" s="1686">
        <v>351066.98610796966</v>
      </c>
      <c r="AJ36" s="256"/>
      <c r="AK36" s="1065">
        <v>407724.66000000003</v>
      </c>
      <c r="AL36" s="1686">
        <v>351066.98610796966</v>
      </c>
      <c r="AM36" s="256"/>
      <c r="AN36" s="1065">
        <v>407724.66000000003</v>
      </c>
      <c r="AO36" s="1686">
        <v>351066.98610796966</v>
      </c>
      <c r="AP36" s="256"/>
      <c r="AQ36" s="1065">
        <v>407724.66000000003</v>
      </c>
      <c r="AR36" s="1686">
        <v>351066.98610796966</v>
      </c>
      <c r="AS36" s="256"/>
      <c r="AT36" s="1065">
        <v>407724.66000000003</v>
      </c>
      <c r="AU36" s="1065">
        <v>351066.98610796966</v>
      </c>
      <c r="AV36" s="256"/>
      <c r="AW36" s="1065">
        <v>407724.66000000003</v>
      </c>
      <c r="AX36" s="1065">
        <v>351066.98610796966</v>
      </c>
      <c r="AY36" s="256"/>
      <c r="AZ36" s="1065">
        <v>407724.66000000003</v>
      </c>
      <c r="BA36" s="1065">
        <v>351066.98610796966</v>
      </c>
      <c r="BB36" s="256"/>
      <c r="BC36" s="1065">
        <v>407724.66000000003</v>
      </c>
      <c r="BD36" s="1065">
        <v>351066.98610796966</v>
      </c>
      <c r="BE36" s="256"/>
      <c r="BF36" s="1065">
        <v>407724.66000000003</v>
      </c>
      <c r="BG36" s="1065">
        <v>351066.98610796966</v>
      </c>
      <c r="BH36" s="256"/>
      <c r="BI36" s="1065">
        <v>407724.66000000003</v>
      </c>
      <c r="BJ36" s="1065">
        <v>351066.98610796966</v>
      </c>
      <c r="BK36" s="256"/>
      <c r="BL36" s="1065">
        <v>407724.66000000003</v>
      </c>
      <c r="BM36" s="1065">
        <v>351066.98610796966</v>
      </c>
      <c r="BN36" s="256"/>
      <c r="BO36" s="1065">
        <v>407724.66000000003</v>
      </c>
      <c r="BP36" s="1065">
        <v>351066.98610796966</v>
      </c>
      <c r="BQ36" s="256"/>
      <c r="BR36" s="1065">
        <v>407724.66000000003</v>
      </c>
      <c r="BS36" s="1065">
        <v>351066.98610796966</v>
      </c>
      <c r="BT36" s="256"/>
      <c r="BU36" s="1065">
        <v>407724.66000000003</v>
      </c>
      <c r="BV36" s="1065">
        <v>351066.98610796966</v>
      </c>
      <c r="BW36" s="256"/>
      <c r="BX36" s="1065">
        <v>407724.66000000003</v>
      </c>
      <c r="BY36" s="1065">
        <v>351066.98610796966</v>
      </c>
      <c r="BZ36" s="256"/>
      <c r="CA36" s="1065">
        <v>407724.66000000003</v>
      </c>
      <c r="CB36" s="1065">
        <v>351066.98610796966</v>
      </c>
      <c r="CC36" s="256"/>
      <c r="CD36" s="1065">
        <v>407724.66000000003</v>
      </c>
      <c r="CE36" s="1065">
        <v>351066.98610796966</v>
      </c>
      <c r="CF36" s="256"/>
      <c r="CG36" s="1065">
        <v>407724.66000000003</v>
      </c>
      <c r="CH36" s="1065">
        <v>351066.98610796966</v>
      </c>
      <c r="CI36" s="1684">
        <f t="shared" si="0"/>
        <v>0</v>
      </c>
      <c r="CJ36" s="1065">
        <v>407724.66000000003</v>
      </c>
      <c r="CK36" s="1065">
        <v>351066.98610796966</v>
      </c>
      <c r="CL36" s="256"/>
      <c r="CM36" s="1065">
        <v>407724.66000000003</v>
      </c>
      <c r="CN36" s="1065">
        <v>351066.98610796966</v>
      </c>
      <c r="CO36" s="256"/>
      <c r="CP36" s="207">
        <v>407724.66000000003</v>
      </c>
      <c r="CQ36" s="1065">
        <v>351066.98610796966</v>
      </c>
      <c r="CR36" s="256"/>
      <c r="CS36" s="207">
        <v>407724.66000000003</v>
      </c>
      <c r="CT36" s="1065">
        <v>351066.98610796966</v>
      </c>
      <c r="CU36" s="256"/>
      <c r="CV36" s="1065">
        <v>407724.66000000003</v>
      </c>
      <c r="CW36" s="1065">
        <v>351066.98610796966</v>
      </c>
      <c r="CX36" s="256"/>
      <c r="CY36" s="1065"/>
      <c r="CZ36" s="1065"/>
    </row>
    <row r="37" spans="1:104">
      <c r="A37" s="260">
        <f t="shared" si="1"/>
        <v>30</v>
      </c>
      <c r="B37" s="260"/>
      <c r="C37" s="275" t="s">
        <v>630</v>
      </c>
      <c r="D37" s="292"/>
      <c r="E37" s="289" t="s">
        <v>567</v>
      </c>
      <c r="F37" s="290"/>
      <c r="G37" s="620">
        <f>+'Stmt D'!J22</f>
        <v>715468698</v>
      </c>
      <c r="H37" s="29"/>
      <c r="I37" s="289" t="s">
        <v>567</v>
      </c>
      <c r="J37" s="29"/>
      <c r="K37" s="620">
        <f>+'Stmt D'!N22</f>
        <v>796481698</v>
      </c>
      <c r="M37" s="1630" t="s">
        <v>1528</v>
      </c>
      <c r="N37" s="1614">
        <f>SUM(N21:N36)</f>
        <v>614689957.83899486</v>
      </c>
      <c r="O37" s="1614">
        <v>686317985.84599316</v>
      </c>
      <c r="Q37" s="1689">
        <v>791132761</v>
      </c>
      <c r="R37" s="256"/>
      <c r="S37" s="1689">
        <v>791132761</v>
      </c>
      <c r="T37" s="1690">
        <v>680869420.26717758</v>
      </c>
      <c r="U37" s="256"/>
      <c r="V37" s="1689">
        <v>791132761</v>
      </c>
      <c r="W37" s="1690">
        <v>680869420.26717758</v>
      </c>
      <c r="X37" s="256"/>
      <c r="Y37" s="1689">
        <v>791132761</v>
      </c>
      <c r="Z37" s="1690">
        <v>680869420.26717758</v>
      </c>
      <c r="AA37" s="256"/>
      <c r="AB37" s="1689">
        <v>791132761</v>
      </c>
      <c r="AC37" s="1690">
        <v>680869420.26717758</v>
      </c>
      <c r="AD37" s="256"/>
      <c r="AE37" s="1689">
        <v>791132761</v>
      </c>
      <c r="AF37" s="1690">
        <v>680869420.26717758</v>
      </c>
      <c r="AG37" s="256"/>
      <c r="AH37" s="1689">
        <v>791132761</v>
      </c>
      <c r="AI37" s="1690">
        <v>680869420.26717758</v>
      </c>
      <c r="AJ37" s="256"/>
      <c r="AK37" s="1689">
        <v>791132761</v>
      </c>
      <c r="AL37" s="1690">
        <v>680869420.26717758</v>
      </c>
      <c r="AM37" s="256"/>
      <c r="AN37" s="1689">
        <v>791132761</v>
      </c>
      <c r="AO37" s="1690">
        <v>680869420.26717758</v>
      </c>
      <c r="AP37" s="256"/>
      <c r="AQ37" s="1689">
        <v>791132761</v>
      </c>
      <c r="AR37" s="1690">
        <v>680869420.26717758</v>
      </c>
      <c r="AS37" s="256"/>
      <c r="AT37" s="1689">
        <v>791132761</v>
      </c>
      <c r="AU37" s="1689">
        <v>680869420.26717758</v>
      </c>
      <c r="AV37" s="256"/>
      <c r="AW37" s="1689">
        <v>791132761</v>
      </c>
      <c r="AX37" s="1689">
        <v>680869420.26717758</v>
      </c>
      <c r="AY37" s="256"/>
      <c r="AZ37" s="1689">
        <v>791132761</v>
      </c>
      <c r="BA37" s="1689">
        <v>680869420.26717758</v>
      </c>
      <c r="BB37" s="256"/>
      <c r="BC37" s="1689">
        <v>791132761</v>
      </c>
      <c r="BD37" s="1689">
        <v>680869420.26717758</v>
      </c>
      <c r="BE37" s="256"/>
      <c r="BF37" s="1689">
        <v>791132761</v>
      </c>
      <c r="BG37" s="1689">
        <v>680869420.26717758</v>
      </c>
      <c r="BH37" s="256"/>
      <c r="BI37" s="1689">
        <v>791132761</v>
      </c>
      <c r="BJ37" s="1689">
        <v>680869420.26717758</v>
      </c>
      <c r="BK37" s="256"/>
      <c r="BL37" s="1689">
        <v>791132761</v>
      </c>
      <c r="BM37" s="1689">
        <v>680869420.26717758</v>
      </c>
      <c r="BN37" s="256"/>
      <c r="BO37" s="1689">
        <v>791132761</v>
      </c>
      <c r="BP37" s="1689">
        <v>680869420.26717758</v>
      </c>
      <c r="BQ37" s="256"/>
      <c r="BR37" s="1689">
        <v>791132761</v>
      </c>
      <c r="BS37" s="1689">
        <v>680869420.26717758</v>
      </c>
      <c r="BT37" s="256"/>
      <c r="BU37" s="1689">
        <v>791132761</v>
      </c>
      <c r="BV37" s="1689">
        <v>680869420.26717758</v>
      </c>
      <c r="BW37" s="256"/>
      <c r="BX37" s="1689">
        <v>791132761</v>
      </c>
      <c r="BY37" s="1689">
        <v>680869420.26717758</v>
      </c>
      <c r="BZ37" s="256"/>
      <c r="CA37" s="1689">
        <v>796481698</v>
      </c>
      <c r="CB37" s="1689">
        <v>686317985.84599316</v>
      </c>
      <c r="CC37" s="256"/>
      <c r="CD37" s="1689">
        <v>796481698</v>
      </c>
      <c r="CE37" s="1689">
        <v>686317985.84599316</v>
      </c>
      <c r="CF37" s="256"/>
      <c r="CG37" s="1689">
        <v>796481698</v>
      </c>
      <c r="CH37" s="1689">
        <v>686317985.84599316</v>
      </c>
      <c r="CI37" s="1684">
        <f t="shared" si="0"/>
        <v>0</v>
      </c>
      <c r="CJ37" s="1689">
        <v>796481698</v>
      </c>
      <c r="CK37" s="1689">
        <v>686317985.84599316</v>
      </c>
      <c r="CL37" s="256"/>
      <c r="CM37" s="1689">
        <v>796481698</v>
      </c>
      <c r="CN37" s="1689">
        <v>686317985.84599316</v>
      </c>
      <c r="CO37" s="256"/>
      <c r="CP37" s="620">
        <v>796481698</v>
      </c>
      <c r="CQ37" s="1689">
        <v>686317985.84599316</v>
      </c>
      <c r="CR37" s="256"/>
      <c r="CS37" s="620">
        <v>796481698</v>
      </c>
      <c r="CT37" s="1689">
        <v>686317985.84599316</v>
      </c>
      <c r="CU37" s="256"/>
      <c r="CV37" s="1689">
        <v>796481698</v>
      </c>
      <c r="CW37" s="1689">
        <v>686317985.84599316</v>
      </c>
      <c r="CX37" s="256"/>
      <c r="CY37" s="1689"/>
      <c r="CZ37" s="1689"/>
    </row>
    <row r="38" spans="1:104">
      <c r="A38" s="260">
        <f t="shared" si="1"/>
        <v>31</v>
      </c>
      <c r="B38" s="260"/>
      <c r="D38" s="292"/>
      <c r="E38" s="289"/>
      <c r="F38" s="290"/>
      <c r="G38" s="361"/>
      <c r="H38" s="29"/>
      <c r="I38" s="583"/>
      <c r="J38" s="29"/>
      <c r="K38" s="361"/>
      <c r="M38" s="1624"/>
      <c r="N38" s="1113"/>
      <c r="O38" s="1113"/>
      <c r="Q38" s="333"/>
      <c r="R38" s="256"/>
      <c r="S38" s="333"/>
      <c r="T38" s="1693"/>
      <c r="U38" s="256"/>
      <c r="V38" s="333"/>
      <c r="W38" s="1693"/>
      <c r="X38" s="256"/>
      <c r="Y38" s="333"/>
      <c r="Z38" s="1693"/>
      <c r="AA38" s="256"/>
      <c r="AB38" s="333"/>
      <c r="AC38" s="1693"/>
      <c r="AD38" s="256"/>
      <c r="AE38" s="333"/>
      <c r="AF38" s="1693"/>
      <c r="AG38" s="256"/>
      <c r="AH38" s="333"/>
      <c r="AI38" s="1693"/>
      <c r="AJ38" s="256"/>
      <c r="AK38" s="333"/>
      <c r="AL38" s="1693"/>
      <c r="AM38" s="256"/>
      <c r="AN38" s="333"/>
      <c r="AO38" s="1693"/>
      <c r="AP38" s="256"/>
      <c r="AQ38" s="333"/>
      <c r="AR38" s="1693"/>
      <c r="AS38" s="256"/>
      <c r="AT38" s="333"/>
      <c r="AU38" s="333"/>
      <c r="AV38" s="256"/>
      <c r="AW38" s="333"/>
      <c r="AX38" s="333"/>
      <c r="AY38" s="256"/>
      <c r="AZ38" s="333"/>
      <c r="BA38" s="333"/>
      <c r="BB38" s="256"/>
      <c r="BC38" s="333"/>
      <c r="BD38" s="333"/>
      <c r="BE38" s="256"/>
      <c r="BF38" s="333"/>
      <c r="BG38" s="333"/>
      <c r="BH38" s="256"/>
      <c r="BI38" s="333"/>
      <c r="BJ38" s="333"/>
      <c r="BK38" s="256"/>
      <c r="BL38" s="333"/>
      <c r="BM38" s="333"/>
      <c r="BN38" s="256"/>
      <c r="BO38" s="333"/>
      <c r="BP38" s="333"/>
      <c r="BQ38" s="256"/>
      <c r="BR38" s="333"/>
      <c r="BS38" s="333"/>
      <c r="BT38" s="256"/>
      <c r="BU38" s="333"/>
      <c r="BV38" s="333"/>
      <c r="BW38" s="256"/>
      <c r="BX38" s="333"/>
      <c r="BY38" s="333"/>
      <c r="BZ38" s="256"/>
      <c r="CA38" s="333"/>
      <c r="CB38" s="333"/>
      <c r="CC38" s="256"/>
      <c r="CD38" s="333"/>
      <c r="CE38" s="333"/>
      <c r="CF38" s="256"/>
      <c r="CG38" s="333"/>
      <c r="CH38" s="333"/>
      <c r="CI38" s="1684">
        <f t="shared" si="0"/>
        <v>0</v>
      </c>
      <c r="CJ38" s="333"/>
      <c r="CK38" s="333"/>
      <c r="CL38" s="256"/>
      <c r="CM38" s="333"/>
      <c r="CN38" s="333"/>
      <c r="CO38" s="256"/>
      <c r="CP38" s="361"/>
      <c r="CQ38" s="333"/>
      <c r="CR38" s="256"/>
      <c r="CS38" s="361"/>
      <c r="CT38" s="333"/>
      <c r="CU38" s="256"/>
      <c r="CV38" s="333"/>
      <c r="CW38" s="333"/>
      <c r="CX38" s="256"/>
      <c r="CY38" s="333"/>
      <c r="CZ38" s="333"/>
    </row>
    <row r="39" spans="1:104">
      <c r="A39" s="260">
        <f t="shared" si="1"/>
        <v>32</v>
      </c>
      <c r="B39" s="260">
        <f>'Sched D-1'!B45</f>
        <v>389.01</v>
      </c>
      <c r="C39" s="862" t="str">
        <f>'Sched D-1'!C45</f>
        <v>Land</v>
      </c>
      <c r="D39" s="292"/>
      <c r="E39" s="583" t="s">
        <v>539</v>
      </c>
      <c r="F39" s="290"/>
      <c r="G39" s="353">
        <f>'Sched D-1'!G45</f>
        <v>5210067.8100000005</v>
      </c>
      <c r="H39" s="29"/>
      <c r="I39" s="289" t="s">
        <v>539</v>
      </c>
      <c r="J39" s="29"/>
      <c r="K39" s="297">
        <f>'Sched D-1'!O45</f>
        <v>6105836.9821000006</v>
      </c>
      <c r="M39" s="1624">
        <f t="shared" ref="M39:M61" si="5">IF(ISERROR(O39/K39),0,O39/K39)</f>
        <v>0.87194347602411748</v>
      </c>
      <c r="N39" s="1566">
        <f t="shared" ref="N39:N61" si="6">M39*G39</f>
        <v>4542884.6365727615</v>
      </c>
      <c r="O39" s="1566">
        <v>5323944.7222088818</v>
      </c>
      <c r="Q39" s="1684">
        <v>5749204.5136000011</v>
      </c>
      <c r="R39" s="256"/>
      <c r="S39" s="1684">
        <v>5749204.5136000011</v>
      </c>
      <c r="T39" s="1685">
        <v>5008926.926386537</v>
      </c>
      <c r="U39" s="256"/>
      <c r="V39" s="1684">
        <v>5749204.5136000011</v>
      </c>
      <c r="W39" s="1685">
        <v>5008926.926386537</v>
      </c>
      <c r="X39" s="256"/>
      <c r="Y39" s="1684">
        <v>5749204.5136000011</v>
      </c>
      <c r="Z39" s="1685">
        <v>5008975.0682779569</v>
      </c>
      <c r="AA39" s="256"/>
      <c r="AB39" s="1684">
        <v>5749204.5136000011</v>
      </c>
      <c r="AC39" s="1685">
        <v>5008569.3944976702</v>
      </c>
      <c r="AD39" s="256"/>
      <c r="AE39" s="1684">
        <v>5749204.5136000011</v>
      </c>
      <c r="AF39" s="1685">
        <v>5008569.3944976702</v>
      </c>
      <c r="AG39" s="256"/>
      <c r="AH39" s="1684">
        <v>5749204.5136000011</v>
      </c>
      <c r="AI39" s="1685">
        <v>5008569.3944976721</v>
      </c>
      <c r="AJ39" s="256"/>
      <c r="AK39" s="1684">
        <v>5749204.5136000011</v>
      </c>
      <c r="AL39" s="1685">
        <v>5008513.449034242</v>
      </c>
      <c r="AM39" s="256"/>
      <c r="AN39" s="1684">
        <v>5749204.5136000011</v>
      </c>
      <c r="AO39" s="1685">
        <v>5008545.4909331044</v>
      </c>
      <c r="AP39" s="256"/>
      <c r="AQ39" s="1684">
        <v>5749204.5136000011</v>
      </c>
      <c r="AR39" s="1685">
        <v>5008545.4909331053</v>
      </c>
      <c r="AS39" s="256"/>
      <c r="AT39" s="1684">
        <v>5749204.5136000011</v>
      </c>
      <c r="AU39" s="1684">
        <v>5008545.4909331053</v>
      </c>
      <c r="AV39" s="256"/>
      <c r="AW39" s="1684">
        <v>5749204.5136000011</v>
      </c>
      <c r="AX39" s="1684">
        <v>5008545.4909331044</v>
      </c>
      <c r="AY39" s="256"/>
      <c r="AZ39" s="1684">
        <v>5749204.5136000011</v>
      </c>
      <c r="BA39" s="1684">
        <v>5008545.4909331053</v>
      </c>
      <c r="BB39" s="256"/>
      <c r="BC39" s="1684">
        <v>5749204.5136000011</v>
      </c>
      <c r="BD39" s="1684">
        <v>5008545.4909331053</v>
      </c>
      <c r="BE39" s="256"/>
      <c r="BF39" s="1684">
        <v>5749204.5136000011</v>
      </c>
      <c r="BG39" s="1684">
        <v>5008545.4909331053</v>
      </c>
      <c r="BH39" s="256"/>
      <c r="BI39" s="1684">
        <v>5749204.5136000011</v>
      </c>
      <c r="BJ39" s="1684">
        <v>5008545.4909331053</v>
      </c>
      <c r="BK39" s="256"/>
      <c r="BL39" s="1684">
        <v>5749204.5136000011</v>
      </c>
      <c r="BM39" s="1684">
        <v>5008545.4909331053</v>
      </c>
      <c r="BN39" s="256"/>
      <c r="BO39" s="1684">
        <v>5749204.5136000011</v>
      </c>
      <c r="BP39" s="1684">
        <v>5008545.4909331053</v>
      </c>
      <c r="BQ39" s="256"/>
      <c r="BR39" s="1684">
        <v>5749204.5136000011</v>
      </c>
      <c r="BS39" s="1684">
        <v>5008545.4909331053</v>
      </c>
      <c r="BT39" s="256"/>
      <c r="BU39" s="1684">
        <v>5749204.5136000011</v>
      </c>
      <c r="BV39" s="1684">
        <v>5008545.4909331053</v>
      </c>
      <c r="BW39" s="256"/>
      <c r="BX39" s="1684">
        <v>5749204.5136000011</v>
      </c>
      <c r="BY39" s="1684">
        <v>5008545.4909331053</v>
      </c>
      <c r="BZ39" s="256"/>
      <c r="CA39" s="1684">
        <v>6105836.9821000006</v>
      </c>
      <c r="CB39" s="1684">
        <v>5322891.2660913784</v>
      </c>
      <c r="CC39" s="256"/>
      <c r="CD39" s="1684">
        <v>6105836.9821000006</v>
      </c>
      <c r="CE39" s="1684">
        <v>5322891.2660913784</v>
      </c>
      <c r="CF39" s="256"/>
      <c r="CG39" s="1684">
        <v>6105836.9821000006</v>
      </c>
      <c r="CH39" s="1684">
        <v>5322891.2660913784</v>
      </c>
      <c r="CI39" s="1684">
        <f t="shared" si="0"/>
        <v>0</v>
      </c>
      <c r="CJ39" s="1684">
        <v>6105836.9821000006</v>
      </c>
      <c r="CK39" s="1684">
        <v>5322891.2660913784</v>
      </c>
      <c r="CL39" s="256"/>
      <c r="CM39" s="1684">
        <v>6105836.9821000006</v>
      </c>
      <c r="CN39" s="1684">
        <v>5323336.5878892671</v>
      </c>
      <c r="CO39" s="256"/>
      <c r="CP39" s="297">
        <v>6105836.9821000006</v>
      </c>
      <c r="CQ39" s="1684">
        <v>5323336.5878892671</v>
      </c>
      <c r="CR39" s="256"/>
      <c r="CS39" s="297">
        <v>6105836.9821000006</v>
      </c>
      <c r="CT39" s="1684">
        <v>5323944.7222088818</v>
      </c>
      <c r="CU39" s="256"/>
      <c r="CV39" s="1684">
        <v>6105836.9821000006</v>
      </c>
      <c r="CW39" s="1684">
        <v>5323944.7222088818</v>
      </c>
      <c r="CX39" s="256"/>
      <c r="CY39" s="1684"/>
      <c r="CZ39" s="1684"/>
    </row>
    <row r="40" spans="1:104" s="582" customFormat="1">
      <c r="A40" s="581">
        <f t="shared" si="1"/>
        <v>33</v>
      </c>
      <c r="B40" s="581">
        <f>'Sched D-1'!B46</f>
        <v>389.02</v>
      </c>
      <c r="C40" s="863" t="str">
        <f>'Sched D-1'!C46</f>
        <v>Land Rights - Right of Way</v>
      </c>
      <c r="D40" s="290"/>
      <c r="E40" s="583" t="s">
        <v>539</v>
      </c>
      <c r="F40" s="290"/>
      <c r="G40" s="207">
        <f>'Sched D-1'!G46</f>
        <v>1183494.1200000001</v>
      </c>
      <c r="H40" s="29"/>
      <c r="I40" s="635" t="s">
        <v>539</v>
      </c>
      <c r="J40" s="29"/>
      <c r="K40" s="207">
        <f>'Sched D-1'!O46</f>
        <v>1428870.5133</v>
      </c>
      <c r="L40" s="255"/>
      <c r="M40" s="1624">
        <f t="shared" si="5"/>
        <v>0.87194347602411737</v>
      </c>
      <c r="N40" s="1625">
        <f t="shared" si="6"/>
        <v>1031939.976846904</v>
      </c>
      <c r="O40" s="1625">
        <v>1245894.3221551669</v>
      </c>
      <c r="Q40" s="1065">
        <v>1331607.1128000002</v>
      </c>
      <c r="R40" s="256"/>
      <c r="S40" s="1065">
        <v>1331607.1128000002</v>
      </c>
      <c r="T40" s="1686">
        <v>1160147.0615445587</v>
      </c>
      <c r="U40" s="256"/>
      <c r="V40" s="1065">
        <v>1331607.1128000002</v>
      </c>
      <c r="W40" s="1686">
        <v>1160147.0615445587</v>
      </c>
      <c r="X40" s="256"/>
      <c r="Y40" s="1065">
        <v>1331607.1128000002</v>
      </c>
      <c r="Z40" s="1686">
        <v>1160158.2119715244</v>
      </c>
      <c r="AA40" s="256"/>
      <c r="AB40" s="1065">
        <v>1331607.1128000002</v>
      </c>
      <c r="AC40" s="1686">
        <v>1160064.2514783763</v>
      </c>
      <c r="AD40" s="256"/>
      <c r="AE40" s="1065">
        <v>1331607.1128000002</v>
      </c>
      <c r="AF40" s="1686">
        <v>1160064.2514783763</v>
      </c>
      <c r="AG40" s="256"/>
      <c r="AH40" s="1065">
        <v>1331607.1128000002</v>
      </c>
      <c r="AI40" s="1686">
        <v>1160064.2514783768</v>
      </c>
      <c r="AJ40" s="256"/>
      <c r="AK40" s="1065">
        <v>1331607.1128000002</v>
      </c>
      <c r="AL40" s="1686">
        <v>1160051.2936201449</v>
      </c>
      <c r="AM40" s="256"/>
      <c r="AN40" s="1065">
        <v>1331607.1128000002</v>
      </c>
      <c r="AO40" s="1686">
        <v>1160058.7150330259</v>
      </c>
      <c r="AP40" s="256"/>
      <c r="AQ40" s="1065">
        <v>1331607.1128000002</v>
      </c>
      <c r="AR40" s="1686">
        <v>1160058.7150330262</v>
      </c>
      <c r="AS40" s="256"/>
      <c r="AT40" s="1065">
        <v>1331607.1128000002</v>
      </c>
      <c r="AU40" s="1065">
        <v>1160058.7150330262</v>
      </c>
      <c r="AV40" s="256"/>
      <c r="AW40" s="1065">
        <v>1331607.1128000002</v>
      </c>
      <c r="AX40" s="1065">
        <v>1160058.7150330259</v>
      </c>
      <c r="AY40" s="256"/>
      <c r="AZ40" s="1065">
        <v>1331607.1128000002</v>
      </c>
      <c r="BA40" s="1065">
        <v>1160058.7150330262</v>
      </c>
      <c r="BB40" s="256"/>
      <c r="BC40" s="1065">
        <v>1331607.1128000002</v>
      </c>
      <c r="BD40" s="1065">
        <v>1160058.7150330262</v>
      </c>
      <c r="BE40" s="256"/>
      <c r="BF40" s="1065">
        <v>1331607.1128000002</v>
      </c>
      <c r="BG40" s="1065">
        <v>1160058.7150330262</v>
      </c>
      <c r="BH40" s="256"/>
      <c r="BI40" s="1065">
        <v>1331607.1128000002</v>
      </c>
      <c r="BJ40" s="1065">
        <v>1160058.7150330262</v>
      </c>
      <c r="BK40" s="256"/>
      <c r="BL40" s="1065">
        <v>1331607.1128000002</v>
      </c>
      <c r="BM40" s="1065">
        <v>1160058.7150330262</v>
      </c>
      <c r="BN40" s="256"/>
      <c r="BO40" s="1065">
        <v>1331607.1128000002</v>
      </c>
      <c r="BP40" s="1065">
        <v>1160058.7150330262</v>
      </c>
      <c r="BQ40" s="256"/>
      <c r="BR40" s="1065">
        <v>1331607.1128000002</v>
      </c>
      <c r="BS40" s="1065">
        <v>1160058.7150330262</v>
      </c>
      <c r="BT40" s="256"/>
      <c r="BU40" s="1065">
        <v>1331607.1128000002</v>
      </c>
      <c r="BV40" s="1065">
        <v>1160058.7150330262</v>
      </c>
      <c r="BW40" s="256"/>
      <c r="BX40" s="1065">
        <v>1331607.1128000002</v>
      </c>
      <c r="BY40" s="1065">
        <v>1160058.7150330262</v>
      </c>
      <c r="BZ40" s="256"/>
      <c r="CA40" s="1065">
        <v>1428870.5133</v>
      </c>
      <c r="CB40" s="1065">
        <v>1245647.7953664945</v>
      </c>
      <c r="CC40" s="256"/>
      <c r="CD40" s="1065">
        <v>1428870.5133</v>
      </c>
      <c r="CE40" s="1065">
        <v>1245647.7953664945</v>
      </c>
      <c r="CF40" s="256"/>
      <c r="CG40" s="1065">
        <v>1428870.5133</v>
      </c>
      <c r="CH40" s="1065">
        <v>1245647.7953664945</v>
      </c>
      <c r="CI40" s="1684">
        <f t="shared" si="0"/>
        <v>0</v>
      </c>
      <c r="CJ40" s="1065">
        <v>1428870.5133</v>
      </c>
      <c r="CK40" s="1065">
        <v>1245647.7953664945</v>
      </c>
      <c r="CL40" s="256"/>
      <c r="CM40" s="1065">
        <v>1428870.5133</v>
      </c>
      <c r="CN40" s="1065">
        <v>1245752.0083004127</v>
      </c>
      <c r="CO40" s="256"/>
      <c r="CP40" s="207">
        <v>1428870.5133</v>
      </c>
      <c r="CQ40" s="1065">
        <v>1245752.0083004127</v>
      </c>
      <c r="CR40" s="256"/>
      <c r="CS40" s="207">
        <v>1428870.5133</v>
      </c>
      <c r="CT40" s="1065">
        <v>1245894.3221551669</v>
      </c>
      <c r="CU40" s="256"/>
      <c r="CV40" s="1065">
        <v>1428870.5133</v>
      </c>
      <c r="CW40" s="1065">
        <v>1245894.3221551669</v>
      </c>
      <c r="CX40" s="256"/>
      <c r="CY40" s="1065"/>
      <c r="CZ40" s="1065"/>
    </row>
    <row r="41" spans="1:104">
      <c r="A41" s="260">
        <f t="shared" si="1"/>
        <v>34</v>
      </c>
      <c r="B41" s="581">
        <f>'Sched D-1'!B47</f>
        <v>390.01</v>
      </c>
      <c r="C41" s="863" t="str">
        <f>'Sched D-1'!C47</f>
        <v xml:space="preserve">Structures and Improvements </v>
      </c>
      <c r="D41" s="290"/>
      <c r="E41" s="583" t="s">
        <v>539</v>
      </c>
      <c r="F41" s="290"/>
      <c r="G41" s="207">
        <f>'Sched D-1'!G47</f>
        <v>38224610.969999999</v>
      </c>
      <c r="H41" s="29"/>
      <c r="I41" s="635" t="s">
        <v>539</v>
      </c>
      <c r="J41" s="29"/>
      <c r="K41" s="207">
        <f>'Sched D-1'!O47</f>
        <v>44604435.312399998</v>
      </c>
      <c r="M41" s="1624">
        <f t="shared" si="5"/>
        <v>0.87194347602411748</v>
      </c>
      <c r="N41" s="1625">
        <f t="shared" si="6"/>
        <v>33329700.158851411</v>
      </c>
      <c r="O41" s="1625">
        <v>38892546.372386947</v>
      </c>
      <c r="Q41" s="1065">
        <v>41881060.098399997</v>
      </c>
      <c r="R41" s="256"/>
      <c r="S41" s="1065">
        <v>41881060.098399997</v>
      </c>
      <c r="T41" s="1686">
        <v>36488381.851132005</v>
      </c>
      <c r="U41" s="256"/>
      <c r="V41" s="1065">
        <v>41881060.098399997</v>
      </c>
      <c r="W41" s="1686">
        <v>36488381.851132005</v>
      </c>
      <c r="X41" s="256"/>
      <c r="Y41" s="1065">
        <v>41881060.098399997</v>
      </c>
      <c r="Z41" s="1686">
        <v>36488732.548944734</v>
      </c>
      <c r="AA41" s="256"/>
      <c r="AB41" s="1065">
        <v>41881060.098399997</v>
      </c>
      <c r="AC41" s="1686">
        <v>36485777.349154517</v>
      </c>
      <c r="AD41" s="256"/>
      <c r="AE41" s="1065">
        <v>41881060.098399997</v>
      </c>
      <c r="AF41" s="1686">
        <v>36485777.349154517</v>
      </c>
      <c r="AG41" s="256"/>
      <c r="AH41" s="1065">
        <v>41881060.098399997</v>
      </c>
      <c r="AI41" s="1686">
        <v>36485777.349154525</v>
      </c>
      <c r="AJ41" s="256"/>
      <c r="AK41" s="1065">
        <v>41881060.098399997</v>
      </c>
      <c r="AL41" s="1686">
        <v>36485369.804891557</v>
      </c>
      <c r="AM41" s="256"/>
      <c r="AN41" s="1065">
        <v>41881060.098399997</v>
      </c>
      <c r="AO41" s="1686">
        <v>36485603.219564632</v>
      </c>
      <c r="AP41" s="256"/>
      <c r="AQ41" s="1065">
        <v>41881060.098399997</v>
      </c>
      <c r="AR41" s="1686">
        <v>36485603.219564632</v>
      </c>
      <c r="AS41" s="256"/>
      <c r="AT41" s="1065">
        <v>41881060.098399997</v>
      </c>
      <c r="AU41" s="1065">
        <v>36485603.219564632</v>
      </c>
      <c r="AV41" s="256"/>
      <c r="AW41" s="1065">
        <v>41881060.098399997</v>
      </c>
      <c r="AX41" s="1065">
        <v>36485603.219564632</v>
      </c>
      <c r="AY41" s="256"/>
      <c r="AZ41" s="1065">
        <v>41881060.098399997</v>
      </c>
      <c r="BA41" s="1065">
        <v>36485603.219564632</v>
      </c>
      <c r="BB41" s="256"/>
      <c r="BC41" s="1065">
        <v>41881060.098399997</v>
      </c>
      <c r="BD41" s="1065">
        <v>36485603.219564632</v>
      </c>
      <c r="BE41" s="256"/>
      <c r="BF41" s="1065">
        <v>41881060.098399997</v>
      </c>
      <c r="BG41" s="1065">
        <v>36485603.219564632</v>
      </c>
      <c r="BH41" s="256"/>
      <c r="BI41" s="1065">
        <v>41881060.098399997</v>
      </c>
      <c r="BJ41" s="1065">
        <v>36485603.219564632</v>
      </c>
      <c r="BK41" s="256"/>
      <c r="BL41" s="1065">
        <v>41881060.098399997</v>
      </c>
      <c r="BM41" s="1065">
        <v>36485603.219564632</v>
      </c>
      <c r="BN41" s="256"/>
      <c r="BO41" s="1065">
        <v>41881060.098399997</v>
      </c>
      <c r="BP41" s="1065">
        <v>36485603.219564632</v>
      </c>
      <c r="BQ41" s="256"/>
      <c r="BR41" s="1065">
        <v>41881060.098399997</v>
      </c>
      <c r="BS41" s="1065">
        <v>36485603.219564632</v>
      </c>
      <c r="BT41" s="256"/>
      <c r="BU41" s="1065">
        <v>41881060.098399997</v>
      </c>
      <c r="BV41" s="1065">
        <v>36485603.219564632</v>
      </c>
      <c r="BW41" s="256"/>
      <c r="BX41" s="1065">
        <v>41881060.098399997</v>
      </c>
      <c r="BY41" s="1065">
        <v>36485603.219564632</v>
      </c>
      <c r="BZ41" s="256"/>
      <c r="CA41" s="1065">
        <v>44604435.312399998</v>
      </c>
      <c r="CB41" s="1065">
        <v>38884850.651819013</v>
      </c>
      <c r="CC41" s="256"/>
      <c r="CD41" s="1065">
        <v>44604435.312399998</v>
      </c>
      <c r="CE41" s="1065">
        <v>38884850.651819013</v>
      </c>
      <c r="CF41" s="256"/>
      <c r="CG41" s="1065">
        <v>44604435.312399998</v>
      </c>
      <c r="CH41" s="1065">
        <v>38884850.651819013</v>
      </c>
      <c r="CI41" s="1684">
        <f t="shared" si="0"/>
        <v>0</v>
      </c>
      <c r="CJ41" s="1065">
        <v>44604435.312399998</v>
      </c>
      <c r="CK41" s="1065">
        <v>38884850.651819013</v>
      </c>
      <c r="CL41" s="256"/>
      <c r="CM41" s="1065">
        <v>44604435.312399998</v>
      </c>
      <c r="CN41" s="1065">
        <v>38888103.822086297</v>
      </c>
      <c r="CO41" s="256"/>
      <c r="CP41" s="207">
        <v>44604435.312399998</v>
      </c>
      <c r="CQ41" s="1065">
        <v>38888103.822086297</v>
      </c>
      <c r="CR41" s="256"/>
      <c r="CS41" s="207">
        <v>44604435.312399998</v>
      </c>
      <c r="CT41" s="1065">
        <v>38892546.372386947</v>
      </c>
      <c r="CU41" s="256"/>
      <c r="CV41" s="1065">
        <v>44604435.312399998</v>
      </c>
      <c r="CW41" s="1065">
        <v>38892546.372386947</v>
      </c>
      <c r="CX41" s="256"/>
      <c r="CY41" s="1065"/>
      <c r="CZ41" s="1065"/>
    </row>
    <row r="42" spans="1:104">
      <c r="A42" s="260">
        <f t="shared" si="1"/>
        <v>35</v>
      </c>
      <c r="B42" s="581">
        <f>'Sched D-1'!B48</f>
        <v>390.51</v>
      </c>
      <c r="C42" s="863" t="str">
        <f>'Sched D-1'!C48</f>
        <v>Leasehold Improvements</v>
      </c>
      <c r="D42" s="290"/>
      <c r="E42" s="583" t="s">
        <v>539</v>
      </c>
      <c r="F42" s="290"/>
      <c r="G42" s="207">
        <f>'Sched D-1'!G48</f>
        <v>93091.32</v>
      </c>
      <c r="H42" s="29"/>
      <c r="I42" s="635" t="s">
        <v>539</v>
      </c>
      <c r="J42" s="29"/>
      <c r="K42" s="207">
        <f>'Sched D-1'!O48</f>
        <v>93091.32</v>
      </c>
      <c r="M42" s="1624">
        <f t="shared" si="5"/>
        <v>0.87194347602411737</v>
      </c>
      <c r="N42" s="1625">
        <f t="shared" si="6"/>
        <v>81170.369148473445</v>
      </c>
      <c r="O42" s="1625">
        <v>81170.369148473445</v>
      </c>
      <c r="Q42" s="1065">
        <v>93091.32</v>
      </c>
      <c r="R42" s="256"/>
      <c r="S42" s="1065">
        <v>93091.32</v>
      </c>
      <c r="T42" s="1686">
        <v>81104.719489077368</v>
      </c>
      <c r="U42" s="256"/>
      <c r="V42" s="1065">
        <v>93091.32</v>
      </c>
      <c r="W42" s="1686">
        <v>81104.719489077368</v>
      </c>
      <c r="X42" s="256"/>
      <c r="Y42" s="1065">
        <v>93091.32</v>
      </c>
      <c r="Z42" s="1686">
        <v>81105.499004262281</v>
      </c>
      <c r="AA42" s="256"/>
      <c r="AB42" s="1065">
        <v>93091.32</v>
      </c>
      <c r="AC42" s="1686">
        <v>81098.930320263142</v>
      </c>
      <c r="AD42" s="256"/>
      <c r="AE42" s="1065">
        <v>93091.32</v>
      </c>
      <c r="AF42" s="1686">
        <v>81098.930320263156</v>
      </c>
      <c r="AG42" s="256"/>
      <c r="AH42" s="1065">
        <v>93091.32</v>
      </c>
      <c r="AI42" s="1686">
        <v>81098.930320263171</v>
      </c>
      <c r="AJ42" s="256"/>
      <c r="AK42" s="1065">
        <v>93091.32</v>
      </c>
      <c r="AL42" s="1686">
        <v>81098.024449368095</v>
      </c>
      <c r="AM42" s="256"/>
      <c r="AN42" s="1065">
        <v>93091.32</v>
      </c>
      <c r="AO42" s="1686">
        <v>81098.543272912022</v>
      </c>
      <c r="AP42" s="256"/>
      <c r="AQ42" s="1065">
        <v>93091.32</v>
      </c>
      <c r="AR42" s="1686">
        <v>81098.543272912022</v>
      </c>
      <c r="AS42" s="256"/>
      <c r="AT42" s="1065">
        <v>93091.32</v>
      </c>
      <c r="AU42" s="1065">
        <v>81098.543272912022</v>
      </c>
      <c r="AV42" s="256"/>
      <c r="AW42" s="1065">
        <v>93091.32</v>
      </c>
      <c r="AX42" s="1065">
        <v>81098.543272912022</v>
      </c>
      <c r="AY42" s="256"/>
      <c r="AZ42" s="1065">
        <v>93091.32</v>
      </c>
      <c r="BA42" s="1065">
        <v>81098.543272912022</v>
      </c>
      <c r="BB42" s="256"/>
      <c r="BC42" s="1065">
        <v>93091.32</v>
      </c>
      <c r="BD42" s="1065">
        <v>81098.543272912022</v>
      </c>
      <c r="BE42" s="256"/>
      <c r="BF42" s="1065">
        <v>93091.32</v>
      </c>
      <c r="BG42" s="1065">
        <v>81098.543272912022</v>
      </c>
      <c r="BH42" s="256"/>
      <c r="BI42" s="1065">
        <v>93091.32</v>
      </c>
      <c r="BJ42" s="1065">
        <v>81098.543272912022</v>
      </c>
      <c r="BK42" s="256"/>
      <c r="BL42" s="1065">
        <v>93091.32</v>
      </c>
      <c r="BM42" s="1065">
        <v>81098.543272912022</v>
      </c>
      <c r="BN42" s="256"/>
      <c r="BO42" s="1065">
        <v>93091.32</v>
      </c>
      <c r="BP42" s="1065">
        <v>81098.543272912022</v>
      </c>
      <c r="BQ42" s="256"/>
      <c r="BR42" s="1065">
        <v>93091.32</v>
      </c>
      <c r="BS42" s="1065">
        <v>81098.543272912022</v>
      </c>
      <c r="BT42" s="256"/>
      <c r="BU42" s="1065">
        <v>93091.32</v>
      </c>
      <c r="BV42" s="1065">
        <v>81098.543272912022</v>
      </c>
      <c r="BW42" s="256"/>
      <c r="BX42" s="1065">
        <v>93091.32</v>
      </c>
      <c r="BY42" s="1065">
        <v>81098.543272912022</v>
      </c>
      <c r="BZ42" s="256"/>
      <c r="CA42" s="1065">
        <v>93091.32</v>
      </c>
      <c r="CB42" s="1065">
        <v>81154.307858133106</v>
      </c>
      <c r="CC42" s="256"/>
      <c r="CD42" s="1065">
        <v>93091.32</v>
      </c>
      <c r="CE42" s="1065">
        <v>81154.307858133106</v>
      </c>
      <c r="CF42" s="256"/>
      <c r="CG42" s="1065">
        <v>93091.32</v>
      </c>
      <c r="CH42" s="1065">
        <v>81154.307858133106</v>
      </c>
      <c r="CI42" s="1684">
        <f t="shared" si="0"/>
        <v>0</v>
      </c>
      <c r="CJ42" s="1065">
        <v>93091.32</v>
      </c>
      <c r="CK42" s="1065">
        <v>81154.307858133106</v>
      </c>
      <c r="CL42" s="256"/>
      <c r="CM42" s="1065">
        <v>93091.32</v>
      </c>
      <c r="CN42" s="1065">
        <v>81161.097360393251</v>
      </c>
      <c r="CO42" s="256"/>
      <c r="CP42" s="207">
        <v>93091.32</v>
      </c>
      <c r="CQ42" s="1065">
        <v>81161.097360393251</v>
      </c>
      <c r="CR42" s="256"/>
      <c r="CS42" s="207">
        <v>93091.32</v>
      </c>
      <c r="CT42" s="1065">
        <v>81170.369148473445</v>
      </c>
      <c r="CU42" s="256"/>
      <c r="CV42" s="1065">
        <v>93091.32</v>
      </c>
      <c r="CW42" s="1065">
        <v>81170.369148473445</v>
      </c>
      <c r="CX42" s="256"/>
      <c r="CY42" s="1065"/>
      <c r="CZ42" s="1065"/>
    </row>
    <row r="43" spans="1:104">
      <c r="A43" s="260">
        <f t="shared" si="1"/>
        <v>36</v>
      </c>
      <c r="B43" s="581">
        <f>'Sched D-1'!B49</f>
        <v>391.01</v>
      </c>
      <c r="C43" s="863" t="str">
        <f>'Sched D-1'!C49</f>
        <v>Office Machines</v>
      </c>
      <c r="D43" s="290"/>
      <c r="E43" s="583" t="s">
        <v>539</v>
      </c>
      <c r="F43" s="290"/>
      <c r="G43" s="207">
        <f>'Sched D-1'!G49</f>
        <v>425978.73</v>
      </c>
      <c r="H43" s="29"/>
      <c r="I43" s="635" t="s">
        <v>539</v>
      </c>
      <c r="J43" s="29"/>
      <c r="K43" s="207">
        <f>'Sched D-1'!O49</f>
        <v>507770.86109999998</v>
      </c>
      <c r="M43" s="1624">
        <f t="shared" si="5"/>
        <v>0.87194347602411748</v>
      </c>
      <c r="N43" s="1625">
        <f t="shared" si="6"/>
        <v>371429.374548539</v>
      </c>
      <c r="O43" s="1625">
        <v>442747.48965129332</v>
      </c>
      <c r="Q43" s="1065">
        <v>475349.72759999998</v>
      </c>
      <c r="R43" s="256"/>
      <c r="S43" s="1065">
        <v>475349.72759999998</v>
      </c>
      <c r="T43" s="1686">
        <v>414142.86870362709</v>
      </c>
      <c r="U43" s="256"/>
      <c r="V43" s="1065">
        <v>475349.72759999998</v>
      </c>
      <c r="W43" s="1686">
        <v>414142.86870362709</v>
      </c>
      <c r="X43" s="256"/>
      <c r="Y43" s="1065">
        <v>475349.72759999998</v>
      </c>
      <c r="Z43" s="1686">
        <v>414146.84912125149</v>
      </c>
      <c r="AA43" s="256"/>
      <c r="AB43" s="1065">
        <v>475349.72759999998</v>
      </c>
      <c r="AC43" s="1686">
        <v>414113.30762511981</v>
      </c>
      <c r="AD43" s="256"/>
      <c r="AE43" s="1065">
        <v>475349.72759999998</v>
      </c>
      <c r="AF43" s="1686">
        <v>414113.30762511981</v>
      </c>
      <c r="AG43" s="256"/>
      <c r="AH43" s="1065">
        <v>475349.72759999998</v>
      </c>
      <c r="AI43" s="1686">
        <v>414113.30762511987</v>
      </c>
      <c r="AJ43" s="256"/>
      <c r="AK43" s="1065">
        <v>475349.72759999998</v>
      </c>
      <c r="AL43" s="1686">
        <v>414108.68200069846</v>
      </c>
      <c r="AM43" s="256"/>
      <c r="AN43" s="1065">
        <v>475349.72759999998</v>
      </c>
      <c r="AO43" s="1686">
        <v>414111.33125554066</v>
      </c>
      <c r="AP43" s="256"/>
      <c r="AQ43" s="1065">
        <v>475349.72759999998</v>
      </c>
      <c r="AR43" s="1686">
        <v>414111.33125554066</v>
      </c>
      <c r="AS43" s="256"/>
      <c r="AT43" s="1065">
        <v>475349.72759999998</v>
      </c>
      <c r="AU43" s="1065">
        <v>414111.33125554066</v>
      </c>
      <c r="AV43" s="256"/>
      <c r="AW43" s="1065">
        <v>475349.72759999998</v>
      </c>
      <c r="AX43" s="1065">
        <v>414111.33125554066</v>
      </c>
      <c r="AY43" s="256"/>
      <c r="AZ43" s="1065">
        <v>475349.72759999998</v>
      </c>
      <c r="BA43" s="1065">
        <v>414111.33125554066</v>
      </c>
      <c r="BB43" s="256"/>
      <c r="BC43" s="1065">
        <v>475349.72759999998</v>
      </c>
      <c r="BD43" s="1065">
        <v>414111.33125554066</v>
      </c>
      <c r="BE43" s="256"/>
      <c r="BF43" s="1065">
        <v>475349.72759999998</v>
      </c>
      <c r="BG43" s="1065">
        <v>414111.33125554066</v>
      </c>
      <c r="BH43" s="256"/>
      <c r="BI43" s="1065">
        <v>475349.72759999998</v>
      </c>
      <c r="BJ43" s="1065">
        <v>414111.33125554066</v>
      </c>
      <c r="BK43" s="256"/>
      <c r="BL43" s="1065">
        <v>475349.72759999998</v>
      </c>
      <c r="BM43" s="1065">
        <v>414111.33125554066</v>
      </c>
      <c r="BN43" s="256"/>
      <c r="BO43" s="1065">
        <v>475349.72759999998</v>
      </c>
      <c r="BP43" s="1065">
        <v>414111.33125554066</v>
      </c>
      <c r="BQ43" s="256"/>
      <c r="BR43" s="1065">
        <v>475349.72759999998</v>
      </c>
      <c r="BS43" s="1065">
        <v>414111.33125554066</v>
      </c>
      <c r="BT43" s="256"/>
      <c r="BU43" s="1065">
        <v>475349.72759999998</v>
      </c>
      <c r="BV43" s="1065">
        <v>414111.33125554066</v>
      </c>
      <c r="BW43" s="256"/>
      <c r="BX43" s="1065">
        <v>475349.72759999998</v>
      </c>
      <c r="BY43" s="1065">
        <v>414111.33125554066</v>
      </c>
      <c r="BZ43" s="256"/>
      <c r="CA43" s="1065">
        <v>507770.86109999998</v>
      </c>
      <c r="CB43" s="1065">
        <v>442659.88260880538</v>
      </c>
      <c r="CC43" s="256"/>
      <c r="CD43" s="1065">
        <v>507770.86109999998</v>
      </c>
      <c r="CE43" s="1065">
        <v>442659.88260880538</v>
      </c>
      <c r="CF43" s="256"/>
      <c r="CG43" s="1065">
        <v>507770.86109999998</v>
      </c>
      <c r="CH43" s="1065">
        <v>442659.88260880538</v>
      </c>
      <c r="CI43" s="1684">
        <f t="shared" si="0"/>
        <v>0</v>
      </c>
      <c r="CJ43" s="1065">
        <v>507770.86109999998</v>
      </c>
      <c r="CK43" s="1065">
        <v>442659.88260880538</v>
      </c>
      <c r="CL43" s="256"/>
      <c r="CM43" s="1065">
        <v>507770.86109999998</v>
      </c>
      <c r="CN43" s="1065">
        <v>442696.91625930124</v>
      </c>
      <c r="CO43" s="256"/>
      <c r="CP43" s="207">
        <v>507770.86109999998</v>
      </c>
      <c r="CQ43" s="1065">
        <v>442696.91625930124</v>
      </c>
      <c r="CR43" s="256"/>
      <c r="CS43" s="207">
        <v>507770.86109999998</v>
      </c>
      <c r="CT43" s="1065">
        <v>442747.48965129332</v>
      </c>
      <c r="CU43" s="256"/>
      <c r="CV43" s="1065">
        <v>507770.86109999998</v>
      </c>
      <c r="CW43" s="1065">
        <v>442747.48965129332</v>
      </c>
      <c r="CX43" s="256"/>
      <c r="CY43" s="1065"/>
      <c r="CZ43" s="1065"/>
    </row>
    <row r="44" spans="1:104">
      <c r="A44" s="260">
        <f t="shared" si="1"/>
        <v>37</v>
      </c>
      <c r="B44" s="581">
        <f>'Sched D-1'!B50</f>
        <v>391.02</v>
      </c>
      <c r="C44" s="863" t="str">
        <f>'Sched D-1'!C50</f>
        <v>Office Furniture</v>
      </c>
      <c r="D44" s="290"/>
      <c r="E44" s="583" t="s">
        <v>539</v>
      </c>
      <c r="F44" s="290"/>
      <c r="G44" s="207">
        <f>'Sched D-1'!G50</f>
        <v>0</v>
      </c>
      <c r="H44" s="29"/>
      <c r="I44" s="635" t="s">
        <v>539</v>
      </c>
      <c r="J44" s="29"/>
      <c r="K44" s="207">
        <f>'Sched D-1'!O50</f>
        <v>0</v>
      </c>
      <c r="M44" s="1624">
        <f t="shared" si="5"/>
        <v>0</v>
      </c>
      <c r="N44" s="1625">
        <f t="shared" si="6"/>
        <v>0</v>
      </c>
      <c r="O44" s="1625">
        <v>0</v>
      </c>
      <c r="Q44" s="1065">
        <v>0</v>
      </c>
      <c r="R44" s="256"/>
      <c r="S44" s="1065">
        <v>0</v>
      </c>
      <c r="T44" s="1686">
        <v>0</v>
      </c>
      <c r="U44" s="256"/>
      <c r="V44" s="1065">
        <v>0</v>
      </c>
      <c r="W44" s="1686">
        <v>0</v>
      </c>
      <c r="X44" s="256"/>
      <c r="Y44" s="1065">
        <v>0</v>
      </c>
      <c r="Z44" s="1686">
        <v>0</v>
      </c>
      <c r="AA44" s="256"/>
      <c r="AB44" s="1065">
        <v>0</v>
      </c>
      <c r="AC44" s="1686">
        <v>0</v>
      </c>
      <c r="AD44" s="256"/>
      <c r="AE44" s="1065">
        <v>0</v>
      </c>
      <c r="AF44" s="1686">
        <v>0</v>
      </c>
      <c r="AG44" s="256"/>
      <c r="AH44" s="1065">
        <v>0</v>
      </c>
      <c r="AI44" s="1686">
        <v>0</v>
      </c>
      <c r="AJ44" s="256"/>
      <c r="AK44" s="1065">
        <v>0</v>
      </c>
      <c r="AL44" s="1686">
        <v>0</v>
      </c>
      <c r="AM44" s="256"/>
      <c r="AN44" s="1065">
        <v>0</v>
      </c>
      <c r="AO44" s="1686">
        <v>0</v>
      </c>
      <c r="AP44" s="256"/>
      <c r="AQ44" s="1065">
        <v>0</v>
      </c>
      <c r="AR44" s="1686">
        <v>0</v>
      </c>
      <c r="AS44" s="256"/>
      <c r="AT44" s="1065">
        <v>0</v>
      </c>
      <c r="AU44" s="1065">
        <v>0</v>
      </c>
      <c r="AV44" s="256"/>
      <c r="AW44" s="1065">
        <v>0</v>
      </c>
      <c r="AX44" s="1065">
        <v>0</v>
      </c>
      <c r="AY44" s="256"/>
      <c r="AZ44" s="1065">
        <v>0</v>
      </c>
      <c r="BA44" s="1065">
        <v>0</v>
      </c>
      <c r="BB44" s="256"/>
      <c r="BC44" s="1065">
        <v>0</v>
      </c>
      <c r="BD44" s="1065">
        <v>0</v>
      </c>
      <c r="BE44" s="256"/>
      <c r="BF44" s="1065">
        <v>0</v>
      </c>
      <c r="BG44" s="1065">
        <v>0</v>
      </c>
      <c r="BH44" s="256"/>
      <c r="BI44" s="1065">
        <v>0</v>
      </c>
      <c r="BJ44" s="1065">
        <v>0</v>
      </c>
      <c r="BK44" s="256"/>
      <c r="BL44" s="1065">
        <v>0</v>
      </c>
      <c r="BM44" s="1065">
        <v>0</v>
      </c>
      <c r="BN44" s="256"/>
      <c r="BO44" s="1065">
        <v>0</v>
      </c>
      <c r="BP44" s="1065">
        <v>0</v>
      </c>
      <c r="BQ44" s="256"/>
      <c r="BR44" s="1065">
        <v>0</v>
      </c>
      <c r="BS44" s="1065">
        <v>0</v>
      </c>
      <c r="BT44" s="256"/>
      <c r="BU44" s="1065">
        <v>0</v>
      </c>
      <c r="BV44" s="1065">
        <v>0</v>
      </c>
      <c r="BW44" s="256"/>
      <c r="BX44" s="1065">
        <v>0</v>
      </c>
      <c r="BY44" s="1065">
        <v>0</v>
      </c>
      <c r="BZ44" s="256"/>
      <c r="CA44" s="1065">
        <v>0</v>
      </c>
      <c r="CB44" s="1065">
        <v>0</v>
      </c>
      <c r="CC44" s="256"/>
      <c r="CD44" s="1065">
        <v>0</v>
      </c>
      <c r="CE44" s="1065">
        <v>0</v>
      </c>
      <c r="CF44" s="256"/>
      <c r="CG44" s="1065">
        <v>0</v>
      </c>
      <c r="CH44" s="1065">
        <v>0</v>
      </c>
      <c r="CI44" s="1684">
        <f t="shared" si="0"/>
        <v>0</v>
      </c>
      <c r="CJ44" s="1065">
        <v>0</v>
      </c>
      <c r="CK44" s="1065">
        <v>0</v>
      </c>
      <c r="CL44" s="256"/>
      <c r="CM44" s="1065">
        <v>0</v>
      </c>
      <c r="CN44" s="1065">
        <v>0</v>
      </c>
      <c r="CO44" s="256"/>
      <c r="CP44" s="207">
        <v>0</v>
      </c>
      <c r="CQ44" s="1065">
        <v>0</v>
      </c>
      <c r="CR44" s="256"/>
      <c r="CS44" s="207">
        <v>0</v>
      </c>
      <c r="CT44" s="1065">
        <v>0</v>
      </c>
      <c r="CU44" s="256"/>
      <c r="CV44" s="1065">
        <v>0</v>
      </c>
      <c r="CW44" s="1065">
        <v>0</v>
      </c>
      <c r="CX44" s="256"/>
      <c r="CY44" s="1065"/>
      <c r="CZ44" s="1065"/>
    </row>
    <row r="45" spans="1:104">
      <c r="A45" s="260">
        <f t="shared" si="1"/>
        <v>38</v>
      </c>
      <c r="B45" s="581">
        <f>'Sched D-1'!B51</f>
        <v>391.03</v>
      </c>
      <c r="C45" s="863" t="str">
        <f>'Sched D-1'!C51</f>
        <v>Computer Hardware</v>
      </c>
      <c r="D45" s="290"/>
      <c r="E45" s="583" t="s">
        <v>539</v>
      </c>
      <c r="F45" s="290"/>
      <c r="G45" s="207">
        <f>'Sched D-1'!G51</f>
        <v>558110.17999999993</v>
      </c>
      <c r="H45" s="29"/>
      <c r="I45" s="635" t="s">
        <v>539</v>
      </c>
      <c r="J45" s="29"/>
      <c r="K45" s="207">
        <f>'Sched D-1'!O51</f>
        <v>639902.31109999993</v>
      </c>
      <c r="M45" s="1624">
        <f t="shared" si="5"/>
        <v>0.87194347602411737</v>
      </c>
      <c r="N45" s="1625">
        <f t="shared" si="6"/>
        <v>486640.53035364579</v>
      </c>
      <c r="O45" s="1625">
        <v>557958.64545640012</v>
      </c>
      <c r="Q45" s="1065">
        <v>607481.17759999994</v>
      </c>
      <c r="R45" s="256"/>
      <c r="S45" s="1065">
        <v>607481.17759999994</v>
      </c>
      <c r="T45" s="1686">
        <v>529260.84305327688</v>
      </c>
      <c r="U45" s="256"/>
      <c r="V45" s="1065">
        <v>607481.17759999994</v>
      </c>
      <c r="W45" s="1686">
        <v>529260.84305327688</v>
      </c>
      <c r="X45" s="256"/>
      <c r="Y45" s="1065">
        <v>607481.17759999994</v>
      </c>
      <c r="Z45" s="1686">
        <v>529265.92989491252</v>
      </c>
      <c r="AA45" s="256"/>
      <c r="AB45" s="1065">
        <v>607481.17759999994</v>
      </c>
      <c r="AC45" s="1686">
        <v>529223.06497591618</v>
      </c>
      <c r="AD45" s="256"/>
      <c r="AE45" s="1065">
        <v>607481.17759999994</v>
      </c>
      <c r="AF45" s="1686">
        <v>529223.06497591618</v>
      </c>
      <c r="AG45" s="256"/>
      <c r="AH45" s="1065">
        <v>607481.17759999994</v>
      </c>
      <c r="AI45" s="1686">
        <v>529223.06497591618</v>
      </c>
      <c r="AJ45" s="256"/>
      <c r="AK45" s="1065">
        <v>607481.17759999994</v>
      </c>
      <c r="AL45" s="1686">
        <v>529217.15358140494</v>
      </c>
      <c r="AM45" s="256"/>
      <c r="AN45" s="1065">
        <v>607481.17759999994</v>
      </c>
      <c r="AO45" s="1686">
        <v>529220.53924117889</v>
      </c>
      <c r="AP45" s="256"/>
      <c r="AQ45" s="1065">
        <v>607481.17759999994</v>
      </c>
      <c r="AR45" s="1686">
        <v>529220.53924117889</v>
      </c>
      <c r="AS45" s="256"/>
      <c r="AT45" s="1065">
        <v>607481.17759999994</v>
      </c>
      <c r="AU45" s="1065">
        <v>529220.53924117889</v>
      </c>
      <c r="AV45" s="256"/>
      <c r="AW45" s="1065">
        <v>607481.17759999994</v>
      </c>
      <c r="AX45" s="1065">
        <v>529220.53924117889</v>
      </c>
      <c r="AY45" s="256"/>
      <c r="AZ45" s="1065">
        <v>607481.17759999994</v>
      </c>
      <c r="BA45" s="1065">
        <v>529220.53924117889</v>
      </c>
      <c r="BB45" s="256"/>
      <c r="BC45" s="1065">
        <v>607481.17759999994</v>
      </c>
      <c r="BD45" s="1065">
        <v>529220.53924117889</v>
      </c>
      <c r="BE45" s="256"/>
      <c r="BF45" s="1065">
        <v>607481.17759999994</v>
      </c>
      <c r="BG45" s="1065">
        <v>529220.53924117889</v>
      </c>
      <c r="BH45" s="256"/>
      <c r="BI45" s="1065">
        <v>607481.17759999994</v>
      </c>
      <c r="BJ45" s="1065">
        <v>529220.53924117889</v>
      </c>
      <c r="BK45" s="256"/>
      <c r="BL45" s="1065">
        <v>607481.17759999994</v>
      </c>
      <c r="BM45" s="1065">
        <v>529220.53924117889</v>
      </c>
      <c r="BN45" s="256"/>
      <c r="BO45" s="1065">
        <v>607481.17759999994</v>
      </c>
      <c r="BP45" s="1065">
        <v>529220.53924117889</v>
      </c>
      <c r="BQ45" s="256"/>
      <c r="BR45" s="1065">
        <v>607481.17759999994</v>
      </c>
      <c r="BS45" s="1065">
        <v>529220.53924117889</v>
      </c>
      <c r="BT45" s="256"/>
      <c r="BU45" s="1065">
        <v>607481.17759999994</v>
      </c>
      <c r="BV45" s="1065">
        <v>529220.53924117889</v>
      </c>
      <c r="BW45" s="256"/>
      <c r="BX45" s="1065">
        <v>607481.17759999994</v>
      </c>
      <c r="BY45" s="1065">
        <v>529220.53924117889</v>
      </c>
      <c r="BZ45" s="256"/>
      <c r="CA45" s="1065">
        <v>639902.31109999993</v>
      </c>
      <c r="CB45" s="1065">
        <v>557848.24142723787</v>
      </c>
      <c r="CC45" s="256"/>
      <c r="CD45" s="1065">
        <v>639902.31109999993</v>
      </c>
      <c r="CE45" s="1065">
        <v>557848.24142723787</v>
      </c>
      <c r="CF45" s="256"/>
      <c r="CG45" s="1065">
        <v>639902.31109999993</v>
      </c>
      <c r="CH45" s="1065">
        <v>557848.24142723787</v>
      </c>
      <c r="CI45" s="1684">
        <f t="shared" si="0"/>
        <v>0</v>
      </c>
      <c r="CJ45" s="1065">
        <v>639902.31109999993</v>
      </c>
      <c r="CK45" s="1065">
        <v>557848.24142723787</v>
      </c>
      <c r="CL45" s="256"/>
      <c r="CM45" s="1065">
        <v>639902.31109999993</v>
      </c>
      <c r="CN45" s="1065">
        <v>557894.91192441725</v>
      </c>
      <c r="CO45" s="256"/>
      <c r="CP45" s="207">
        <v>639902.31109999993</v>
      </c>
      <c r="CQ45" s="1065">
        <v>557894.91192441725</v>
      </c>
      <c r="CR45" s="256"/>
      <c r="CS45" s="207">
        <v>639902.31109999993</v>
      </c>
      <c r="CT45" s="1065">
        <v>557958.64545640012</v>
      </c>
      <c r="CU45" s="256"/>
      <c r="CV45" s="1065">
        <v>639902.31109999993</v>
      </c>
      <c r="CW45" s="1065">
        <v>557958.64545640012</v>
      </c>
      <c r="CX45" s="256"/>
      <c r="CY45" s="1065"/>
      <c r="CZ45" s="1065"/>
    </row>
    <row r="46" spans="1:104">
      <c r="A46" s="260">
        <f t="shared" si="1"/>
        <v>39</v>
      </c>
      <c r="B46" s="581">
        <f>'Sched D-1'!B52</f>
        <v>391.04</v>
      </c>
      <c r="C46" s="863" t="str">
        <f>'Sched D-1'!C52</f>
        <v>Software</v>
      </c>
      <c r="D46" s="290"/>
      <c r="E46" s="583" t="s">
        <v>539</v>
      </c>
      <c r="F46" s="290"/>
      <c r="G46" s="207">
        <f>'Sched D-1'!G52</f>
        <v>170100</v>
      </c>
      <c r="H46" s="29"/>
      <c r="I46" s="635" t="s">
        <v>539</v>
      </c>
      <c r="J46" s="29"/>
      <c r="K46" s="207">
        <f>'Sched D-1'!O52</f>
        <v>723580.82000000007</v>
      </c>
      <c r="M46" s="1624">
        <f t="shared" si="5"/>
        <v>0.87194347602411737</v>
      </c>
      <c r="N46" s="1625">
        <f t="shared" si="6"/>
        <v>148317.58527170235</v>
      </c>
      <c r="O46" s="1625">
        <v>630921.57537518127</v>
      </c>
      <c r="Q46" s="1065">
        <v>714846.52</v>
      </c>
      <c r="R46" s="256"/>
      <c r="S46" s="1065">
        <v>714846.52</v>
      </c>
      <c r="T46" s="1686">
        <v>622801.6369554447</v>
      </c>
      <c r="U46" s="256"/>
      <c r="V46" s="1065">
        <v>714846.52</v>
      </c>
      <c r="W46" s="1686">
        <v>622801.6369554447</v>
      </c>
      <c r="X46" s="256"/>
      <c r="Y46" s="1065">
        <v>714846.52</v>
      </c>
      <c r="Z46" s="1686">
        <v>622807.62283809436</v>
      </c>
      <c r="AA46" s="256"/>
      <c r="AB46" s="1065">
        <v>714846.52</v>
      </c>
      <c r="AC46" s="1686">
        <v>622757.18203547446</v>
      </c>
      <c r="AD46" s="256"/>
      <c r="AE46" s="1065">
        <v>714846.52</v>
      </c>
      <c r="AF46" s="1686">
        <v>622757.18203547446</v>
      </c>
      <c r="AG46" s="256"/>
      <c r="AH46" s="1065">
        <v>714846.52</v>
      </c>
      <c r="AI46" s="1686">
        <v>622757.18203547457</v>
      </c>
      <c r="AJ46" s="256"/>
      <c r="AK46" s="1065">
        <v>714846.52</v>
      </c>
      <c r="AL46" s="1686">
        <v>622750.22586966981</v>
      </c>
      <c r="AM46" s="256"/>
      <c r="AN46" s="1065">
        <v>714846.52</v>
      </c>
      <c r="AO46" s="1686">
        <v>622754.20990604244</v>
      </c>
      <c r="AP46" s="256"/>
      <c r="AQ46" s="1065">
        <v>714846.52</v>
      </c>
      <c r="AR46" s="1686">
        <v>622754.20990604255</v>
      </c>
      <c r="AS46" s="256"/>
      <c r="AT46" s="1065">
        <v>714846.52</v>
      </c>
      <c r="AU46" s="1065">
        <v>622754.20990604244</v>
      </c>
      <c r="AV46" s="256"/>
      <c r="AW46" s="1065">
        <v>714846.52</v>
      </c>
      <c r="AX46" s="1065">
        <v>622754.20990604244</v>
      </c>
      <c r="AY46" s="256"/>
      <c r="AZ46" s="1065">
        <v>714846.52</v>
      </c>
      <c r="BA46" s="1065">
        <v>622754.20990604255</v>
      </c>
      <c r="BB46" s="256"/>
      <c r="BC46" s="1065">
        <v>714846.52</v>
      </c>
      <c r="BD46" s="1065">
        <v>622754.20990604255</v>
      </c>
      <c r="BE46" s="256"/>
      <c r="BF46" s="1065">
        <v>714846.52</v>
      </c>
      <c r="BG46" s="1065">
        <v>622754.20990604244</v>
      </c>
      <c r="BH46" s="256"/>
      <c r="BI46" s="1065">
        <v>714846.52</v>
      </c>
      <c r="BJ46" s="1065">
        <v>622754.20990604255</v>
      </c>
      <c r="BK46" s="256"/>
      <c r="BL46" s="1065">
        <v>714846.52</v>
      </c>
      <c r="BM46" s="1065">
        <v>622754.20990604244</v>
      </c>
      <c r="BN46" s="256"/>
      <c r="BO46" s="1065">
        <v>714846.52</v>
      </c>
      <c r="BP46" s="1065">
        <v>622754.20990604244</v>
      </c>
      <c r="BQ46" s="256"/>
      <c r="BR46" s="1065">
        <v>714846.52</v>
      </c>
      <c r="BS46" s="1065">
        <v>622754.20990604244</v>
      </c>
      <c r="BT46" s="256"/>
      <c r="BU46" s="1065">
        <v>714846.52</v>
      </c>
      <c r="BV46" s="1065">
        <v>622754.20990604244</v>
      </c>
      <c r="BW46" s="256"/>
      <c r="BX46" s="1065">
        <v>714846.52</v>
      </c>
      <c r="BY46" s="1065">
        <v>622754.20990604255</v>
      </c>
      <c r="BZ46" s="256"/>
      <c r="CA46" s="1065">
        <v>723580.82000000007</v>
      </c>
      <c r="CB46" s="1065">
        <v>630796.73407274054</v>
      </c>
      <c r="CC46" s="256"/>
      <c r="CD46" s="1065">
        <v>723580.82000000007</v>
      </c>
      <c r="CE46" s="1065">
        <v>630796.73407274054</v>
      </c>
      <c r="CF46" s="256"/>
      <c r="CG46" s="1065">
        <v>723580.82000000007</v>
      </c>
      <c r="CH46" s="1065">
        <v>630796.73407274054</v>
      </c>
      <c r="CI46" s="1684">
        <f t="shared" si="0"/>
        <v>0</v>
      </c>
      <c r="CJ46" s="1065">
        <v>723580.82000000007</v>
      </c>
      <c r="CK46" s="1065">
        <v>630796.73407274054</v>
      </c>
      <c r="CL46" s="256"/>
      <c r="CM46" s="1065">
        <v>723580.82000000007</v>
      </c>
      <c r="CN46" s="1065">
        <v>630849.50756024499</v>
      </c>
      <c r="CO46" s="256"/>
      <c r="CP46" s="207">
        <v>723580.82000000007</v>
      </c>
      <c r="CQ46" s="1065">
        <v>630849.50756024499</v>
      </c>
      <c r="CR46" s="256"/>
      <c r="CS46" s="207">
        <v>723580.82000000007</v>
      </c>
      <c r="CT46" s="1065">
        <v>630921.57537518127</v>
      </c>
      <c r="CU46" s="256"/>
      <c r="CV46" s="1065">
        <v>723580.82000000007</v>
      </c>
      <c r="CW46" s="1065">
        <v>630921.57537518127</v>
      </c>
      <c r="CX46" s="256"/>
      <c r="CY46" s="1065"/>
      <c r="CZ46" s="1065"/>
    </row>
    <row r="47" spans="1:104">
      <c r="A47" s="260">
        <f t="shared" si="1"/>
        <v>40</v>
      </c>
      <c r="B47" s="581">
        <f>'Sched D-1'!B53</f>
        <v>391.05</v>
      </c>
      <c r="C47" s="863" t="str">
        <f>'Sched D-1'!C53</f>
        <v>System Development</v>
      </c>
      <c r="D47" s="290"/>
      <c r="E47" s="583" t="s">
        <v>539</v>
      </c>
      <c r="F47" s="290"/>
      <c r="G47" s="207">
        <f>'Sched D-1'!G53</f>
        <v>0</v>
      </c>
      <c r="H47" s="29"/>
      <c r="I47" s="635" t="s">
        <v>539</v>
      </c>
      <c r="J47" s="29"/>
      <c r="K47" s="207">
        <f>'Sched D-1'!O53</f>
        <v>0</v>
      </c>
      <c r="M47" s="1624">
        <f t="shared" si="5"/>
        <v>0</v>
      </c>
      <c r="N47" s="1625">
        <f t="shared" si="6"/>
        <v>0</v>
      </c>
      <c r="O47" s="1625">
        <v>0</v>
      </c>
      <c r="Q47" s="1065">
        <v>0</v>
      </c>
      <c r="R47" s="256"/>
      <c r="S47" s="1065">
        <v>0</v>
      </c>
      <c r="T47" s="1686">
        <v>0</v>
      </c>
      <c r="U47" s="256"/>
      <c r="V47" s="1065">
        <v>0</v>
      </c>
      <c r="W47" s="1686">
        <v>0</v>
      </c>
      <c r="X47" s="256"/>
      <c r="Y47" s="1065">
        <v>0</v>
      </c>
      <c r="Z47" s="1686">
        <v>0</v>
      </c>
      <c r="AA47" s="256"/>
      <c r="AB47" s="1065">
        <v>0</v>
      </c>
      <c r="AC47" s="1686">
        <v>0</v>
      </c>
      <c r="AD47" s="256"/>
      <c r="AE47" s="1065">
        <v>0</v>
      </c>
      <c r="AF47" s="1686">
        <v>0</v>
      </c>
      <c r="AG47" s="256"/>
      <c r="AH47" s="1065">
        <v>0</v>
      </c>
      <c r="AI47" s="1686">
        <v>0</v>
      </c>
      <c r="AJ47" s="256"/>
      <c r="AK47" s="1065">
        <v>0</v>
      </c>
      <c r="AL47" s="1686">
        <v>0</v>
      </c>
      <c r="AM47" s="256"/>
      <c r="AN47" s="1065">
        <v>0</v>
      </c>
      <c r="AO47" s="1686">
        <v>0</v>
      </c>
      <c r="AP47" s="256"/>
      <c r="AQ47" s="1065">
        <v>0</v>
      </c>
      <c r="AR47" s="1686">
        <v>0</v>
      </c>
      <c r="AS47" s="256"/>
      <c r="AT47" s="1065">
        <v>0</v>
      </c>
      <c r="AU47" s="1065">
        <v>0</v>
      </c>
      <c r="AV47" s="256"/>
      <c r="AW47" s="1065">
        <v>0</v>
      </c>
      <c r="AX47" s="1065">
        <v>0</v>
      </c>
      <c r="AY47" s="256"/>
      <c r="AZ47" s="1065">
        <v>0</v>
      </c>
      <c r="BA47" s="1065">
        <v>0</v>
      </c>
      <c r="BB47" s="256"/>
      <c r="BC47" s="1065">
        <v>0</v>
      </c>
      <c r="BD47" s="1065">
        <v>0</v>
      </c>
      <c r="BE47" s="256"/>
      <c r="BF47" s="1065">
        <v>0</v>
      </c>
      <c r="BG47" s="1065">
        <v>0</v>
      </c>
      <c r="BH47" s="256"/>
      <c r="BI47" s="1065">
        <v>0</v>
      </c>
      <c r="BJ47" s="1065">
        <v>0</v>
      </c>
      <c r="BK47" s="256"/>
      <c r="BL47" s="1065">
        <v>0</v>
      </c>
      <c r="BM47" s="1065">
        <v>0</v>
      </c>
      <c r="BN47" s="256"/>
      <c r="BO47" s="1065">
        <v>0</v>
      </c>
      <c r="BP47" s="1065">
        <v>0</v>
      </c>
      <c r="BQ47" s="256"/>
      <c r="BR47" s="1065">
        <v>0</v>
      </c>
      <c r="BS47" s="1065">
        <v>0</v>
      </c>
      <c r="BT47" s="256"/>
      <c r="BU47" s="1065">
        <v>0</v>
      </c>
      <c r="BV47" s="1065">
        <v>0</v>
      </c>
      <c r="BW47" s="256"/>
      <c r="BX47" s="1065">
        <v>0</v>
      </c>
      <c r="BY47" s="1065">
        <v>0</v>
      </c>
      <c r="BZ47" s="256"/>
      <c r="CA47" s="1065">
        <v>0</v>
      </c>
      <c r="CB47" s="1065">
        <v>0</v>
      </c>
      <c r="CC47" s="256"/>
      <c r="CD47" s="1065">
        <v>0</v>
      </c>
      <c r="CE47" s="1065">
        <v>0</v>
      </c>
      <c r="CF47" s="256"/>
      <c r="CG47" s="1065">
        <v>0</v>
      </c>
      <c r="CH47" s="1065">
        <v>0</v>
      </c>
      <c r="CI47" s="1684">
        <f t="shared" si="0"/>
        <v>0</v>
      </c>
      <c r="CJ47" s="1065">
        <v>0</v>
      </c>
      <c r="CK47" s="1065">
        <v>0</v>
      </c>
      <c r="CL47" s="256"/>
      <c r="CM47" s="1065">
        <v>0</v>
      </c>
      <c r="CN47" s="1065">
        <v>0</v>
      </c>
      <c r="CO47" s="256"/>
      <c r="CP47" s="207">
        <v>0</v>
      </c>
      <c r="CQ47" s="1065">
        <v>0</v>
      </c>
      <c r="CR47" s="256"/>
      <c r="CS47" s="207">
        <v>0</v>
      </c>
      <c r="CT47" s="1065">
        <v>0</v>
      </c>
      <c r="CU47" s="256"/>
      <c r="CV47" s="1065">
        <v>0</v>
      </c>
      <c r="CW47" s="1065">
        <v>0</v>
      </c>
      <c r="CX47" s="256"/>
      <c r="CY47" s="1065"/>
      <c r="CZ47" s="1065"/>
    </row>
    <row r="48" spans="1:104">
      <c r="A48" s="260">
        <f>A47+1</f>
        <v>41</v>
      </c>
      <c r="B48" s="581">
        <f>'Sched D-1'!B54</f>
        <v>391.07</v>
      </c>
      <c r="C48" s="863" t="str">
        <f>'Sched D-1'!C54</f>
        <v>Ipad Hardware</v>
      </c>
      <c r="D48" s="290"/>
      <c r="E48" s="583" t="s">
        <v>539</v>
      </c>
      <c r="F48" s="290"/>
      <c r="G48" s="207">
        <f>'Sched D-1'!G54</f>
        <v>611478.77</v>
      </c>
      <c r="H48" s="29"/>
      <c r="I48" s="635" t="s">
        <v>539</v>
      </c>
      <c r="J48" s="29"/>
      <c r="K48" s="207">
        <f>'Sched D-1'!O54</f>
        <v>611478.77</v>
      </c>
      <c r="M48" s="1624">
        <f t="shared" si="5"/>
        <v>0.87194347602411737</v>
      </c>
      <c r="N48" s="1625">
        <f t="shared" si="6"/>
        <v>533174.9242287518</v>
      </c>
      <c r="O48" s="1625">
        <v>533174.9242287518</v>
      </c>
      <c r="Q48" s="1065">
        <v>611478.77</v>
      </c>
      <c r="R48" s="256"/>
      <c r="S48" s="1065">
        <v>611478.77</v>
      </c>
      <c r="T48" s="1686">
        <v>532743.69849279243</v>
      </c>
      <c r="U48" s="256"/>
      <c r="V48" s="1065">
        <v>611478.77</v>
      </c>
      <c r="W48" s="1686">
        <v>532743.69849279243</v>
      </c>
      <c r="X48" s="256"/>
      <c r="Y48" s="1065">
        <v>611478.77</v>
      </c>
      <c r="Z48" s="1686">
        <v>532748.81880891288</v>
      </c>
      <c r="AA48" s="256"/>
      <c r="AB48" s="1065">
        <v>611478.77</v>
      </c>
      <c r="AC48" s="1686">
        <v>532705.67181290605</v>
      </c>
      <c r="AD48" s="256"/>
      <c r="AE48" s="1065">
        <v>611478.77</v>
      </c>
      <c r="AF48" s="1686">
        <v>532705.67181290616</v>
      </c>
      <c r="AG48" s="256"/>
      <c r="AH48" s="1065">
        <v>611478.77</v>
      </c>
      <c r="AI48" s="1686">
        <v>532705.67181290616</v>
      </c>
      <c r="AJ48" s="256"/>
      <c r="AK48" s="1065">
        <v>611478.77</v>
      </c>
      <c r="AL48" s="1686">
        <v>532699.72151785507</v>
      </c>
      <c r="AM48" s="256"/>
      <c r="AN48" s="1065">
        <v>611478.77</v>
      </c>
      <c r="AO48" s="1686">
        <v>532703.12945731147</v>
      </c>
      <c r="AP48" s="256"/>
      <c r="AQ48" s="1065">
        <v>611478.77</v>
      </c>
      <c r="AR48" s="1686">
        <v>532703.12945731159</v>
      </c>
      <c r="AS48" s="256"/>
      <c r="AT48" s="1065">
        <v>611478.77</v>
      </c>
      <c r="AU48" s="1065">
        <v>532703.12945731147</v>
      </c>
      <c r="AV48" s="256"/>
      <c r="AW48" s="1065">
        <v>611478.77</v>
      </c>
      <c r="AX48" s="1065">
        <v>532703.12945731147</v>
      </c>
      <c r="AY48" s="256"/>
      <c r="AZ48" s="1065">
        <v>611478.77</v>
      </c>
      <c r="BA48" s="1065">
        <v>532703.12945731159</v>
      </c>
      <c r="BB48" s="256"/>
      <c r="BC48" s="1065">
        <v>611478.77</v>
      </c>
      <c r="BD48" s="1065">
        <v>532703.12945731159</v>
      </c>
      <c r="BE48" s="256"/>
      <c r="BF48" s="1065">
        <v>611478.77</v>
      </c>
      <c r="BG48" s="1065">
        <v>532703.12945731147</v>
      </c>
      <c r="BH48" s="256"/>
      <c r="BI48" s="1065">
        <v>611478.77</v>
      </c>
      <c r="BJ48" s="1065">
        <v>532703.12945731159</v>
      </c>
      <c r="BK48" s="256"/>
      <c r="BL48" s="1065">
        <v>611478.77</v>
      </c>
      <c r="BM48" s="1065">
        <v>532703.12945731147</v>
      </c>
      <c r="BN48" s="256"/>
      <c r="BO48" s="1065">
        <v>611478.77</v>
      </c>
      <c r="BP48" s="1065">
        <v>532703.12945731147</v>
      </c>
      <c r="BQ48" s="256"/>
      <c r="BR48" s="1065">
        <v>611478.77</v>
      </c>
      <c r="BS48" s="1065">
        <v>532703.12945731147</v>
      </c>
      <c r="BT48" s="256"/>
      <c r="BU48" s="1065">
        <v>611478.77</v>
      </c>
      <c r="BV48" s="1065">
        <v>532703.12945731147</v>
      </c>
      <c r="BW48" s="256"/>
      <c r="BX48" s="1065">
        <v>611478.77</v>
      </c>
      <c r="BY48" s="1065">
        <v>532703.12945731159</v>
      </c>
      <c r="BZ48" s="256"/>
      <c r="CA48" s="1065">
        <v>611478.77</v>
      </c>
      <c r="CB48" s="1065">
        <v>533069.42418791098</v>
      </c>
      <c r="CC48" s="256"/>
      <c r="CD48" s="1065">
        <v>611478.77</v>
      </c>
      <c r="CE48" s="1065">
        <v>533069.42418791098</v>
      </c>
      <c r="CF48" s="256"/>
      <c r="CG48" s="1065">
        <v>611478.77</v>
      </c>
      <c r="CH48" s="1065">
        <v>533069.42418791098</v>
      </c>
      <c r="CI48" s="1684">
        <f t="shared" si="0"/>
        <v>0</v>
      </c>
      <c r="CJ48" s="1065">
        <v>611478.77</v>
      </c>
      <c r="CK48" s="1065">
        <v>533069.42418791098</v>
      </c>
      <c r="CL48" s="256"/>
      <c r="CM48" s="1065">
        <v>611478.77</v>
      </c>
      <c r="CN48" s="1065">
        <v>533114.02164867264</v>
      </c>
      <c r="CO48" s="256"/>
      <c r="CP48" s="207">
        <v>611478.77</v>
      </c>
      <c r="CQ48" s="1065">
        <v>533114.02164867264</v>
      </c>
      <c r="CR48" s="256"/>
      <c r="CS48" s="207">
        <v>611478.77</v>
      </c>
      <c r="CT48" s="1065">
        <v>533174.9242287518</v>
      </c>
      <c r="CU48" s="256"/>
      <c r="CV48" s="1065">
        <v>611478.77</v>
      </c>
      <c r="CW48" s="1065">
        <v>533174.9242287518</v>
      </c>
      <c r="CX48" s="256"/>
      <c r="CY48" s="1065"/>
      <c r="CZ48" s="1065"/>
    </row>
    <row r="49" spans="1:104">
      <c r="A49" s="260">
        <f t="shared" si="1"/>
        <v>42</v>
      </c>
      <c r="B49" s="581">
        <f>'Sched D-1'!B55</f>
        <v>392.01</v>
      </c>
      <c r="C49" s="863" t="str">
        <f>'Sched D-1'!C55</f>
        <v>Transportation Equipment</v>
      </c>
      <c r="D49" s="290"/>
      <c r="E49" s="583" t="s">
        <v>539</v>
      </c>
      <c r="F49" s="290"/>
      <c r="G49" s="207">
        <f>'Sched D-1'!G55</f>
        <v>0</v>
      </c>
      <c r="H49" s="29"/>
      <c r="I49" s="635" t="s">
        <v>539</v>
      </c>
      <c r="J49" s="29"/>
      <c r="K49" s="207">
        <f>'Sched D-1'!O55</f>
        <v>0</v>
      </c>
      <c r="M49" s="1624">
        <f t="shared" si="5"/>
        <v>0</v>
      </c>
      <c r="N49" s="1625">
        <f t="shared" si="6"/>
        <v>0</v>
      </c>
      <c r="O49" s="1625">
        <v>0</v>
      </c>
      <c r="Q49" s="1065">
        <v>0</v>
      </c>
      <c r="R49" s="256"/>
      <c r="S49" s="1065">
        <v>0</v>
      </c>
      <c r="T49" s="1686">
        <v>0</v>
      </c>
      <c r="U49" s="256"/>
      <c r="V49" s="1065">
        <v>0</v>
      </c>
      <c r="W49" s="1686">
        <v>0</v>
      </c>
      <c r="X49" s="256"/>
      <c r="Y49" s="1065">
        <v>0</v>
      </c>
      <c r="Z49" s="1686">
        <v>0</v>
      </c>
      <c r="AA49" s="256"/>
      <c r="AB49" s="1065">
        <v>0</v>
      </c>
      <c r="AC49" s="1686">
        <v>0</v>
      </c>
      <c r="AD49" s="256"/>
      <c r="AE49" s="1065">
        <v>0</v>
      </c>
      <c r="AF49" s="1686">
        <v>0</v>
      </c>
      <c r="AG49" s="256"/>
      <c r="AH49" s="1065">
        <v>0</v>
      </c>
      <c r="AI49" s="1686">
        <v>0</v>
      </c>
      <c r="AJ49" s="256"/>
      <c r="AK49" s="1065">
        <v>0</v>
      </c>
      <c r="AL49" s="1686">
        <v>0</v>
      </c>
      <c r="AM49" s="256"/>
      <c r="AN49" s="1065">
        <v>0</v>
      </c>
      <c r="AO49" s="1686">
        <v>0</v>
      </c>
      <c r="AP49" s="256"/>
      <c r="AQ49" s="1065">
        <v>0</v>
      </c>
      <c r="AR49" s="1686">
        <v>0</v>
      </c>
      <c r="AS49" s="256"/>
      <c r="AT49" s="1065">
        <v>0</v>
      </c>
      <c r="AU49" s="1065">
        <v>0</v>
      </c>
      <c r="AV49" s="256"/>
      <c r="AW49" s="1065">
        <v>0</v>
      </c>
      <c r="AX49" s="1065">
        <v>0</v>
      </c>
      <c r="AY49" s="256"/>
      <c r="AZ49" s="1065">
        <v>0</v>
      </c>
      <c r="BA49" s="1065">
        <v>0</v>
      </c>
      <c r="BB49" s="256"/>
      <c r="BC49" s="1065">
        <v>0</v>
      </c>
      <c r="BD49" s="1065">
        <v>0</v>
      </c>
      <c r="BE49" s="256"/>
      <c r="BF49" s="1065">
        <v>0</v>
      </c>
      <c r="BG49" s="1065">
        <v>0</v>
      </c>
      <c r="BH49" s="256"/>
      <c r="BI49" s="1065">
        <v>0</v>
      </c>
      <c r="BJ49" s="1065">
        <v>0</v>
      </c>
      <c r="BK49" s="256"/>
      <c r="BL49" s="1065">
        <v>0</v>
      </c>
      <c r="BM49" s="1065">
        <v>0</v>
      </c>
      <c r="BN49" s="256"/>
      <c r="BO49" s="1065">
        <v>0</v>
      </c>
      <c r="BP49" s="1065">
        <v>0</v>
      </c>
      <c r="BQ49" s="256"/>
      <c r="BR49" s="1065">
        <v>0</v>
      </c>
      <c r="BS49" s="1065">
        <v>0</v>
      </c>
      <c r="BT49" s="256"/>
      <c r="BU49" s="1065">
        <v>0</v>
      </c>
      <c r="BV49" s="1065">
        <v>0</v>
      </c>
      <c r="BW49" s="256"/>
      <c r="BX49" s="1065">
        <v>0</v>
      </c>
      <c r="BY49" s="1065">
        <v>0</v>
      </c>
      <c r="BZ49" s="256"/>
      <c r="CA49" s="1065">
        <v>0</v>
      </c>
      <c r="CB49" s="1065">
        <v>0</v>
      </c>
      <c r="CC49" s="256"/>
      <c r="CD49" s="1065">
        <v>0</v>
      </c>
      <c r="CE49" s="1065">
        <v>0</v>
      </c>
      <c r="CF49" s="256"/>
      <c r="CG49" s="1065">
        <v>0</v>
      </c>
      <c r="CH49" s="1065">
        <v>0</v>
      </c>
      <c r="CI49" s="1684">
        <f t="shared" si="0"/>
        <v>0</v>
      </c>
      <c r="CJ49" s="1065">
        <v>0</v>
      </c>
      <c r="CK49" s="1065">
        <v>0</v>
      </c>
      <c r="CL49" s="256"/>
      <c r="CM49" s="1065">
        <v>0</v>
      </c>
      <c r="CN49" s="1065">
        <v>0</v>
      </c>
      <c r="CO49" s="256"/>
      <c r="CP49" s="207">
        <v>0</v>
      </c>
      <c r="CQ49" s="1065">
        <v>0</v>
      </c>
      <c r="CR49" s="256"/>
      <c r="CS49" s="207">
        <v>0</v>
      </c>
      <c r="CT49" s="1065">
        <v>0</v>
      </c>
      <c r="CU49" s="256"/>
      <c r="CV49" s="1065">
        <v>0</v>
      </c>
      <c r="CW49" s="1065">
        <v>0</v>
      </c>
      <c r="CX49" s="256"/>
      <c r="CY49" s="1065"/>
      <c r="CZ49" s="1065"/>
    </row>
    <row r="50" spans="1:104">
      <c r="A50" s="260">
        <f t="shared" si="1"/>
        <v>43</v>
      </c>
      <c r="B50" s="581">
        <f>'Sched D-1'!B56</f>
        <v>392.02</v>
      </c>
      <c r="C50" s="863" t="str">
        <f>'Sched D-1'!C56</f>
        <v>Cars</v>
      </c>
      <c r="D50" s="290"/>
      <c r="E50" s="583" t="s">
        <v>539</v>
      </c>
      <c r="F50" s="290"/>
      <c r="G50" s="207">
        <f>'Sched D-1'!G56</f>
        <v>3878361.2199999997</v>
      </c>
      <c r="H50" s="29"/>
      <c r="I50" s="635" t="s">
        <v>539</v>
      </c>
      <c r="J50" s="29"/>
      <c r="K50" s="207">
        <f>'Sched D-1'!O56</f>
        <v>2919324.9899999998</v>
      </c>
      <c r="M50" s="1624">
        <f t="shared" si="5"/>
        <v>0.87194347602411748</v>
      </c>
      <c r="N50" s="1625">
        <f t="shared" si="6"/>
        <v>3381711.7634439366</v>
      </c>
      <c r="O50" s="1625">
        <v>2545486.3794246716</v>
      </c>
      <c r="Q50" s="1065">
        <v>2919324.9899999998</v>
      </c>
      <c r="R50" s="256"/>
      <c r="S50" s="1065">
        <v>2919324.9899999998</v>
      </c>
      <c r="T50" s="1686">
        <v>2543427.6193677732</v>
      </c>
      <c r="U50" s="256"/>
      <c r="V50" s="1065">
        <v>2919324.9899999998</v>
      </c>
      <c r="W50" s="1686">
        <v>2543427.6193677732</v>
      </c>
      <c r="X50" s="256"/>
      <c r="Y50" s="1065">
        <v>2919324.9899999998</v>
      </c>
      <c r="Z50" s="1686">
        <v>2543452.0648065032</v>
      </c>
      <c r="AA50" s="256"/>
      <c r="AB50" s="1065">
        <v>2919324.9899999998</v>
      </c>
      <c r="AC50" s="1686">
        <v>2543246.072203218</v>
      </c>
      <c r="AD50" s="256"/>
      <c r="AE50" s="1065">
        <v>2919324.9899999998</v>
      </c>
      <c r="AF50" s="1686">
        <v>2543246.072203218</v>
      </c>
      <c r="AG50" s="256"/>
      <c r="AH50" s="1065">
        <v>2919324.9899999998</v>
      </c>
      <c r="AI50" s="1686">
        <v>2543246.0722032189</v>
      </c>
      <c r="AJ50" s="256"/>
      <c r="AK50" s="1065">
        <v>2919324.9899999998</v>
      </c>
      <c r="AL50" s="1686">
        <v>2543217.6642749431</v>
      </c>
      <c r="AM50" s="256"/>
      <c r="AN50" s="1065">
        <v>2919324.9899999998</v>
      </c>
      <c r="AO50" s="1686">
        <v>2543233.9344764729</v>
      </c>
      <c r="AP50" s="256"/>
      <c r="AQ50" s="1065">
        <v>2919324.9899999998</v>
      </c>
      <c r="AR50" s="1686">
        <v>2543233.9344764734</v>
      </c>
      <c r="AS50" s="256"/>
      <c r="AT50" s="1065">
        <v>2919324.9899999998</v>
      </c>
      <c r="AU50" s="1065">
        <v>2543233.9344764729</v>
      </c>
      <c r="AV50" s="256"/>
      <c r="AW50" s="1065">
        <v>2919324.9899999998</v>
      </c>
      <c r="AX50" s="1065">
        <v>2543233.9344764729</v>
      </c>
      <c r="AY50" s="256"/>
      <c r="AZ50" s="1065">
        <v>2919324.9899999998</v>
      </c>
      <c r="BA50" s="1065">
        <v>2543233.9344764734</v>
      </c>
      <c r="BB50" s="256"/>
      <c r="BC50" s="1065">
        <v>2919324.9899999998</v>
      </c>
      <c r="BD50" s="1065">
        <v>2543233.9344764734</v>
      </c>
      <c r="BE50" s="256"/>
      <c r="BF50" s="1065">
        <v>2919324.9899999998</v>
      </c>
      <c r="BG50" s="1065">
        <v>2543233.9344764729</v>
      </c>
      <c r="BH50" s="256"/>
      <c r="BI50" s="1065">
        <v>2919324.9899999998</v>
      </c>
      <c r="BJ50" s="1065">
        <v>2543233.9344764734</v>
      </c>
      <c r="BK50" s="256"/>
      <c r="BL50" s="1065">
        <v>2919324.9899999998</v>
      </c>
      <c r="BM50" s="1065">
        <v>2543233.9344764729</v>
      </c>
      <c r="BN50" s="256"/>
      <c r="BO50" s="1065">
        <v>2919324.9899999998</v>
      </c>
      <c r="BP50" s="1065">
        <v>2543233.9344764729</v>
      </c>
      <c r="BQ50" s="256"/>
      <c r="BR50" s="1065">
        <v>2919324.9899999998</v>
      </c>
      <c r="BS50" s="1065">
        <v>2543233.9344764729</v>
      </c>
      <c r="BT50" s="256"/>
      <c r="BU50" s="1065">
        <v>2919324.9899999998</v>
      </c>
      <c r="BV50" s="1065">
        <v>2543233.9344764729</v>
      </c>
      <c r="BW50" s="256"/>
      <c r="BX50" s="1065">
        <v>2919324.9899999998</v>
      </c>
      <c r="BY50" s="1065">
        <v>2543233.9344764734</v>
      </c>
      <c r="BZ50" s="256"/>
      <c r="CA50" s="1065">
        <v>2919324.9899999998</v>
      </c>
      <c r="CB50" s="1065">
        <v>2544982.7006041091</v>
      </c>
      <c r="CC50" s="256"/>
      <c r="CD50" s="1065">
        <v>2919324.9899999998</v>
      </c>
      <c r="CE50" s="1065">
        <v>2544982.7006041091</v>
      </c>
      <c r="CF50" s="256"/>
      <c r="CG50" s="1065">
        <v>2919324.9899999998</v>
      </c>
      <c r="CH50" s="1065">
        <v>2544982.7006041091</v>
      </c>
      <c r="CI50" s="1684">
        <f t="shared" si="0"/>
        <v>0</v>
      </c>
      <c r="CJ50" s="1065">
        <v>2919324.9899999998</v>
      </c>
      <c r="CK50" s="1065">
        <v>2544982.7006041091</v>
      </c>
      <c r="CL50" s="256"/>
      <c r="CM50" s="1065">
        <v>2919324.9899999998</v>
      </c>
      <c r="CN50" s="1065">
        <v>2545195.6180234528</v>
      </c>
      <c r="CO50" s="256"/>
      <c r="CP50" s="207">
        <v>2919324.9899999998</v>
      </c>
      <c r="CQ50" s="1065">
        <v>2545195.6180234528</v>
      </c>
      <c r="CR50" s="256"/>
      <c r="CS50" s="207">
        <v>2919324.9899999998</v>
      </c>
      <c r="CT50" s="1065">
        <v>2545486.3794246716</v>
      </c>
      <c r="CU50" s="256"/>
      <c r="CV50" s="1065">
        <v>2919324.9899999998</v>
      </c>
      <c r="CW50" s="1065">
        <v>2545486.3794246716</v>
      </c>
      <c r="CX50" s="256"/>
      <c r="CY50" s="1065"/>
      <c r="CZ50" s="1065"/>
    </row>
    <row r="51" spans="1:104">
      <c r="A51" s="260">
        <f t="shared" si="1"/>
        <v>44</v>
      </c>
      <c r="B51" s="581">
        <f>'Sched D-1'!B57</f>
        <v>392.03</v>
      </c>
      <c r="C51" s="863" t="str">
        <f>'Sched D-1'!C57</f>
        <v>Light Trucks</v>
      </c>
      <c r="D51" s="290"/>
      <c r="E51" s="583" t="s">
        <v>539</v>
      </c>
      <c r="F51" s="290"/>
      <c r="G51" s="207">
        <f>'Sched D-1'!G57</f>
        <v>17570348.27</v>
      </c>
      <c r="H51" s="29"/>
      <c r="I51" s="635" t="s">
        <v>539</v>
      </c>
      <c r="J51" s="29"/>
      <c r="K51" s="207">
        <f>'Sched D-1'!O57</f>
        <v>20011029.188882001</v>
      </c>
      <c r="M51" s="1624">
        <f t="shared" si="5"/>
        <v>0.87194347602411737</v>
      </c>
      <c r="N51" s="1625">
        <f t="shared" si="6"/>
        <v>15320350.545498136</v>
      </c>
      <c r="O51" s="1625">
        <v>17448486.349773847</v>
      </c>
      <c r="Q51" s="1065">
        <v>20337253.972182997</v>
      </c>
      <c r="R51" s="256"/>
      <c r="S51" s="1065">
        <v>20337253.972182997</v>
      </c>
      <c r="T51" s="1686">
        <v>17718593.727020159</v>
      </c>
      <c r="U51" s="256"/>
      <c r="V51" s="1065">
        <v>20337253.972182997</v>
      </c>
      <c r="W51" s="1686">
        <v>17718593.727020159</v>
      </c>
      <c r="X51" s="256"/>
      <c r="Y51" s="1065">
        <v>20337253.972182997</v>
      </c>
      <c r="Z51" s="1686">
        <v>17718764.024296969</v>
      </c>
      <c r="AA51" s="256"/>
      <c r="AB51" s="1065">
        <v>20337253.972182997</v>
      </c>
      <c r="AC51" s="1686">
        <v>17717328.992601715</v>
      </c>
      <c r="AD51" s="256"/>
      <c r="AE51" s="1065">
        <v>20337253.972182997</v>
      </c>
      <c r="AF51" s="1686">
        <v>17717328.992601715</v>
      </c>
      <c r="AG51" s="256"/>
      <c r="AH51" s="1065">
        <v>20337253.972182997</v>
      </c>
      <c r="AI51" s="1686">
        <v>17717328.992601719</v>
      </c>
      <c r="AJ51" s="256"/>
      <c r="AK51" s="1065">
        <v>20337253.972182997</v>
      </c>
      <c r="AL51" s="1686">
        <v>17717131.090944946</v>
      </c>
      <c r="AM51" s="256"/>
      <c r="AN51" s="1065">
        <v>20337253.972182997</v>
      </c>
      <c r="AO51" s="1686">
        <v>17717244.436057888</v>
      </c>
      <c r="AP51" s="256"/>
      <c r="AQ51" s="1065">
        <v>20337253.972182997</v>
      </c>
      <c r="AR51" s="1686">
        <v>17717244.436057888</v>
      </c>
      <c r="AS51" s="256"/>
      <c r="AT51" s="1065">
        <v>20337253.972182997</v>
      </c>
      <c r="AU51" s="1065">
        <v>17717244.436057888</v>
      </c>
      <c r="AV51" s="256"/>
      <c r="AW51" s="1065">
        <v>20337253.972182997</v>
      </c>
      <c r="AX51" s="1065">
        <v>17717244.436057888</v>
      </c>
      <c r="AY51" s="256"/>
      <c r="AZ51" s="1065">
        <v>20337253.972182997</v>
      </c>
      <c r="BA51" s="1065">
        <v>17717244.436057888</v>
      </c>
      <c r="BB51" s="256"/>
      <c r="BC51" s="1065">
        <v>20337253.972182997</v>
      </c>
      <c r="BD51" s="1065">
        <v>17717244.436057888</v>
      </c>
      <c r="BE51" s="256"/>
      <c r="BF51" s="1065">
        <v>20337253.972182997</v>
      </c>
      <c r="BG51" s="1065">
        <v>17717244.436057888</v>
      </c>
      <c r="BH51" s="256"/>
      <c r="BI51" s="1065">
        <v>20337253.972182997</v>
      </c>
      <c r="BJ51" s="1065">
        <v>17717244.436057888</v>
      </c>
      <c r="BK51" s="256"/>
      <c r="BL51" s="1065">
        <v>20337253.972182997</v>
      </c>
      <c r="BM51" s="1065">
        <v>17717244.436057888</v>
      </c>
      <c r="BN51" s="256"/>
      <c r="BO51" s="1065">
        <v>20337253.972182997</v>
      </c>
      <c r="BP51" s="1065">
        <v>17717244.436057888</v>
      </c>
      <c r="BQ51" s="256"/>
      <c r="BR51" s="1065">
        <v>20337253.972182997</v>
      </c>
      <c r="BS51" s="1065">
        <v>17717244.436057888</v>
      </c>
      <c r="BT51" s="256"/>
      <c r="BU51" s="1065">
        <v>20337253.972182997</v>
      </c>
      <c r="BV51" s="1065">
        <v>17717244.436057888</v>
      </c>
      <c r="BW51" s="256"/>
      <c r="BX51" s="1065">
        <v>20337253.972182997</v>
      </c>
      <c r="BY51" s="1065">
        <v>17717244.436057888</v>
      </c>
      <c r="BZ51" s="256"/>
      <c r="CA51" s="1065">
        <v>20011029.188882001</v>
      </c>
      <c r="CB51" s="1065">
        <v>17445033.794263709</v>
      </c>
      <c r="CC51" s="256"/>
      <c r="CD51" s="1065">
        <v>20011029.188882001</v>
      </c>
      <c r="CE51" s="1065">
        <v>17445033.794263709</v>
      </c>
      <c r="CF51" s="256"/>
      <c r="CG51" s="1065">
        <v>20011029.188882001</v>
      </c>
      <c r="CH51" s="1065">
        <v>17445033.794263709</v>
      </c>
      <c r="CI51" s="1684">
        <f t="shared" si="0"/>
        <v>0</v>
      </c>
      <c r="CJ51" s="1065">
        <v>20011029.188882001</v>
      </c>
      <c r="CK51" s="1065">
        <v>17445033.794263709</v>
      </c>
      <c r="CL51" s="256"/>
      <c r="CM51" s="1065">
        <v>20011029.188882001</v>
      </c>
      <c r="CN51" s="1065">
        <v>17446493.274351712</v>
      </c>
      <c r="CO51" s="256"/>
      <c r="CP51" s="207">
        <v>20011029.188882001</v>
      </c>
      <c r="CQ51" s="1065">
        <v>17446493.274351712</v>
      </c>
      <c r="CR51" s="256"/>
      <c r="CS51" s="207">
        <v>20011029.188882001</v>
      </c>
      <c r="CT51" s="1065">
        <v>17448486.349773847</v>
      </c>
      <c r="CU51" s="256"/>
      <c r="CV51" s="1065">
        <v>20011029.188882001</v>
      </c>
      <c r="CW51" s="1065">
        <v>17448486.349773847</v>
      </c>
      <c r="CX51" s="256"/>
      <c r="CY51" s="1065"/>
      <c r="CZ51" s="1065"/>
    </row>
    <row r="52" spans="1:104">
      <c r="A52" s="260">
        <f t="shared" si="1"/>
        <v>45</v>
      </c>
      <c r="B52" s="581">
        <f>'Sched D-1'!B58</f>
        <v>392.04</v>
      </c>
      <c r="C52" s="863" t="str">
        <f>'Sched D-1'!C58</f>
        <v>Medium Trucks</v>
      </c>
      <c r="D52" s="290"/>
      <c r="E52" s="583" t="s">
        <v>539</v>
      </c>
      <c r="F52" s="290"/>
      <c r="G52" s="207">
        <f>'Sched D-1'!G58</f>
        <v>199121.37</v>
      </c>
      <c r="H52" s="29"/>
      <c r="I52" s="635" t="s">
        <v>539</v>
      </c>
      <c r="J52" s="29"/>
      <c r="K52" s="207">
        <f>'Sched D-1'!O58</f>
        <v>1425880.7286699999</v>
      </c>
      <c r="M52" s="1624">
        <f t="shared" si="5"/>
        <v>0.87194347602411726</v>
      </c>
      <c r="N52" s="1625">
        <f t="shared" si="6"/>
        <v>173622.57950848437</v>
      </c>
      <c r="O52" s="1625">
        <v>1243287.3989523209</v>
      </c>
      <c r="Q52" s="1065">
        <v>1524754.5098010001</v>
      </c>
      <c r="R52" s="256"/>
      <c r="S52" s="1065">
        <v>1524754.5098010001</v>
      </c>
      <c r="T52" s="1686">
        <v>1328424.4632809565</v>
      </c>
      <c r="U52" s="256"/>
      <c r="V52" s="1065">
        <v>1524754.5098010001</v>
      </c>
      <c r="W52" s="1686">
        <v>1328424.4632809565</v>
      </c>
      <c r="X52" s="256"/>
      <c r="Y52" s="1065">
        <v>1524754.5098010001</v>
      </c>
      <c r="Z52" s="1686">
        <v>1328437.231058808</v>
      </c>
      <c r="AA52" s="256"/>
      <c r="AB52" s="1065">
        <v>1524754.5098010001</v>
      </c>
      <c r="AC52" s="1686">
        <v>1328329.641752403</v>
      </c>
      <c r="AD52" s="256"/>
      <c r="AE52" s="1065">
        <v>1524754.5098010001</v>
      </c>
      <c r="AF52" s="1686">
        <v>1328329.641752403</v>
      </c>
      <c r="AG52" s="256"/>
      <c r="AH52" s="1065">
        <v>1524754.5098010001</v>
      </c>
      <c r="AI52" s="1686">
        <v>1328329.6417524032</v>
      </c>
      <c r="AJ52" s="256"/>
      <c r="AK52" s="1065">
        <v>1524754.5098010001</v>
      </c>
      <c r="AL52" s="1686">
        <v>1328314.8043783864</v>
      </c>
      <c r="AM52" s="256"/>
      <c r="AN52" s="1065">
        <v>1524754.5098010001</v>
      </c>
      <c r="AO52" s="1686">
        <v>1328323.3022548629</v>
      </c>
      <c r="AP52" s="256"/>
      <c r="AQ52" s="1065">
        <v>1524754.5098010001</v>
      </c>
      <c r="AR52" s="1686">
        <v>1328323.3022548629</v>
      </c>
      <c r="AS52" s="256"/>
      <c r="AT52" s="1065">
        <v>1524754.5098010001</v>
      </c>
      <c r="AU52" s="1065">
        <v>1328323.3022548629</v>
      </c>
      <c r="AV52" s="256"/>
      <c r="AW52" s="1065">
        <v>1524754.5098010001</v>
      </c>
      <c r="AX52" s="1065">
        <v>1328323.3022548629</v>
      </c>
      <c r="AY52" s="256"/>
      <c r="AZ52" s="1065">
        <v>1524754.5098010001</v>
      </c>
      <c r="BA52" s="1065">
        <v>1328323.3022548629</v>
      </c>
      <c r="BB52" s="256"/>
      <c r="BC52" s="1065">
        <v>1524754.5098010001</v>
      </c>
      <c r="BD52" s="1065">
        <v>1328323.3022548629</v>
      </c>
      <c r="BE52" s="256"/>
      <c r="BF52" s="1065">
        <v>1524754.5098010001</v>
      </c>
      <c r="BG52" s="1065">
        <v>1328323.3022548629</v>
      </c>
      <c r="BH52" s="256"/>
      <c r="BI52" s="1065">
        <v>1524754.5098010001</v>
      </c>
      <c r="BJ52" s="1065">
        <v>1328323.3022548629</v>
      </c>
      <c r="BK52" s="256"/>
      <c r="BL52" s="1065">
        <v>1524754.5098010001</v>
      </c>
      <c r="BM52" s="1065">
        <v>1328323.3022548629</v>
      </c>
      <c r="BN52" s="256"/>
      <c r="BO52" s="1065">
        <v>1524754.5098010001</v>
      </c>
      <c r="BP52" s="1065">
        <v>1328323.3022548629</v>
      </c>
      <c r="BQ52" s="256"/>
      <c r="BR52" s="1065">
        <v>1524754.5098010001</v>
      </c>
      <c r="BS52" s="1065">
        <v>1328323.3022548629</v>
      </c>
      <c r="BT52" s="256"/>
      <c r="BU52" s="1065">
        <v>1524754.5098010001</v>
      </c>
      <c r="BV52" s="1065">
        <v>1328323.3022548629</v>
      </c>
      <c r="BW52" s="256"/>
      <c r="BX52" s="1065">
        <v>1524754.5098010001</v>
      </c>
      <c r="BY52" s="1065">
        <v>1328323.3022548629</v>
      </c>
      <c r="BZ52" s="256"/>
      <c r="CA52" s="1065">
        <v>1425880.7286699999</v>
      </c>
      <c r="CB52" s="1065">
        <v>1243041.3879990564</v>
      </c>
      <c r="CC52" s="256"/>
      <c r="CD52" s="1065">
        <v>1425880.7286699999</v>
      </c>
      <c r="CE52" s="1065">
        <v>1243041.3879990564</v>
      </c>
      <c r="CF52" s="256"/>
      <c r="CG52" s="1065">
        <v>1425880.7286699999</v>
      </c>
      <c r="CH52" s="1065">
        <v>1243041.3879990564</v>
      </c>
      <c r="CI52" s="1684">
        <f t="shared" si="0"/>
        <v>0</v>
      </c>
      <c r="CJ52" s="1065">
        <v>1425880.7286699999</v>
      </c>
      <c r="CK52" s="1065">
        <v>1243041.3879990564</v>
      </c>
      <c r="CL52" s="256"/>
      <c r="CM52" s="1065">
        <v>1425880.7286699999</v>
      </c>
      <c r="CN52" s="1065">
        <v>1243145.3828766667</v>
      </c>
      <c r="CO52" s="256"/>
      <c r="CP52" s="207">
        <v>1425880.7286699999</v>
      </c>
      <c r="CQ52" s="1065">
        <v>1243145.3828766667</v>
      </c>
      <c r="CR52" s="256"/>
      <c r="CS52" s="207">
        <v>1425880.7286699999</v>
      </c>
      <c r="CT52" s="1065">
        <v>1243287.3989523209</v>
      </c>
      <c r="CU52" s="256"/>
      <c r="CV52" s="1065">
        <v>1425880.7286699999</v>
      </c>
      <c r="CW52" s="1065">
        <v>1243287.3989523209</v>
      </c>
      <c r="CX52" s="256"/>
      <c r="CY52" s="1065"/>
      <c r="CZ52" s="1065"/>
    </row>
    <row r="53" spans="1:104">
      <c r="A53" s="260">
        <f t="shared" si="1"/>
        <v>46</v>
      </c>
      <c r="B53" s="581">
        <f>'Sched D-1'!B59</f>
        <v>392.05</v>
      </c>
      <c r="C53" s="863" t="str">
        <f>'Sched D-1'!C59</f>
        <v>Heavy Trucks</v>
      </c>
      <c r="D53" s="290"/>
      <c r="E53" s="583" t="s">
        <v>539</v>
      </c>
      <c r="F53" s="290"/>
      <c r="G53" s="207">
        <f>'Sched D-1'!G59</f>
        <v>3072012.1100000003</v>
      </c>
      <c r="H53" s="29"/>
      <c r="I53" s="635" t="s">
        <v>539</v>
      </c>
      <c r="J53" s="29"/>
      <c r="K53" s="207">
        <f>'Sched D-1'!O59</f>
        <v>3262358.4424480004</v>
      </c>
      <c r="M53" s="1624">
        <f t="shared" si="5"/>
        <v>0.87194347602411748</v>
      </c>
      <c r="N53" s="1625">
        <f t="shared" si="6"/>
        <v>2678620.9175815838</v>
      </c>
      <c r="O53" s="1625">
        <v>2844592.1603447353</v>
      </c>
      <c r="Q53" s="1065">
        <v>3274142.3280160003</v>
      </c>
      <c r="R53" s="256"/>
      <c r="S53" s="1065">
        <v>3274142.3280160003</v>
      </c>
      <c r="T53" s="1686">
        <v>2852558.0589151862</v>
      </c>
      <c r="U53" s="256"/>
      <c r="V53" s="1065">
        <v>3274142.3280160003</v>
      </c>
      <c r="W53" s="1686">
        <v>2852558.0589151862</v>
      </c>
      <c r="X53" s="256"/>
      <c r="Y53" s="1065">
        <v>3274142.3280160003</v>
      </c>
      <c r="Z53" s="1686">
        <v>2852585.4754741332</v>
      </c>
      <c r="AA53" s="256"/>
      <c r="AB53" s="1065">
        <v>3274142.3280160003</v>
      </c>
      <c r="AC53" s="1686">
        <v>2852354.4463478848</v>
      </c>
      <c r="AD53" s="256"/>
      <c r="AE53" s="1065">
        <v>3274142.3280160003</v>
      </c>
      <c r="AF53" s="1686">
        <v>2852354.4463478848</v>
      </c>
      <c r="AG53" s="256"/>
      <c r="AH53" s="1065">
        <v>3274142.3280160003</v>
      </c>
      <c r="AI53" s="1686">
        <v>2852354.4463478858</v>
      </c>
      <c r="AJ53" s="256"/>
      <c r="AK53" s="1065">
        <v>3274142.3280160003</v>
      </c>
      <c r="AL53" s="1686">
        <v>2852322.5856949133</v>
      </c>
      <c r="AM53" s="256"/>
      <c r="AN53" s="1065">
        <v>3274142.3280160003</v>
      </c>
      <c r="AO53" s="1686">
        <v>2852340.8333911099</v>
      </c>
      <c r="AP53" s="256"/>
      <c r="AQ53" s="1065">
        <v>3274142.3280160003</v>
      </c>
      <c r="AR53" s="1686">
        <v>2852340.8333911099</v>
      </c>
      <c r="AS53" s="256"/>
      <c r="AT53" s="1065">
        <v>3274142.3280160003</v>
      </c>
      <c r="AU53" s="1065">
        <v>2852340.8333911099</v>
      </c>
      <c r="AV53" s="256"/>
      <c r="AW53" s="1065">
        <v>3274142.3280160003</v>
      </c>
      <c r="AX53" s="1065">
        <v>2852340.8333911099</v>
      </c>
      <c r="AY53" s="256"/>
      <c r="AZ53" s="1065">
        <v>3274142.3280160003</v>
      </c>
      <c r="BA53" s="1065">
        <v>2852340.8333911099</v>
      </c>
      <c r="BB53" s="256"/>
      <c r="BC53" s="1065">
        <v>3274142.3280160003</v>
      </c>
      <c r="BD53" s="1065">
        <v>2852340.8333911099</v>
      </c>
      <c r="BE53" s="256"/>
      <c r="BF53" s="1065">
        <v>3274142.3280160003</v>
      </c>
      <c r="BG53" s="1065">
        <v>2852340.8333911099</v>
      </c>
      <c r="BH53" s="256"/>
      <c r="BI53" s="1065">
        <v>3274142.3280160003</v>
      </c>
      <c r="BJ53" s="1065">
        <v>2852340.8333911099</v>
      </c>
      <c r="BK53" s="256"/>
      <c r="BL53" s="1065">
        <v>3274142.3280160003</v>
      </c>
      <c r="BM53" s="1065">
        <v>2852340.8333911099</v>
      </c>
      <c r="BN53" s="256"/>
      <c r="BO53" s="1065">
        <v>3274142.3280160003</v>
      </c>
      <c r="BP53" s="1065">
        <v>2852340.8333911099</v>
      </c>
      <c r="BQ53" s="256"/>
      <c r="BR53" s="1065">
        <v>3274142.3280160003</v>
      </c>
      <c r="BS53" s="1065">
        <v>2852340.8333911099</v>
      </c>
      <c r="BT53" s="256"/>
      <c r="BU53" s="1065">
        <v>3274142.3280160003</v>
      </c>
      <c r="BV53" s="1065">
        <v>2852340.8333911099</v>
      </c>
      <c r="BW53" s="256"/>
      <c r="BX53" s="1065">
        <v>3274142.3280160003</v>
      </c>
      <c r="BY53" s="1065">
        <v>2852340.8333911099</v>
      </c>
      <c r="BZ53" s="256"/>
      <c r="CA53" s="1065">
        <v>3262358.4424480004</v>
      </c>
      <c r="CB53" s="1065">
        <v>2844029.2970601832</v>
      </c>
      <c r="CC53" s="256"/>
      <c r="CD53" s="1065">
        <v>3262358.4424480004</v>
      </c>
      <c r="CE53" s="1065">
        <v>2844029.2970601832</v>
      </c>
      <c r="CF53" s="256"/>
      <c r="CG53" s="1065">
        <v>3262358.4424480004</v>
      </c>
      <c r="CH53" s="1065">
        <v>2844029.2970601832</v>
      </c>
      <c r="CI53" s="1684">
        <f t="shared" si="0"/>
        <v>0</v>
      </c>
      <c r="CJ53" s="1065">
        <v>3262358.4424480004</v>
      </c>
      <c r="CK53" s="1065">
        <v>2844029.2970601832</v>
      </c>
      <c r="CL53" s="256"/>
      <c r="CM53" s="1065">
        <v>3262358.4424480004</v>
      </c>
      <c r="CN53" s="1065">
        <v>2844267.2332073818</v>
      </c>
      <c r="CO53" s="256"/>
      <c r="CP53" s="207">
        <v>3262358.4424480004</v>
      </c>
      <c r="CQ53" s="1065">
        <v>2844267.2332073818</v>
      </c>
      <c r="CR53" s="256"/>
      <c r="CS53" s="207">
        <v>3262358.4424480004</v>
      </c>
      <c r="CT53" s="1065">
        <v>2844592.1603447353</v>
      </c>
      <c r="CU53" s="256"/>
      <c r="CV53" s="1065">
        <v>3262358.4424480004</v>
      </c>
      <c r="CW53" s="1065">
        <v>2844592.1603447353</v>
      </c>
      <c r="CX53" s="256"/>
      <c r="CY53" s="1065"/>
      <c r="CZ53" s="1065"/>
    </row>
    <row r="54" spans="1:104">
      <c r="A54" s="260">
        <f t="shared" si="1"/>
        <v>47</v>
      </c>
      <c r="B54" s="581">
        <f>'Sched D-1'!B60</f>
        <v>392.06</v>
      </c>
      <c r="C54" s="863" t="str">
        <f>'Sched D-1'!C60</f>
        <v>Trailers</v>
      </c>
      <c r="D54" s="290"/>
      <c r="E54" s="583" t="s">
        <v>539</v>
      </c>
      <c r="F54" s="290"/>
      <c r="G54" s="207">
        <f>'Sched D-1'!G60</f>
        <v>818273.64</v>
      </c>
      <c r="H54" s="29"/>
      <c r="I54" s="635" t="s">
        <v>539</v>
      </c>
      <c r="J54" s="29"/>
      <c r="K54" s="207">
        <f>'Sched D-1'!O60</f>
        <v>1027857.551008</v>
      </c>
      <c r="M54" s="1624">
        <f t="shared" si="5"/>
        <v>0.87194347602411737</v>
      </c>
      <c r="N54" s="1625">
        <f t="shared" si="6"/>
        <v>713488.3620005073</v>
      </c>
      <c r="O54" s="1625">
        <v>896233.68588355207</v>
      </c>
      <c r="Q54" s="1065">
        <v>1041429.145952</v>
      </c>
      <c r="R54" s="256"/>
      <c r="S54" s="1065">
        <v>1041429.145952</v>
      </c>
      <c r="T54" s="1686">
        <v>907332.91514382197</v>
      </c>
      <c r="U54" s="256"/>
      <c r="V54" s="1065">
        <v>1041429.145952</v>
      </c>
      <c r="W54" s="1686">
        <v>907332.91514382197</v>
      </c>
      <c r="X54" s="256"/>
      <c r="Y54" s="1065">
        <v>1041429.145952</v>
      </c>
      <c r="Z54" s="1686">
        <v>907341.6357187723</v>
      </c>
      <c r="AA54" s="256"/>
      <c r="AB54" s="1065">
        <v>1041429.145952</v>
      </c>
      <c r="AC54" s="1686">
        <v>907268.15068314015</v>
      </c>
      <c r="AD54" s="256"/>
      <c r="AE54" s="1065">
        <v>1041429.145952</v>
      </c>
      <c r="AF54" s="1686">
        <v>907268.15068314015</v>
      </c>
      <c r="AG54" s="256"/>
      <c r="AH54" s="1065">
        <v>1041429.145952</v>
      </c>
      <c r="AI54" s="1686">
        <v>907268.15068314038</v>
      </c>
      <c r="AJ54" s="256"/>
      <c r="AK54" s="1065">
        <v>1041429.145952</v>
      </c>
      <c r="AL54" s="1686">
        <v>907258.01654439792</v>
      </c>
      <c r="AM54" s="256"/>
      <c r="AN54" s="1065">
        <v>1041429.145952</v>
      </c>
      <c r="AO54" s="1686">
        <v>907263.82071561622</v>
      </c>
      <c r="AP54" s="256"/>
      <c r="AQ54" s="1065">
        <v>1041429.145952</v>
      </c>
      <c r="AR54" s="1686">
        <v>907263.82071561646</v>
      </c>
      <c r="AS54" s="256"/>
      <c r="AT54" s="1065">
        <v>1041429.145952</v>
      </c>
      <c r="AU54" s="1065">
        <v>907263.82071561646</v>
      </c>
      <c r="AV54" s="256"/>
      <c r="AW54" s="1065">
        <v>1041429.145952</v>
      </c>
      <c r="AX54" s="1065">
        <v>907263.82071561622</v>
      </c>
      <c r="AY54" s="256"/>
      <c r="AZ54" s="1065">
        <v>1041429.145952</v>
      </c>
      <c r="BA54" s="1065">
        <v>907263.82071561646</v>
      </c>
      <c r="BB54" s="256"/>
      <c r="BC54" s="1065">
        <v>1041429.145952</v>
      </c>
      <c r="BD54" s="1065">
        <v>907263.82071561646</v>
      </c>
      <c r="BE54" s="256"/>
      <c r="BF54" s="1065">
        <v>1041429.145952</v>
      </c>
      <c r="BG54" s="1065">
        <v>907263.82071561646</v>
      </c>
      <c r="BH54" s="256"/>
      <c r="BI54" s="1065">
        <v>1041429.145952</v>
      </c>
      <c r="BJ54" s="1065">
        <v>907263.82071561646</v>
      </c>
      <c r="BK54" s="256"/>
      <c r="BL54" s="1065">
        <v>1041429.145952</v>
      </c>
      <c r="BM54" s="1065">
        <v>907263.82071561646</v>
      </c>
      <c r="BN54" s="256"/>
      <c r="BO54" s="1065">
        <v>1041429.145952</v>
      </c>
      <c r="BP54" s="1065">
        <v>907263.82071561646</v>
      </c>
      <c r="BQ54" s="256"/>
      <c r="BR54" s="1065">
        <v>1041429.145952</v>
      </c>
      <c r="BS54" s="1065">
        <v>907263.82071561646</v>
      </c>
      <c r="BT54" s="256"/>
      <c r="BU54" s="1065">
        <v>1041429.145952</v>
      </c>
      <c r="BV54" s="1065">
        <v>907263.82071561646</v>
      </c>
      <c r="BW54" s="256"/>
      <c r="BX54" s="1065">
        <v>1041429.145952</v>
      </c>
      <c r="BY54" s="1065">
        <v>907263.82071561646</v>
      </c>
      <c r="BZ54" s="256"/>
      <c r="CA54" s="1065">
        <v>1027857.551008</v>
      </c>
      <c r="CB54" s="1065">
        <v>896056.34691623214</v>
      </c>
      <c r="CC54" s="256"/>
      <c r="CD54" s="1065">
        <v>1027857.551008</v>
      </c>
      <c r="CE54" s="1065">
        <v>896056.34691623214</v>
      </c>
      <c r="CF54" s="256"/>
      <c r="CG54" s="1065">
        <v>1027857.551008</v>
      </c>
      <c r="CH54" s="1065">
        <v>896056.34691623214</v>
      </c>
      <c r="CI54" s="1684">
        <f t="shared" si="0"/>
        <v>0</v>
      </c>
      <c r="CJ54" s="1065">
        <v>1027857.551008</v>
      </c>
      <c r="CK54" s="1065">
        <v>896056.34691623214</v>
      </c>
      <c r="CL54" s="256"/>
      <c r="CM54" s="1065">
        <v>1027857.551008</v>
      </c>
      <c r="CN54" s="1065">
        <v>896131.31245722645</v>
      </c>
      <c r="CO54" s="256"/>
      <c r="CP54" s="207">
        <v>1027857.551008</v>
      </c>
      <c r="CQ54" s="1065">
        <v>896131.31245722645</v>
      </c>
      <c r="CR54" s="256"/>
      <c r="CS54" s="207">
        <v>1027857.551008</v>
      </c>
      <c r="CT54" s="1065">
        <v>896233.68588355207</v>
      </c>
      <c r="CU54" s="256"/>
      <c r="CV54" s="1065">
        <v>1027857.551008</v>
      </c>
      <c r="CW54" s="1065">
        <v>896233.68588355207</v>
      </c>
      <c r="CX54" s="256"/>
      <c r="CY54" s="1065"/>
      <c r="CZ54" s="1065"/>
    </row>
    <row r="55" spans="1:104">
      <c r="A55" s="260">
        <f t="shared" si="1"/>
        <v>48</v>
      </c>
      <c r="B55" s="581">
        <f>'Sched D-1'!B61</f>
        <v>393</v>
      </c>
      <c r="C55" s="863" t="str">
        <f>'Sched D-1'!C61</f>
        <v>Stores Equipment</v>
      </c>
      <c r="D55" s="290"/>
      <c r="E55" s="583" t="s">
        <v>539</v>
      </c>
      <c r="F55" s="290"/>
      <c r="G55" s="207">
        <f>'Sched D-1'!G61</f>
        <v>28177.52</v>
      </c>
      <c r="H55" s="29"/>
      <c r="I55" s="635" t="s">
        <v>539</v>
      </c>
      <c r="J55" s="29"/>
      <c r="K55" s="207">
        <f>'Sched D-1'!O61</f>
        <v>28177.52</v>
      </c>
      <c r="M55" s="1624">
        <f t="shared" si="5"/>
        <v>0.87194347602411737</v>
      </c>
      <c r="N55" s="1625">
        <f t="shared" si="6"/>
        <v>24569.204734539089</v>
      </c>
      <c r="O55" s="1625">
        <v>24569.204734539089</v>
      </c>
      <c r="Q55" s="1065">
        <v>28177.52</v>
      </c>
      <c r="R55" s="256"/>
      <c r="S55" s="1065">
        <v>28177.52</v>
      </c>
      <c r="T55" s="1686">
        <v>24549.333444813834</v>
      </c>
      <c r="U55" s="256"/>
      <c r="V55" s="1065">
        <v>28177.52</v>
      </c>
      <c r="W55" s="1686">
        <v>24549.333444813834</v>
      </c>
      <c r="X55" s="256"/>
      <c r="Y55" s="1065">
        <v>28177.52</v>
      </c>
      <c r="Z55" s="1686">
        <v>24549.569393822974</v>
      </c>
      <c r="AA55" s="256"/>
      <c r="AB55" s="1065">
        <v>28177.52</v>
      </c>
      <c r="AC55" s="1686">
        <v>24547.58113944266</v>
      </c>
      <c r="AD55" s="256"/>
      <c r="AE55" s="1065">
        <v>28177.52</v>
      </c>
      <c r="AF55" s="1686">
        <v>24547.581139442664</v>
      </c>
      <c r="AG55" s="256"/>
      <c r="AH55" s="1065">
        <v>28177.52</v>
      </c>
      <c r="AI55" s="1686">
        <v>24547.581139442667</v>
      </c>
      <c r="AJ55" s="256"/>
      <c r="AK55" s="1065">
        <v>28177.52</v>
      </c>
      <c r="AL55" s="1686">
        <v>24547.30694421949</v>
      </c>
      <c r="AM55" s="256"/>
      <c r="AN55" s="1065">
        <v>28177.52</v>
      </c>
      <c r="AO55" s="1686">
        <v>24547.463985292547</v>
      </c>
      <c r="AP55" s="256"/>
      <c r="AQ55" s="1065">
        <v>28177.52</v>
      </c>
      <c r="AR55" s="1686">
        <v>24547.463985292547</v>
      </c>
      <c r="AS55" s="256"/>
      <c r="AT55" s="1065">
        <v>28177.52</v>
      </c>
      <c r="AU55" s="1065">
        <v>24547.463985292547</v>
      </c>
      <c r="AV55" s="256"/>
      <c r="AW55" s="1065">
        <v>28177.52</v>
      </c>
      <c r="AX55" s="1065">
        <v>24547.463985292547</v>
      </c>
      <c r="AY55" s="256"/>
      <c r="AZ55" s="1065">
        <v>28177.52</v>
      </c>
      <c r="BA55" s="1065">
        <v>24547.463985292547</v>
      </c>
      <c r="BB55" s="256"/>
      <c r="BC55" s="1065">
        <v>28177.52</v>
      </c>
      <c r="BD55" s="1065">
        <v>24547.463985292547</v>
      </c>
      <c r="BE55" s="256"/>
      <c r="BF55" s="1065">
        <v>28177.52</v>
      </c>
      <c r="BG55" s="1065">
        <v>24547.463985292547</v>
      </c>
      <c r="BH55" s="256"/>
      <c r="BI55" s="1065">
        <v>28177.52</v>
      </c>
      <c r="BJ55" s="1065">
        <v>24547.463985292547</v>
      </c>
      <c r="BK55" s="256"/>
      <c r="BL55" s="1065">
        <v>28177.52</v>
      </c>
      <c r="BM55" s="1065">
        <v>24547.463985292547</v>
      </c>
      <c r="BN55" s="256"/>
      <c r="BO55" s="1065">
        <v>28177.52</v>
      </c>
      <c r="BP55" s="1065">
        <v>24547.463985292547</v>
      </c>
      <c r="BQ55" s="256"/>
      <c r="BR55" s="1065">
        <v>28177.52</v>
      </c>
      <c r="BS55" s="1065">
        <v>24547.463985292547</v>
      </c>
      <c r="BT55" s="256"/>
      <c r="BU55" s="1065">
        <v>28177.52</v>
      </c>
      <c r="BV55" s="1065">
        <v>24547.463985292547</v>
      </c>
      <c r="BW55" s="256"/>
      <c r="BX55" s="1065">
        <v>28177.52</v>
      </c>
      <c r="BY55" s="1065">
        <v>24547.463985292547</v>
      </c>
      <c r="BZ55" s="256"/>
      <c r="CA55" s="1065">
        <v>28177.52</v>
      </c>
      <c r="CB55" s="1065">
        <v>24564.343192885244</v>
      </c>
      <c r="CC55" s="256"/>
      <c r="CD55" s="1065">
        <v>28177.52</v>
      </c>
      <c r="CE55" s="1065">
        <v>24564.343192885244</v>
      </c>
      <c r="CF55" s="256"/>
      <c r="CG55" s="1065">
        <v>28177.52</v>
      </c>
      <c r="CH55" s="1065">
        <v>24564.343192885244</v>
      </c>
      <c r="CI55" s="1684">
        <f t="shared" si="0"/>
        <v>0</v>
      </c>
      <c r="CJ55" s="1065">
        <v>28177.52</v>
      </c>
      <c r="CK55" s="1065">
        <v>24564.343192885244</v>
      </c>
      <c r="CL55" s="256"/>
      <c r="CM55" s="1065">
        <v>28177.52</v>
      </c>
      <c r="CN55" s="1065">
        <v>24566.398286053176</v>
      </c>
      <c r="CO55" s="256"/>
      <c r="CP55" s="207">
        <v>28177.52</v>
      </c>
      <c r="CQ55" s="1065">
        <v>24566.398286053176</v>
      </c>
      <c r="CR55" s="256"/>
      <c r="CS55" s="207">
        <v>28177.52</v>
      </c>
      <c r="CT55" s="1065">
        <v>24569.204734539089</v>
      </c>
      <c r="CU55" s="256"/>
      <c r="CV55" s="1065">
        <v>28177.52</v>
      </c>
      <c r="CW55" s="1065">
        <v>24569.204734539089</v>
      </c>
      <c r="CX55" s="256"/>
      <c r="CY55" s="1065"/>
      <c r="CZ55" s="1065"/>
    </row>
    <row r="56" spans="1:104">
      <c r="A56" s="260">
        <f t="shared" si="1"/>
        <v>49</v>
      </c>
      <c r="B56" s="581">
        <f>'Sched D-1'!B62</f>
        <v>394</v>
      </c>
      <c r="C56" s="863" t="str">
        <f>'Sched D-1'!C62</f>
        <v>Tools, Shop, and Garage Equipment</v>
      </c>
      <c r="D56" s="290"/>
      <c r="E56" s="583" t="s">
        <v>539</v>
      </c>
      <c r="F56" s="290"/>
      <c r="G56" s="207">
        <f>'Sched D-1'!G62</f>
        <v>8876091.9399999995</v>
      </c>
      <c r="H56" s="29"/>
      <c r="I56" s="635" t="s">
        <v>539</v>
      </c>
      <c r="J56" s="29"/>
      <c r="K56" s="207">
        <f>'Sched D-1'!O62</f>
        <v>14026733.278991999</v>
      </c>
      <c r="M56" s="1624">
        <f t="shared" si="5"/>
        <v>0.87194347602411737</v>
      </c>
      <c r="N56" s="1625">
        <f t="shared" si="6"/>
        <v>7739450.459673251</v>
      </c>
      <c r="O56" s="1625">
        <v>12230518.572547449</v>
      </c>
      <c r="Q56" s="1065">
        <v>15338054.104048001</v>
      </c>
      <c r="R56" s="256"/>
      <c r="S56" s="1065">
        <v>15338054.104048001</v>
      </c>
      <c r="T56" s="1686">
        <v>13363099.541580299</v>
      </c>
      <c r="U56" s="256"/>
      <c r="V56" s="1065">
        <v>15338054.104048001</v>
      </c>
      <c r="W56" s="1686">
        <v>13363099.541580299</v>
      </c>
      <c r="X56" s="256"/>
      <c r="Y56" s="1065">
        <v>15338054.104048001</v>
      </c>
      <c r="Z56" s="1686">
        <v>13363227.977250576</v>
      </c>
      <c r="AA56" s="256"/>
      <c r="AB56" s="1065">
        <v>15338054.104048001</v>
      </c>
      <c r="AC56" s="1686">
        <v>13362145.697715051</v>
      </c>
      <c r="AD56" s="256"/>
      <c r="AE56" s="1065">
        <v>15338054.104048001</v>
      </c>
      <c r="AF56" s="1686">
        <v>13362145.697715051</v>
      </c>
      <c r="AG56" s="256"/>
      <c r="AH56" s="1065">
        <v>15338054.104048001</v>
      </c>
      <c r="AI56" s="1686">
        <v>13362145.697715053</v>
      </c>
      <c r="AJ56" s="256"/>
      <c r="AK56" s="1065">
        <v>15338054.104048001</v>
      </c>
      <c r="AL56" s="1686">
        <v>13361996.443232467</v>
      </c>
      <c r="AM56" s="256"/>
      <c r="AN56" s="1065">
        <v>15338054.104048001</v>
      </c>
      <c r="AO56" s="1686">
        <v>13362081.926428828</v>
      </c>
      <c r="AP56" s="256"/>
      <c r="AQ56" s="1065">
        <v>15338054.104048001</v>
      </c>
      <c r="AR56" s="1686">
        <v>13362081.926428828</v>
      </c>
      <c r="AS56" s="256"/>
      <c r="AT56" s="1065">
        <v>15338054.104048001</v>
      </c>
      <c r="AU56" s="1065">
        <v>13362081.926428828</v>
      </c>
      <c r="AV56" s="256"/>
      <c r="AW56" s="1065">
        <v>15338054.104048001</v>
      </c>
      <c r="AX56" s="1065">
        <v>13362081.926428828</v>
      </c>
      <c r="AY56" s="256"/>
      <c r="AZ56" s="1065">
        <v>15338054.104048001</v>
      </c>
      <c r="BA56" s="1065">
        <v>13362081.926428828</v>
      </c>
      <c r="BB56" s="256"/>
      <c r="BC56" s="1065">
        <v>15338054.104048001</v>
      </c>
      <c r="BD56" s="1065">
        <v>13362081.926428828</v>
      </c>
      <c r="BE56" s="256"/>
      <c r="BF56" s="1065">
        <v>15338054.104048001</v>
      </c>
      <c r="BG56" s="1065">
        <v>13362081.926428828</v>
      </c>
      <c r="BH56" s="256"/>
      <c r="BI56" s="1065">
        <v>15338054.104048001</v>
      </c>
      <c r="BJ56" s="1065">
        <v>13362081.926428828</v>
      </c>
      <c r="BK56" s="256"/>
      <c r="BL56" s="1065">
        <v>15338054.104048001</v>
      </c>
      <c r="BM56" s="1065">
        <v>13362081.926428828</v>
      </c>
      <c r="BN56" s="256"/>
      <c r="BO56" s="1065">
        <v>15338054.104048001</v>
      </c>
      <c r="BP56" s="1065">
        <v>13362081.926428828</v>
      </c>
      <c r="BQ56" s="256"/>
      <c r="BR56" s="1065">
        <v>15338054.104048001</v>
      </c>
      <c r="BS56" s="1065">
        <v>13362081.926428828</v>
      </c>
      <c r="BT56" s="256"/>
      <c r="BU56" s="1065">
        <v>15338054.104048001</v>
      </c>
      <c r="BV56" s="1065">
        <v>13362081.926428828</v>
      </c>
      <c r="BW56" s="256"/>
      <c r="BX56" s="1065">
        <v>15338054.104048001</v>
      </c>
      <c r="BY56" s="1065">
        <v>13362081.926428828</v>
      </c>
      <c r="BZ56" s="256"/>
      <c r="CA56" s="1065">
        <v>14026733.278991999</v>
      </c>
      <c r="CB56" s="1065">
        <v>12228098.503353883</v>
      </c>
      <c r="CC56" s="256"/>
      <c r="CD56" s="1065">
        <v>14026733.278991999</v>
      </c>
      <c r="CE56" s="1065">
        <v>12228098.503353883</v>
      </c>
      <c r="CF56" s="256"/>
      <c r="CG56" s="1065">
        <v>14026733.278991999</v>
      </c>
      <c r="CH56" s="1065">
        <v>12228098.503353883</v>
      </c>
      <c r="CI56" s="1684">
        <f t="shared" si="0"/>
        <v>0</v>
      </c>
      <c r="CJ56" s="1065">
        <v>14026733.278991999</v>
      </c>
      <c r="CK56" s="1065">
        <v>12228098.503353883</v>
      </c>
      <c r="CL56" s="256"/>
      <c r="CM56" s="1065">
        <v>14026733.278991999</v>
      </c>
      <c r="CN56" s="1065">
        <v>12229121.526094351</v>
      </c>
      <c r="CO56" s="256"/>
      <c r="CP56" s="207">
        <v>14026733.278991999</v>
      </c>
      <c r="CQ56" s="1065">
        <v>12229121.526094351</v>
      </c>
      <c r="CR56" s="256"/>
      <c r="CS56" s="207">
        <v>14026733.278991999</v>
      </c>
      <c r="CT56" s="1065">
        <v>12230518.572547449</v>
      </c>
      <c r="CU56" s="256"/>
      <c r="CV56" s="1065">
        <v>14026733.278991999</v>
      </c>
      <c r="CW56" s="1065">
        <v>12230518.572547449</v>
      </c>
      <c r="CX56" s="256"/>
      <c r="CY56" s="1065"/>
      <c r="CZ56" s="1065"/>
    </row>
    <row r="57" spans="1:104">
      <c r="A57" s="260">
        <f t="shared" si="1"/>
        <v>50</v>
      </c>
      <c r="B57" s="581">
        <f>'Sched D-1'!B63</f>
        <v>395</v>
      </c>
      <c r="C57" s="863" t="str">
        <f>'Sched D-1'!C63</f>
        <v>Laboratory Equipment</v>
      </c>
      <c r="D57" s="290"/>
      <c r="E57" s="583" t="s">
        <v>539</v>
      </c>
      <c r="F57" s="290"/>
      <c r="G57" s="207">
        <f>'Sched D-1'!G63</f>
        <v>88802.52</v>
      </c>
      <c r="H57" s="29"/>
      <c r="I57" s="635" t="s">
        <v>539</v>
      </c>
      <c r="J57" s="29"/>
      <c r="K57" s="207">
        <f>'Sched D-1'!O63</f>
        <v>88802.52</v>
      </c>
      <c r="M57" s="1624">
        <f t="shared" si="5"/>
        <v>0.87194347602411737</v>
      </c>
      <c r="N57" s="1625">
        <f t="shared" si="6"/>
        <v>77430.777968501206</v>
      </c>
      <c r="O57" s="1625">
        <v>77430.777968501206</v>
      </c>
      <c r="Q57" s="1065">
        <v>88802.52</v>
      </c>
      <c r="R57" s="256"/>
      <c r="S57" s="1065">
        <v>88802.52</v>
      </c>
      <c r="T57" s="1686">
        <v>77368.15284736731</v>
      </c>
      <c r="U57" s="256"/>
      <c r="V57" s="1065">
        <v>88802.52</v>
      </c>
      <c r="W57" s="1686">
        <v>77368.15284736731</v>
      </c>
      <c r="X57" s="256"/>
      <c r="Y57" s="1065">
        <v>88802.52</v>
      </c>
      <c r="Z57" s="1686">
        <v>77368.896449593594</v>
      </c>
      <c r="AA57" s="256"/>
      <c r="AB57" s="1065">
        <v>88802.52</v>
      </c>
      <c r="AC57" s="1686">
        <v>77362.630390715</v>
      </c>
      <c r="AD57" s="256"/>
      <c r="AE57" s="1065">
        <v>88802.52</v>
      </c>
      <c r="AF57" s="1686">
        <v>77362.630390715</v>
      </c>
      <c r="AG57" s="256"/>
      <c r="AH57" s="1065">
        <v>88802.52</v>
      </c>
      <c r="AI57" s="1686">
        <v>77362.630390715014</v>
      </c>
      <c r="AJ57" s="256"/>
      <c r="AK57" s="1065">
        <v>88802.52</v>
      </c>
      <c r="AL57" s="1686">
        <v>77361.766254098649</v>
      </c>
      <c r="AM57" s="256"/>
      <c r="AN57" s="1065">
        <v>88802.52</v>
      </c>
      <c r="AO57" s="1686">
        <v>77362.261174979954</v>
      </c>
      <c r="AP57" s="256"/>
      <c r="AQ57" s="1065">
        <v>88802.52</v>
      </c>
      <c r="AR57" s="1686">
        <v>77362.261174979954</v>
      </c>
      <c r="AS57" s="256"/>
      <c r="AT57" s="1065">
        <v>88802.52</v>
      </c>
      <c r="AU57" s="1065">
        <v>77362.261174979954</v>
      </c>
      <c r="AV57" s="256"/>
      <c r="AW57" s="1065">
        <v>88802.52</v>
      </c>
      <c r="AX57" s="1065">
        <v>77362.261174979954</v>
      </c>
      <c r="AY57" s="256"/>
      <c r="AZ57" s="1065">
        <v>88802.52</v>
      </c>
      <c r="BA57" s="1065">
        <v>77362.261174979954</v>
      </c>
      <c r="BB57" s="256"/>
      <c r="BC57" s="1065">
        <v>88802.52</v>
      </c>
      <c r="BD57" s="1065">
        <v>77362.261174979954</v>
      </c>
      <c r="BE57" s="256"/>
      <c r="BF57" s="1065">
        <v>88802.52</v>
      </c>
      <c r="BG57" s="1065">
        <v>77362.261174979954</v>
      </c>
      <c r="BH57" s="256"/>
      <c r="BI57" s="1065">
        <v>88802.52</v>
      </c>
      <c r="BJ57" s="1065">
        <v>77362.261174979954</v>
      </c>
      <c r="BK57" s="256"/>
      <c r="BL57" s="1065">
        <v>88802.52</v>
      </c>
      <c r="BM57" s="1065">
        <v>77362.261174979954</v>
      </c>
      <c r="BN57" s="256"/>
      <c r="BO57" s="1065">
        <v>88802.52</v>
      </c>
      <c r="BP57" s="1065">
        <v>77362.261174979954</v>
      </c>
      <c r="BQ57" s="256"/>
      <c r="BR57" s="1065">
        <v>88802.52</v>
      </c>
      <c r="BS57" s="1065">
        <v>77362.261174979954</v>
      </c>
      <c r="BT57" s="256"/>
      <c r="BU57" s="1065">
        <v>88802.52</v>
      </c>
      <c r="BV57" s="1065">
        <v>77362.261174979954</v>
      </c>
      <c r="BW57" s="256"/>
      <c r="BX57" s="1065">
        <v>88802.52</v>
      </c>
      <c r="BY57" s="1065">
        <v>77362.261174979954</v>
      </c>
      <c r="BZ57" s="256"/>
      <c r="CA57" s="1065">
        <v>88802.52</v>
      </c>
      <c r="CB57" s="1065">
        <v>77415.456636107658</v>
      </c>
      <c r="CC57" s="256"/>
      <c r="CD57" s="1065">
        <v>88802.52</v>
      </c>
      <c r="CE57" s="1065">
        <v>77415.456636107658</v>
      </c>
      <c r="CF57" s="256"/>
      <c r="CG57" s="1065">
        <v>88802.52</v>
      </c>
      <c r="CH57" s="1065">
        <v>77415.456636107658</v>
      </c>
      <c r="CI57" s="1684">
        <f t="shared" si="0"/>
        <v>0</v>
      </c>
      <c r="CJ57" s="1065">
        <v>88802.52</v>
      </c>
      <c r="CK57" s="1065">
        <v>77415.456636107658</v>
      </c>
      <c r="CL57" s="256"/>
      <c r="CM57" s="1065">
        <v>88802.52</v>
      </c>
      <c r="CN57" s="1065">
        <v>77421.933339953393</v>
      </c>
      <c r="CO57" s="256"/>
      <c r="CP57" s="207">
        <v>88802.52</v>
      </c>
      <c r="CQ57" s="1065">
        <v>77421.933339953393</v>
      </c>
      <c r="CR57" s="256"/>
      <c r="CS57" s="207">
        <v>88802.52</v>
      </c>
      <c r="CT57" s="1065">
        <v>77430.777968501206</v>
      </c>
      <c r="CU57" s="256"/>
      <c r="CV57" s="1065">
        <v>88802.52</v>
      </c>
      <c r="CW57" s="1065">
        <v>77430.777968501206</v>
      </c>
      <c r="CX57" s="256"/>
      <c r="CY57" s="1065"/>
      <c r="CZ57" s="1065"/>
    </row>
    <row r="58" spans="1:104">
      <c r="A58" s="260">
        <f t="shared" si="1"/>
        <v>51</v>
      </c>
      <c r="B58" s="260">
        <f>'Sched D-1'!B64</f>
        <v>396</v>
      </c>
      <c r="C58" s="862" t="str">
        <f>'Sched D-1'!C64</f>
        <v xml:space="preserve">Power Operated Equipment </v>
      </c>
      <c r="D58" s="292"/>
      <c r="E58" s="583" t="s">
        <v>539</v>
      </c>
      <c r="F58" s="290"/>
      <c r="G58" s="207">
        <f>'Sched D-1'!G64</f>
        <v>5766088.7799999993</v>
      </c>
      <c r="H58" s="29"/>
      <c r="I58" s="635" t="s">
        <v>539</v>
      </c>
      <c r="J58" s="29"/>
      <c r="K58" s="207">
        <f>'Sched D-1'!O64</f>
        <v>5497463.7499999991</v>
      </c>
      <c r="M58" s="1624">
        <f t="shared" si="5"/>
        <v>0.87194347602411737</v>
      </c>
      <c r="N58" s="1625">
        <f t="shared" si="6"/>
        <v>5027703.4938968616</v>
      </c>
      <c r="O58" s="1625">
        <v>4793477.6514915787</v>
      </c>
      <c r="Q58" s="1065">
        <v>5497463.7499999991</v>
      </c>
      <c r="R58" s="256"/>
      <c r="S58" s="1065">
        <v>5497463.7499999991</v>
      </c>
      <c r="T58" s="1686">
        <v>4789600.7419931442</v>
      </c>
      <c r="U58" s="256"/>
      <c r="V58" s="1065">
        <v>5497463.7499999991</v>
      </c>
      <c r="W58" s="1686">
        <v>4789600.7419931442</v>
      </c>
      <c r="X58" s="256"/>
      <c r="Y58" s="1065">
        <v>5497463.7499999991</v>
      </c>
      <c r="Z58" s="1686">
        <v>4789646.7758926712</v>
      </c>
      <c r="AA58" s="256"/>
      <c r="AB58" s="1065">
        <v>5497463.7499999991</v>
      </c>
      <c r="AC58" s="1686">
        <v>4789258.8653745856</v>
      </c>
      <c r="AD58" s="256"/>
      <c r="AE58" s="1065">
        <v>5497463.7499999991</v>
      </c>
      <c r="AF58" s="1686">
        <v>4789258.8653745856</v>
      </c>
      <c r="AG58" s="256"/>
      <c r="AH58" s="1065">
        <v>5497463.7499999991</v>
      </c>
      <c r="AI58" s="1686">
        <v>4789258.8653745875</v>
      </c>
      <c r="AJ58" s="256"/>
      <c r="AK58" s="1065">
        <v>5497463.7499999991</v>
      </c>
      <c r="AL58" s="1686">
        <v>4789205.3695985265</v>
      </c>
      <c r="AM58" s="256"/>
      <c r="AN58" s="1065">
        <v>5497463.7499999991</v>
      </c>
      <c r="AO58" s="1686">
        <v>4789236.0084768385</v>
      </c>
      <c r="AP58" s="256"/>
      <c r="AQ58" s="1065">
        <v>5497463.7499999991</v>
      </c>
      <c r="AR58" s="1686">
        <v>4789236.0084768385</v>
      </c>
      <c r="AS58" s="256"/>
      <c r="AT58" s="1065">
        <v>5497463.7499999991</v>
      </c>
      <c r="AU58" s="1065">
        <v>4789236.0084768385</v>
      </c>
      <c r="AV58" s="256"/>
      <c r="AW58" s="1065">
        <v>5497463.7499999991</v>
      </c>
      <c r="AX58" s="1065">
        <v>4789236.0084768385</v>
      </c>
      <c r="AY58" s="256"/>
      <c r="AZ58" s="1065">
        <v>5497463.7499999991</v>
      </c>
      <c r="BA58" s="1065">
        <v>4789236.0084768385</v>
      </c>
      <c r="BB58" s="256"/>
      <c r="BC58" s="1065">
        <v>5497463.7499999991</v>
      </c>
      <c r="BD58" s="1065">
        <v>4789236.0084768385</v>
      </c>
      <c r="BE58" s="256"/>
      <c r="BF58" s="1065">
        <v>5497463.7499999991</v>
      </c>
      <c r="BG58" s="1065">
        <v>4789236.0084768385</v>
      </c>
      <c r="BH58" s="256"/>
      <c r="BI58" s="1065">
        <v>5497463.7499999991</v>
      </c>
      <c r="BJ58" s="1065">
        <v>4789236.0084768385</v>
      </c>
      <c r="BK58" s="256"/>
      <c r="BL58" s="1065">
        <v>5497463.7499999991</v>
      </c>
      <c r="BM58" s="1065">
        <v>4789236.0084768385</v>
      </c>
      <c r="BN58" s="256"/>
      <c r="BO58" s="1065">
        <v>5497463.7499999991</v>
      </c>
      <c r="BP58" s="1065">
        <v>4789236.0084768385</v>
      </c>
      <c r="BQ58" s="256"/>
      <c r="BR58" s="1065">
        <v>5497463.7499999991</v>
      </c>
      <c r="BS58" s="1065">
        <v>4789236.0084768385</v>
      </c>
      <c r="BT58" s="256"/>
      <c r="BU58" s="1065">
        <v>5497463.7499999991</v>
      </c>
      <c r="BV58" s="1065">
        <v>4789236.0084768385</v>
      </c>
      <c r="BW58" s="256"/>
      <c r="BX58" s="1065">
        <v>5497463.7499999991</v>
      </c>
      <c r="BY58" s="1065">
        <v>4789236.0084768385</v>
      </c>
      <c r="BZ58" s="256"/>
      <c r="CA58" s="1065">
        <v>5497463.7499999991</v>
      </c>
      <c r="CB58" s="1065">
        <v>4792529.1596082933</v>
      </c>
      <c r="CC58" s="256"/>
      <c r="CD58" s="1065">
        <v>5497463.7499999991</v>
      </c>
      <c r="CE58" s="1065">
        <v>4792529.1596082933</v>
      </c>
      <c r="CF58" s="256"/>
      <c r="CG58" s="1065">
        <v>5497463.7499999991</v>
      </c>
      <c r="CH58" s="1065">
        <v>4792529.1596082933</v>
      </c>
      <c r="CI58" s="1684">
        <f t="shared" si="0"/>
        <v>0</v>
      </c>
      <c r="CJ58" s="1065">
        <v>5497463.7499999991</v>
      </c>
      <c r="CK58" s="1065">
        <v>4792529.1596082933</v>
      </c>
      <c r="CL58" s="256"/>
      <c r="CM58" s="1065">
        <v>5497463.7499999991</v>
      </c>
      <c r="CN58" s="1065">
        <v>4792930.1104440503</v>
      </c>
      <c r="CO58" s="256"/>
      <c r="CP58" s="207">
        <v>5497463.7499999991</v>
      </c>
      <c r="CQ58" s="1065">
        <v>4792930.1104440503</v>
      </c>
      <c r="CR58" s="256"/>
      <c r="CS58" s="207">
        <v>5497463.7499999991</v>
      </c>
      <c r="CT58" s="1065">
        <v>4793477.6514915787</v>
      </c>
      <c r="CU58" s="256"/>
      <c r="CV58" s="1065">
        <v>5497463.7499999991</v>
      </c>
      <c r="CW58" s="1065">
        <v>4793477.6514915787</v>
      </c>
      <c r="CX58" s="256"/>
      <c r="CY58" s="1065"/>
      <c r="CZ58" s="1065"/>
    </row>
    <row r="59" spans="1:104">
      <c r="A59" s="260">
        <f>A58+1</f>
        <v>52</v>
      </c>
      <c r="B59" s="260">
        <f>'Sched D-1'!B65</f>
        <v>397</v>
      </c>
      <c r="C59" s="862" t="str">
        <f>'Sched D-1'!C65</f>
        <v>Communication Equipment</v>
      </c>
      <c r="D59" s="292"/>
      <c r="E59" s="583" t="s">
        <v>539</v>
      </c>
      <c r="F59" s="290"/>
      <c r="G59" s="207">
        <f>'Sched D-1'!G65</f>
        <v>846080.4</v>
      </c>
      <c r="H59" s="29"/>
      <c r="I59" s="635" t="s">
        <v>539</v>
      </c>
      <c r="J59" s="29"/>
      <c r="K59" s="207">
        <f>'Sched D-1'!O65</f>
        <v>846080.4</v>
      </c>
      <c r="M59" s="1624">
        <f t="shared" si="5"/>
        <v>0.87194347602411748</v>
      </c>
      <c r="N59" s="1625">
        <f t="shared" si="6"/>
        <v>737734.28497187572</v>
      </c>
      <c r="O59" s="1625">
        <v>737734.28497187572</v>
      </c>
      <c r="Q59" s="1065">
        <v>846080.4</v>
      </c>
      <c r="R59" s="256"/>
      <c r="S59" s="1065">
        <v>846080.4</v>
      </c>
      <c r="T59" s="1686">
        <v>737137.61398169422</v>
      </c>
      <c r="U59" s="256"/>
      <c r="V59" s="1065">
        <v>846080.4</v>
      </c>
      <c r="W59" s="1686">
        <v>737137.61398169422</v>
      </c>
      <c r="X59" s="256"/>
      <c r="Y59" s="1065">
        <v>846080.4</v>
      </c>
      <c r="Z59" s="1686">
        <v>737144.69877240807</v>
      </c>
      <c r="AA59" s="256"/>
      <c r="AB59" s="1065">
        <v>846080.4</v>
      </c>
      <c r="AC59" s="1686">
        <v>737084.99788100948</v>
      </c>
      <c r="AD59" s="256"/>
      <c r="AE59" s="1065">
        <v>846080.4</v>
      </c>
      <c r="AF59" s="1686">
        <v>737084.99788100948</v>
      </c>
      <c r="AG59" s="256"/>
      <c r="AH59" s="1065">
        <v>846080.4</v>
      </c>
      <c r="AI59" s="1686">
        <v>737084.99788100971</v>
      </c>
      <c r="AJ59" s="256"/>
      <c r="AK59" s="1065">
        <v>846080.4</v>
      </c>
      <c r="AL59" s="1686">
        <v>737076.76467936148</v>
      </c>
      <c r="AM59" s="256"/>
      <c r="AN59" s="1065">
        <v>846080.4</v>
      </c>
      <c r="AO59" s="1686">
        <v>737081.48011826142</v>
      </c>
      <c r="AP59" s="256"/>
      <c r="AQ59" s="1065">
        <v>846080.4</v>
      </c>
      <c r="AR59" s="1686">
        <v>737081.48011826142</v>
      </c>
      <c r="AS59" s="256"/>
      <c r="AT59" s="1065">
        <v>846080.4</v>
      </c>
      <c r="AU59" s="1065">
        <v>737081.48011826142</v>
      </c>
      <c r="AV59" s="256"/>
      <c r="AW59" s="1065">
        <v>846080.4</v>
      </c>
      <c r="AX59" s="1065">
        <v>737081.48011826142</v>
      </c>
      <c r="AY59" s="256"/>
      <c r="AZ59" s="1065">
        <v>846080.4</v>
      </c>
      <c r="BA59" s="1065">
        <v>737081.48011826142</v>
      </c>
      <c r="BB59" s="256"/>
      <c r="BC59" s="1065">
        <v>846080.4</v>
      </c>
      <c r="BD59" s="1065">
        <v>737081.48011826142</v>
      </c>
      <c r="BE59" s="256"/>
      <c r="BF59" s="1065">
        <v>846080.4</v>
      </c>
      <c r="BG59" s="1065">
        <v>737081.48011826142</v>
      </c>
      <c r="BH59" s="256"/>
      <c r="BI59" s="1065">
        <v>846080.4</v>
      </c>
      <c r="BJ59" s="1065">
        <v>737081.48011826142</v>
      </c>
      <c r="BK59" s="256"/>
      <c r="BL59" s="1065">
        <v>846080.4</v>
      </c>
      <c r="BM59" s="1065">
        <v>737081.48011826142</v>
      </c>
      <c r="BN59" s="256"/>
      <c r="BO59" s="1065">
        <v>846080.4</v>
      </c>
      <c r="BP59" s="1065">
        <v>737081.48011826142</v>
      </c>
      <c r="BQ59" s="256"/>
      <c r="BR59" s="1065">
        <v>846080.4</v>
      </c>
      <c r="BS59" s="1065">
        <v>737081.48011826142</v>
      </c>
      <c r="BT59" s="256"/>
      <c r="BU59" s="1065">
        <v>846080.4</v>
      </c>
      <c r="BV59" s="1065">
        <v>737081.48011826142</v>
      </c>
      <c r="BW59" s="256"/>
      <c r="BX59" s="1065">
        <v>846080.4</v>
      </c>
      <c r="BY59" s="1065">
        <v>737081.48011826142</v>
      </c>
      <c r="BZ59" s="256"/>
      <c r="CA59" s="1065">
        <v>846080.4</v>
      </c>
      <c r="CB59" s="1065">
        <v>737588.30849463074</v>
      </c>
      <c r="CC59" s="256"/>
      <c r="CD59" s="1065">
        <v>846080.4</v>
      </c>
      <c r="CE59" s="1065">
        <v>737588.30849463074</v>
      </c>
      <c r="CF59" s="256"/>
      <c r="CG59" s="1065">
        <v>846080.4</v>
      </c>
      <c r="CH59" s="1065">
        <v>737588.30849463074</v>
      </c>
      <c r="CI59" s="1684">
        <f t="shared" si="0"/>
        <v>0</v>
      </c>
      <c r="CJ59" s="1065">
        <v>846080.4</v>
      </c>
      <c r="CK59" s="1065">
        <v>737588.30849463074</v>
      </c>
      <c r="CL59" s="256"/>
      <c r="CM59" s="1065">
        <v>846080.4</v>
      </c>
      <c r="CN59" s="1065">
        <v>737650.01634008903</v>
      </c>
      <c r="CO59" s="256"/>
      <c r="CP59" s="207">
        <v>846080.4</v>
      </c>
      <c r="CQ59" s="1065">
        <v>737650.01634008903</v>
      </c>
      <c r="CR59" s="256"/>
      <c r="CS59" s="207">
        <v>846080.4</v>
      </c>
      <c r="CT59" s="1065">
        <v>737734.28497187572</v>
      </c>
      <c r="CU59" s="256"/>
      <c r="CV59" s="1065">
        <v>846080.4</v>
      </c>
      <c r="CW59" s="1065">
        <v>737734.28497187572</v>
      </c>
      <c r="CX59" s="256"/>
      <c r="CY59" s="1065"/>
      <c r="CZ59" s="1065"/>
    </row>
    <row r="60" spans="1:104">
      <c r="A60" s="260">
        <f>A59+1</f>
        <v>53</v>
      </c>
      <c r="B60" s="260">
        <f>'Sched D-1'!B66</f>
        <v>398</v>
      </c>
      <c r="C60" s="862" t="str">
        <f>'Sched D-1'!C66</f>
        <v>Miscellaneous Equipment</v>
      </c>
      <c r="D60" s="292"/>
      <c r="E60" s="289" t="s">
        <v>539</v>
      </c>
      <c r="F60" s="290"/>
      <c r="G60" s="207">
        <f>'Sched D-1'!G66</f>
        <v>177567.56999999998</v>
      </c>
      <c r="H60" s="29"/>
      <c r="I60" s="635" t="s">
        <v>539</v>
      </c>
      <c r="J60" s="29"/>
      <c r="K60" s="207">
        <f>'Sched D-1'!O66</f>
        <v>177567.56999999998</v>
      </c>
      <c r="M60" s="1624">
        <f t="shared" si="5"/>
        <v>0.87194347602411737</v>
      </c>
      <c r="N60" s="1625">
        <f t="shared" si="6"/>
        <v>154828.88421495576</v>
      </c>
      <c r="O60" s="1625">
        <v>154828.88421495576</v>
      </c>
      <c r="Q60" s="1065">
        <v>177567.56999999998</v>
      </c>
      <c r="R60" s="256"/>
      <c r="S60" s="1065">
        <v>177567.56999999998</v>
      </c>
      <c r="T60" s="1686">
        <v>154703.66039720038</v>
      </c>
      <c r="U60" s="256"/>
      <c r="V60" s="1065">
        <v>177567.56999999998</v>
      </c>
      <c r="W60" s="1686">
        <v>154703.66039720038</v>
      </c>
      <c r="X60" s="256"/>
      <c r="Y60" s="1065">
        <v>177567.56999999998</v>
      </c>
      <c r="Z60" s="1686">
        <v>154705.14728789183</v>
      </c>
      <c r="AA60" s="256"/>
      <c r="AB60" s="1065">
        <v>177567.56999999998</v>
      </c>
      <c r="AC60" s="1686">
        <v>154692.61781408242</v>
      </c>
      <c r="AD60" s="256"/>
      <c r="AE60" s="1065">
        <v>177567.56999999998</v>
      </c>
      <c r="AF60" s="1686">
        <v>154692.61781408242</v>
      </c>
      <c r="AG60" s="256"/>
      <c r="AH60" s="1065">
        <v>177567.56999999998</v>
      </c>
      <c r="AI60" s="1686">
        <v>154692.61781408245</v>
      </c>
      <c r="AJ60" s="256"/>
      <c r="AK60" s="1065">
        <v>177567.56999999998</v>
      </c>
      <c r="AL60" s="1686">
        <v>154690.88990547002</v>
      </c>
      <c r="AM60" s="256"/>
      <c r="AN60" s="1065">
        <v>177567.56999999998</v>
      </c>
      <c r="AO60" s="1686">
        <v>154691.87953840196</v>
      </c>
      <c r="AP60" s="256"/>
      <c r="AQ60" s="1065">
        <v>177567.56999999998</v>
      </c>
      <c r="AR60" s="1686">
        <v>154691.87953840199</v>
      </c>
      <c r="AS60" s="256"/>
      <c r="AT60" s="1065">
        <v>177567.56999999998</v>
      </c>
      <c r="AU60" s="1065">
        <v>154691.87953840196</v>
      </c>
      <c r="AV60" s="256"/>
      <c r="AW60" s="1065">
        <v>177567.56999999998</v>
      </c>
      <c r="AX60" s="1065">
        <v>154691.87953840196</v>
      </c>
      <c r="AY60" s="256"/>
      <c r="AZ60" s="1065">
        <v>177567.56999999998</v>
      </c>
      <c r="BA60" s="1065">
        <v>154691.87953840199</v>
      </c>
      <c r="BB60" s="256"/>
      <c r="BC60" s="1065">
        <v>177567.56999999998</v>
      </c>
      <c r="BD60" s="1065">
        <v>154691.87953840199</v>
      </c>
      <c r="BE60" s="256"/>
      <c r="BF60" s="1065">
        <v>177567.56999999998</v>
      </c>
      <c r="BG60" s="1065">
        <v>154691.87953840196</v>
      </c>
      <c r="BH60" s="256"/>
      <c r="BI60" s="1065">
        <v>177567.56999999998</v>
      </c>
      <c r="BJ60" s="1065">
        <v>154691.87953840199</v>
      </c>
      <c r="BK60" s="256"/>
      <c r="BL60" s="1065">
        <v>177567.56999999998</v>
      </c>
      <c r="BM60" s="1065">
        <v>154691.87953840196</v>
      </c>
      <c r="BN60" s="256"/>
      <c r="BO60" s="1065">
        <v>177567.56999999998</v>
      </c>
      <c r="BP60" s="1065">
        <v>154691.87953840196</v>
      </c>
      <c r="BQ60" s="256"/>
      <c r="BR60" s="1065">
        <v>177567.56999999998</v>
      </c>
      <c r="BS60" s="1065">
        <v>154691.87953840196</v>
      </c>
      <c r="BT60" s="256"/>
      <c r="BU60" s="1065">
        <v>177567.56999999998</v>
      </c>
      <c r="BV60" s="1065">
        <v>154691.87953840196</v>
      </c>
      <c r="BW60" s="256"/>
      <c r="BX60" s="1065">
        <v>177567.56999999998</v>
      </c>
      <c r="BY60" s="1065">
        <v>154691.87953840199</v>
      </c>
      <c r="BZ60" s="256"/>
      <c r="CA60" s="1065">
        <v>177567.56999999998</v>
      </c>
      <c r="CB60" s="1065">
        <v>154798.24801496635</v>
      </c>
      <c r="CC60" s="256"/>
      <c r="CD60" s="1065">
        <v>177567.56999999998</v>
      </c>
      <c r="CE60" s="1065">
        <v>154798.24801496635</v>
      </c>
      <c r="CF60" s="256"/>
      <c r="CG60" s="1065">
        <v>177567.56999999998</v>
      </c>
      <c r="CH60" s="1065">
        <v>154798.24801496635</v>
      </c>
      <c r="CI60" s="1684">
        <f t="shared" si="0"/>
        <v>0</v>
      </c>
      <c r="CJ60" s="1065">
        <v>177567.56999999998</v>
      </c>
      <c r="CK60" s="1065">
        <v>154798.24801496635</v>
      </c>
      <c r="CL60" s="256"/>
      <c r="CM60" s="1065">
        <v>177567.56999999998</v>
      </c>
      <c r="CN60" s="1065">
        <v>154811.19868982889</v>
      </c>
      <c r="CO60" s="256"/>
      <c r="CP60" s="207">
        <v>177567.56999999998</v>
      </c>
      <c r="CQ60" s="1065">
        <v>154811.19868982889</v>
      </c>
      <c r="CR60" s="256"/>
      <c r="CS60" s="207">
        <v>177567.56999999998</v>
      </c>
      <c r="CT60" s="1065">
        <v>154828.88421495576</v>
      </c>
      <c r="CU60" s="256"/>
      <c r="CV60" s="1065">
        <v>177567.56999999998</v>
      </c>
      <c r="CW60" s="1065">
        <v>154828.88421495576</v>
      </c>
      <c r="CX60" s="256"/>
      <c r="CY60" s="1065"/>
      <c r="CZ60" s="1065"/>
    </row>
    <row r="61" spans="1:104">
      <c r="A61" s="260">
        <f t="shared" si="1"/>
        <v>54</v>
      </c>
      <c r="B61" s="260">
        <f>'Sched D-1'!B67</f>
        <v>399</v>
      </c>
      <c r="C61" s="862" t="str">
        <f>'Sched D-1'!C67</f>
        <v>Other Tangible Property</v>
      </c>
      <c r="D61" s="292"/>
      <c r="E61" s="289" t="s">
        <v>539</v>
      </c>
      <c r="F61" s="290"/>
      <c r="G61" s="787">
        <f>'Sched D-1'!G67</f>
        <v>0</v>
      </c>
      <c r="H61" s="29"/>
      <c r="I61" s="635" t="s">
        <v>539</v>
      </c>
      <c r="J61" s="29"/>
      <c r="K61" s="787">
        <f>'Sched D-1'!O67</f>
        <v>0</v>
      </c>
      <c r="M61" s="1624">
        <f t="shared" si="5"/>
        <v>0</v>
      </c>
      <c r="N61" s="1626">
        <f t="shared" si="6"/>
        <v>0</v>
      </c>
      <c r="O61" s="1626">
        <v>0</v>
      </c>
      <c r="Q61" s="1687">
        <v>0</v>
      </c>
      <c r="R61" s="256"/>
      <c r="S61" s="1687">
        <v>0</v>
      </c>
      <c r="T61" s="1688">
        <v>0</v>
      </c>
      <c r="U61" s="256"/>
      <c r="V61" s="1687">
        <v>0</v>
      </c>
      <c r="W61" s="1688">
        <v>0</v>
      </c>
      <c r="X61" s="256"/>
      <c r="Y61" s="1687">
        <v>0</v>
      </c>
      <c r="Z61" s="1688">
        <v>0</v>
      </c>
      <c r="AA61" s="256"/>
      <c r="AB61" s="1687">
        <v>0</v>
      </c>
      <c r="AC61" s="1688">
        <v>0</v>
      </c>
      <c r="AD61" s="256"/>
      <c r="AE61" s="1687">
        <v>0</v>
      </c>
      <c r="AF61" s="1688">
        <v>0</v>
      </c>
      <c r="AG61" s="256"/>
      <c r="AH61" s="1687">
        <v>0</v>
      </c>
      <c r="AI61" s="1688">
        <v>0</v>
      </c>
      <c r="AJ61" s="256"/>
      <c r="AK61" s="1687">
        <v>0</v>
      </c>
      <c r="AL61" s="1688">
        <v>0</v>
      </c>
      <c r="AM61" s="256"/>
      <c r="AN61" s="1687">
        <v>0</v>
      </c>
      <c r="AO61" s="1688">
        <v>0</v>
      </c>
      <c r="AP61" s="256"/>
      <c r="AQ61" s="1687">
        <v>0</v>
      </c>
      <c r="AR61" s="1688">
        <v>0</v>
      </c>
      <c r="AS61" s="256"/>
      <c r="AT61" s="1687">
        <v>0</v>
      </c>
      <c r="AU61" s="1687">
        <v>0</v>
      </c>
      <c r="AV61" s="256"/>
      <c r="AW61" s="1687">
        <v>0</v>
      </c>
      <c r="AX61" s="1687">
        <v>0</v>
      </c>
      <c r="AY61" s="256"/>
      <c r="AZ61" s="1687">
        <v>0</v>
      </c>
      <c r="BA61" s="1687">
        <v>0</v>
      </c>
      <c r="BB61" s="256"/>
      <c r="BC61" s="1687">
        <v>0</v>
      </c>
      <c r="BD61" s="1687">
        <v>0</v>
      </c>
      <c r="BE61" s="256"/>
      <c r="BF61" s="1687">
        <v>0</v>
      </c>
      <c r="BG61" s="1687">
        <v>0</v>
      </c>
      <c r="BH61" s="256"/>
      <c r="BI61" s="1687">
        <v>0</v>
      </c>
      <c r="BJ61" s="1687">
        <v>0</v>
      </c>
      <c r="BK61" s="256"/>
      <c r="BL61" s="1687">
        <v>0</v>
      </c>
      <c r="BM61" s="1687">
        <v>0</v>
      </c>
      <c r="BN61" s="256"/>
      <c r="BO61" s="1687">
        <v>0</v>
      </c>
      <c r="BP61" s="1687">
        <v>0</v>
      </c>
      <c r="BQ61" s="256"/>
      <c r="BR61" s="1687">
        <v>0</v>
      </c>
      <c r="BS61" s="1687">
        <v>0</v>
      </c>
      <c r="BT61" s="256"/>
      <c r="BU61" s="1687">
        <v>0</v>
      </c>
      <c r="BV61" s="1687">
        <v>0</v>
      </c>
      <c r="BW61" s="256"/>
      <c r="BX61" s="1687">
        <v>0</v>
      </c>
      <c r="BY61" s="1687">
        <v>0</v>
      </c>
      <c r="BZ61" s="256"/>
      <c r="CA61" s="1687">
        <v>0</v>
      </c>
      <c r="CB61" s="1687">
        <v>0</v>
      </c>
      <c r="CC61" s="256"/>
      <c r="CD61" s="1687">
        <v>0</v>
      </c>
      <c r="CE61" s="1687">
        <v>0</v>
      </c>
      <c r="CF61" s="256"/>
      <c r="CG61" s="1687">
        <v>0</v>
      </c>
      <c r="CH61" s="1687">
        <v>0</v>
      </c>
      <c r="CI61" s="1684">
        <f t="shared" si="0"/>
        <v>0</v>
      </c>
      <c r="CJ61" s="1687">
        <v>0</v>
      </c>
      <c r="CK61" s="1687">
        <v>0</v>
      </c>
      <c r="CL61" s="256"/>
      <c r="CM61" s="1687">
        <v>0</v>
      </c>
      <c r="CN61" s="1687">
        <v>0</v>
      </c>
      <c r="CO61" s="256"/>
      <c r="CP61" s="787">
        <v>0</v>
      </c>
      <c r="CQ61" s="1687">
        <v>0</v>
      </c>
      <c r="CR61" s="256"/>
      <c r="CS61" s="787">
        <v>0</v>
      </c>
      <c r="CT61" s="1687">
        <v>0</v>
      </c>
      <c r="CU61" s="256"/>
      <c r="CV61" s="1687">
        <v>0</v>
      </c>
      <c r="CW61" s="1687">
        <v>0</v>
      </c>
      <c r="CX61" s="256"/>
      <c r="CY61" s="1687"/>
      <c r="CZ61" s="1687"/>
    </row>
    <row r="62" spans="1:104">
      <c r="A62" s="260">
        <f t="shared" si="1"/>
        <v>55</v>
      </c>
      <c r="B62" s="260"/>
      <c r="C62" s="275" t="s">
        <v>79</v>
      </c>
      <c r="D62" s="292"/>
      <c r="E62" s="289" t="s">
        <v>567</v>
      </c>
      <c r="F62" s="290"/>
      <c r="G62" s="361">
        <f>+'Stmt D'!J24</f>
        <v>87797857</v>
      </c>
      <c r="H62" s="29"/>
      <c r="I62" s="583" t="s">
        <v>567</v>
      </c>
      <c r="J62" s="29"/>
      <c r="K62" s="361">
        <f>+'Stmt D'!N24</f>
        <v>104026243</v>
      </c>
      <c r="M62" s="1630" t="s">
        <v>1528</v>
      </c>
      <c r="N62" s="1614">
        <f>SUM(N39:N61)</f>
        <v>76554768.829314813</v>
      </c>
      <c r="O62" s="1614">
        <v>90705003.770919114</v>
      </c>
      <c r="Q62" s="333">
        <v>102537170</v>
      </c>
      <c r="R62" s="256"/>
      <c r="S62" s="333">
        <v>102537170</v>
      </c>
      <c r="T62" s="1693">
        <v>89334305.433729738</v>
      </c>
      <c r="U62" s="256"/>
      <c r="V62" s="333">
        <v>102537170</v>
      </c>
      <c r="W62" s="1693">
        <v>89334305.433729738</v>
      </c>
      <c r="X62" s="256"/>
      <c r="Y62" s="333">
        <v>102537170</v>
      </c>
      <c r="Z62" s="1693">
        <v>89335164.045263812</v>
      </c>
      <c r="AA62" s="256"/>
      <c r="AB62" s="333">
        <v>102537170</v>
      </c>
      <c r="AC62" s="1693">
        <v>89327928.845803469</v>
      </c>
      <c r="AD62" s="256"/>
      <c r="AE62" s="333">
        <v>102537170</v>
      </c>
      <c r="AF62" s="1693">
        <v>89327928.845803469</v>
      </c>
      <c r="AG62" s="256"/>
      <c r="AH62" s="333">
        <v>102537170</v>
      </c>
      <c r="AI62" s="1693">
        <v>89327928.845803529</v>
      </c>
      <c r="AJ62" s="256"/>
      <c r="AK62" s="333">
        <v>102537170</v>
      </c>
      <c r="AL62" s="1693">
        <v>89326931.057416648</v>
      </c>
      <c r="AM62" s="256"/>
      <c r="AN62" s="333">
        <v>102537170</v>
      </c>
      <c r="AO62" s="1693">
        <v>89327502.525282294</v>
      </c>
      <c r="AP62" s="256"/>
      <c r="AQ62" s="333">
        <v>102537170</v>
      </c>
      <c r="AR62" s="1693">
        <v>89327502.525282294</v>
      </c>
      <c r="AS62" s="256"/>
      <c r="AT62" s="333">
        <v>102537170</v>
      </c>
      <c r="AU62" s="333">
        <v>89327502.525282294</v>
      </c>
      <c r="AV62" s="256"/>
      <c r="AW62" s="333">
        <v>102537170</v>
      </c>
      <c r="AX62" s="333">
        <v>89327502.525282294</v>
      </c>
      <c r="AY62" s="256"/>
      <c r="AZ62" s="333">
        <v>102537170</v>
      </c>
      <c r="BA62" s="333">
        <v>89327502.525282294</v>
      </c>
      <c r="BB62" s="256"/>
      <c r="BC62" s="333">
        <v>102537170</v>
      </c>
      <c r="BD62" s="333">
        <v>89327502.525282294</v>
      </c>
      <c r="BE62" s="256"/>
      <c r="BF62" s="333">
        <v>102537170</v>
      </c>
      <c r="BG62" s="333">
        <v>89327502.525282294</v>
      </c>
      <c r="BH62" s="256"/>
      <c r="BI62" s="333">
        <v>102537170</v>
      </c>
      <c r="BJ62" s="333">
        <v>89327502.525282294</v>
      </c>
      <c r="BK62" s="256"/>
      <c r="BL62" s="333">
        <v>102537170</v>
      </c>
      <c r="BM62" s="333">
        <v>89327502.525282294</v>
      </c>
      <c r="BN62" s="256"/>
      <c r="BO62" s="333">
        <v>102537170</v>
      </c>
      <c r="BP62" s="333">
        <v>89327502.525282294</v>
      </c>
      <c r="BQ62" s="256"/>
      <c r="BR62" s="333">
        <v>102537170</v>
      </c>
      <c r="BS62" s="333">
        <v>89327502.525282294</v>
      </c>
      <c r="BT62" s="256"/>
      <c r="BU62" s="333">
        <v>102537170</v>
      </c>
      <c r="BV62" s="333">
        <v>89327502.525282294</v>
      </c>
      <c r="BW62" s="256"/>
      <c r="BX62" s="333">
        <v>102537170</v>
      </c>
      <c r="BY62" s="333">
        <v>89327502.525282294</v>
      </c>
      <c r="BZ62" s="256"/>
      <c r="CA62" s="333">
        <v>104026243</v>
      </c>
      <c r="CB62" s="333">
        <v>90687055.849575758</v>
      </c>
      <c r="CC62" s="256"/>
      <c r="CD62" s="333">
        <v>104026243</v>
      </c>
      <c r="CE62" s="333">
        <v>90687055.849575758</v>
      </c>
      <c r="CF62" s="256"/>
      <c r="CG62" s="333">
        <v>104026243</v>
      </c>
      <c r="CH62" s="333">
        <v>90687055.849575758</v>
      </c>
      <c r="CI62" s="1684">
        <f t="shared" si="0"/>
        <v>0</v>
      </c>
      <c r="CJ62" s="333">
        <v>104026243</v>
      </c>
      <c r="CK62" s="333">
        <v>90687055.849575758</v>
      </c>
      <c r="CL62" s="256"/>
      <c r="CM62" s="333">
        <v>104026243</v>
      </c>
      <c r="CN62" s="333">
        <v>90694642.877139792</v>
      </c>
      <c r="CO62" s="256"/>
      <c r="CP62" s="361">
        <v>104026243</v>
      </c>
      <c r="CQ62" s="333">
        <v>90694642.877139792</v>
      </c>
      <c r="CR62" s="256"/>
      <c r="CS62" s="361">
        <v>104026243</v>
      </c>
      <c r="CT62" s="333">
        <v>90705003.770919114</v>
      </c>
      <c r="CU62" s="256"/>
      <c r="CV62" s="333">
        <v>104026243</v>
      </c>
      <c r="CW62" s="333">
        <v>90705003.770919114</v>
      </c>
      <c r="CX62" s="256"/>
      <c r="CY62" s="333"/>
      <c r="CZ62" s="333"/>
    </row>
    <row r="63" spans="1:104">
      <c r="A63" s="260">
        <f t="shared" si="1"/>
        <v>56</v>
      </c>
      <c r="B63" s="260"/>
      <c r="C63" s="275"/>
      <c r="D63" s="292"/>
      <c r="E63" s="289"/>
      <c r="F63" s="290"/>
      <c r="G63" s="361"/>
      <c r="H63" s="29"/>
      <c r="I63" s="583"/>
      <c r="J63" s="29"/>
      <c r="K63" s="361"/>
      <c r="M63" s="1624"/>
      <c r="N63" s="1113"/>
      <c r="O63" s="1113"/>
      <c r="Q63" s="333"/>
      <c r="R63" s="256"/>
      <c r="S63" s="333"/>
      <c r="T63" s="1693"/>
      <c r="U63" s="256"/>
      <c r="V63" s="333"/>
      <c r="W63" s="1693"/>
      <c r="X63" s="256"/>
      <c r="Y63" s="333"/>
      <c r="Z63" s="1693"/>
      <c r="AA63" s="256"/>
      <c r="AB63" s="333"/>
      <c r="AC63" s="1693"/>
      <c r="AD63" s="256"/>
      <c r="AE63" s="333"/>
      <c r="AF63" s="1693"/>
      <c r="AG63" s="256"/>
      <c r="AH63" s="333"/>
      <c r="AI63" s="1693"/>
      <c r="AJ63" s="256"/>
      <c r="AK63" s="333"/>
      <c r="AL63" s="1693"/>
      <c r="AM63" s="256"/>
      <c r="AN63" s="333"/>
      <c r="AO63" s="1693"/>
      <c r="AP63" s="256"/>
      <c r="AQ63" s="333"/>
      <c r="AR63" s="1693"/>
      <c r="AS63" s="256"/>
      <c r="AT63" s="333"/>
      <c r="AU63" s="333"/>
      <c r="AV63" s="256"/>
      <c r="AW63" s="333"/>
      <c r="AX63" s="333"/>
      <c r="AY63" s="256"/>
      <c r="AZ63" s="333"/>
      <c r="BA63" s="333"/>
      <c r="BB63" s="256"/>
      <c r="BC63" s="333"/>
      <c r="BD63" s="333"/>
      <c r="BE63" s="256"/>
      <c r="BF63" s="333"/>
      <c r="BG63" s="333"/>
      <c r="BH63" s="256"/>
      <c r="BI63" s="333"/>
      <c r="BJ63" s="333"/>
      <c r="BK63" s="256"/>
      <c r="BL63" s="333"/>
      <c r="BM63" s="333"/>
      <c r="BN63" s="256"/>
      <c r="BO63" s="333"/>
      <c r="BP63" s="333"/>
      <c r="BQ63" s="256"/>
      <c r="BR63" s="333"/>
      <c r="BS63" s="333"/>
      <c r="BT63" s="256"/>
      <c r="BU63" s="333"/>
      <c r="BV63" s="333"/>
      <c r="BW63" s="256"/>
      <c r="BX63" s="333"/>
      <c r="BY63" s="333"/>
      <c r="BZ63" s="256"/>
      <c r="CA63" s="333"/>
      <c r="CB63" s="333"/>
      <c r="CC63" s="256"/>
      <c r="CD63" s="333"/>
      <c r="CE63" s="333"/>
      <c r="CF63" s="256"/>
      <c r="CG63" s="333"/>
      <c r="CH63" s="333"/>
      <c r="CI63" s="1684">
        <f t="shared" si="0"/>
        <v>0</v>
      </c>
      <c r="CJ63" s="333"/>
      <c r="CK63" s="333"/>
      <c r="CL63" s="256"/>
      <c r="CM63" s="333"/>
      <c r="CN63" s="333"/>
      <c r="CO63" s="256"/>
      <c r="CP63" s="361"/>
      <c r="CQ63" s="333"/>
      <c r="CR63" s="256"/>
      <c r="CS63" s="361"/>
      <c r="CT63" s="333"/>
      <c r="CU63" s="256"/>
      <c r="CV63" s="333"/>
      <c r="CW63" s="333"/>
      <c r="CX63" s="256"/>
      <c r="CY63" s="333"/>
      <c r="CZ63" s="333"/>
    </row>
    <row r="64" spans="1:104" s="582" customFormat="1">
      <c r="A64" s="581">
        <f t="shared" si="1"/>
        <v>57</v>
      </c>
      <c r="B64" s="581">
        <f>'Sched D-1'!B70</f>
        <v>118</v>
      </c>
      <c r="C64" s="863" t="s">
        <v>1245</v>
      </c>
      <c r="D64" s="290"/>
      <c r="E64" s="583" t="s">
        <v>539</v>
      </c>
      <c r="F64" s="290"/>
      <c r="G64" s="353">
        <f>'Sched D-1'!G70+'Sched D-1'!G71</f>
        <v>28164424.752161484</v>
      </c>
      <c r="H64" s="29"/>
      <c r="I64" s="635" t="s">
        <v>539</v>
      </c>
      <c r="J64" s="29"/>
      <c r="K64" s="353">
        <f>'Sched D-1'!O70+'Sched D-1'!O71</f>
        <v>12965643.674929507</v>
      </c>
      <c r="L64" s="255"/>
      <c r="M64" s="1624">
        <f>IF(ISERROR(O64/K64),0,O64/K64)</f>
        <v>0.94873241983789069</v>
      </c>
      <c r="N64" s="1566">
        <f>M64*G64</f>
        <v>26720502.84846035</v>
      </c>
      <c r="O64" s="1566">
        <v>12300926.498471713</v>
      </c>
      <c r="Q64" s="816">
        <v>12499746.521456007</v>
      </c>
      <c r="R64" s="256"/>
      <c r="S64" s="816">
        <v>12499746.521456007</v>
      </c>
      <c r="T64" s="1691">
        <v>11858914.764661215</v>
      </c>
      <c r="U64" s="256"/>
      <c r="V64" s="816">
        <v>12499746.521456007</v>
      </c>
      <c r="W64" s="1691">
        <v>11858914.764661215</v>
      </c>
      <c r="X64" s="256"/>
      <c r="Y64" s="816">
        <v>12499746.521456007</v>
      </c>
      <c r="Z64" s="1691">
        <v>11858914.764661215</v>
      </c>
      <c r="AA64" s="256"/>
      <c r="AB64" s="816">
        <v>12499746.521456007</v>
      </c>
      <c r="AC64" s="1691">
        <v>11858914.764661215</v>
      </c>
      <c r="AD64" s="256"/>
      <c r="AE64" s="816">
        <v>12499746.521456007</v>
      </c>
      <c r="AF64" s="1691">
        <v>11858914.764661215</v>
      </c>
      <c r="AG64" s="256"/>
      <c r="AH64" s="816">
        <v>12499746.521456007</v>
      </c>
      <c r="AI64" s="1691">
        <v>11858914.764661215</v>
      </c>
      <c r="AJ64" s="256"/>
      <c r="AK64" s="816">
        <v>12499746.521456007</v>
      </c>
      <c r="AL64" s="1691">
        <v>11858914.764661215</v>
      </c>
      <c r="AM64" s="256"/>
      <c r="AN64" s="816">
        <v>12499746.521456007</v>
      </c>
      <c r="AO64" s="1691">
        <v>11858914.764661215</v>
      </c>
      <c r="AP64" s="256"/>
      <c r="AQ64" s="816">
        <v>12499746.521456007</v>
      </c>
      <c r="AR64" s="1691">
        <v>11858914.764661215</v>
      </c>
      <c r="AS64" s="256"/>
      <c r="AT64" s="816">
        <v>12499746.521456007</v>
      </c>
      <c r="AU64" s="816">
        <v>11858914.764661215</v>
      </c>
      <c r="AV64" s="256"/>
      <c r="AW64" s="816">
        <v>12499746.521456007</v>
      </c>
      <c r="AX64" s="816">
        <v>11858914.764661215</v>
      </c>
      <c r="AY64" s="256"/>
      <c r="AZ64" s="816">
        <v>12499746.521456007</v>
      </c>
      <c r="BA64" s="816">
        <v>11858914.764661215</v>
      </c>
      <c r="BB64" s="256"/>
      <c r="BC64" s="816">
        <v>12499746.521456007</v>
      </c>
      <c r="BD64" s="816">
        <v>11858914.764661215</v>
      </c>
      <c r="BE64" s="256"/>
      <c r="BF64" s="816">
        <v>12499746.521456007</v>
      </c>
      <c r="BG64" s="816">
        <v>11858914.764661215</v>
      </c>
      <c r="BH64" s="256"/>
      <c r="BI64" s="816">
        <v>12499746.521456007</v>
      </c>
      <c r="BJ64" s="816">
        <v>11858914.764661215</v>
      </c>
      <c r="BK64" s="256"/>
      <c r="BL64" s="816">
        <v>12499746.521456007</v>
      </c>
      <c r="BM64" s="816">
        <v>11858914.764661215</v>
      </c>
      <c r="BN64" s="256"/>
      <c r="BO64" s="816">
        <v>12499746.521456007</v>
      </c>
      <c r="BP64" s="816">
        <v>11858914.764661215</v>
      </c>
      <c r="BQ64" s="256"/>
      <c r="BR64" s="816">
        <v>12499746.521456007</v>
      </c>
      <c r="BS64" s="816">
        <v>11858914.764661215</v>
      </c>
      <c r="BT64" s="256"/>
      <c r="BU64" s="816">
        <v>12499746.521456007</v>
      </c>
      <c r="BV64" s="816">
        <v>11858914.764661215</v>
      </c>
      <c r="BW64" s="256"/>
      <c r="BX64" s="816">
        <v>12499746.521456007</v>
      </c>
      <c r="BY64" s="816">
        <v>11858914.764661215</v>
      </c>
      <c r="BZ64" s="256"/>
      <c r="CA64" s="816">
        <v>12965643.674929507</v>
      </c>
      <c r="CB64" s="816">
        <v>12300926.498471713</v>
      </c>
      <c r="CC64" s="256"/>
      <c r="CD64" s="816">
        <v>12965643.674929507</v>
      </c>
      <c r="CE64" s="816">
        <v>12300926.498471713</v>
      </c>
      <c r="CF64" s="256"/>
      <c r="CG64" s="816">
        <v>12965643.674929507</v>
      </c>
      <c r="CH64" s="816">
        <v>12300926.498471713</v>
      </c>
      <c r="CI64" s="1684">
        <f t="shared" si="0"/>
        <v>0</v>
      </c>
      <c r="CJ64" s="816">
        <v>12965643.674929507</v>
      </c>
      <c r="CK64" s="816">
        <v>12300926.498471713</v>
      </c>
      <c r="CL64" s="256"/>
      <c r="CM64" s="816">
        <v>12965643.674929507</v>
      </c>
      <c r="CN64" s="816">
        <v>12300926.498471713</v>
      </c>
      <c r="CO64" s="256"/>
      <c r="CP64" s="353">
        <v>12965643.674929507</v>
      </c>
      <c r="CQ64" s="816">
        <v>12300926.498471713</v>
      </c>
      <c r="CR64" s="256"/>
      <c r="CS64" s="353">
        <v>12965643.674929507</v>
      </c>
      <c r="CT64" s="816">
        <v>12300926.498471713</v>
      </c>
      <c r="CU64" s="256"/>
      <c r="CV64" s="816">
        <v>12965643.674929507</v>
      </c>
      <c r="CW64" s="816">
        <v>12300926.498471713</v>
      </c>
      <c r="CX64" s="256"/>
      <c r="CY64" s="816"/>
      <c r="CZ64" s="816"/>
    </row>
    <row r="65" spans="1:104" s="582" customFormat="1">
      <c r="A65" s="581">
        <f>A64+1</f>
        <v>58</v>
      </c>
      <c r="B65" s="581">
        <f>'Sched D-1'!B74</f>
        <v>118</v>
      </c>
      <c r="C65" s="863" t="s">
        <v>1246</v>
      </c>
      <c r="D65" s="290"/>
      <c r="E65" s="583" t="s">
        <v>539</v>
      </c>
      <c r="F65" s="290"/>
      <c r="G65" s="787">
        <f>'Sched D-1'!G72+'Sched D-1'!G73+'Sched D-1'!G74</f>
        <v>17371047.343319073</v>
      </c>
      <c r="H65" s="29"/>
      <c r="I65" s="635" t="s">
        <v>539</v>
      </c>
      <c r="J65" s="29"/>
      <c r="K65" s="787">
        <f>'Sched D-1'!O72+'Sched D-1'!O73+'Sched D-1'!O74</f>
        <v>15939073.541234924</v>
      </c>
      <c r="L65" s="255"/>
      <c r="M65" s="1624">
        <f>IF(ISERROR(O65/K65),0,O65/K65)</f>
        <v>0.87194347602411748</v>
      </c>
      <c r="N65" s="1626">
        <f>M65*G65</f>
        <v>15146571.402713144</v>
      </c>
      <c r="O65" s="1626">
        <v>13897971.188148418</v>
      </c>
      <c r="Q65" s="1687">
        <v>15274618.650178978</v>
      </c>
      <c r="R65" s="256"/>
      <c r="S65" s="1687">
        <v>15274618.650178978</v>
      </c>
      <c r="T65" s="1688">
        <v>13307832.147244185</v>
      </c>
      <c r="U65" s="256"/>
      <c r="V65" s="1687">
        <v>15274618.650178978</v>
      </c>
      <c r="W65" s="1688">
        <v>13307832.147244185</v>
      </c>
      <c r="X65" s="256"/>
      <c r="Y65" s="1687">
        <v>15274618.650178978</v>
      </c>
      <c r="Z65" s="1688">
        <v>13307960.051727459</v>
      </c>
      <c r="AA65" s="256"/>
      <c r="AB65" s="1687">
        <v>15274618.650178978</v>
      </c>
      <c r="AC65" s="1688">
        <v>13306882.248306898</v>
      </c>
      <c r="AD65" s="256"/>
      <c r="AE65" s="1687">
        <v>15274618.650178978</v>
      </c>
      <c r="AF65" s="1688">
        <v>13306882.248306898</v>
      </c>
      <c r="AG65" s="256"/>
      <c r="AH65" s="1687">
        <v>15274618.650178978</v>
      </c>
      <c r="AI65" s="1688">
        <v>13306882.248306902</v>
      </c>
      <c r="AJ65" s="256"/>
      <c r="AK65" s="1687">
        <v>15274618.650178978</v>
      </c>
      <c r="AL65" s="1688">
        <v>13306733.611114211</v>
      </c>
      <c r="AM65" s="256"/>
      <c r="AN65" s="1687">
        <v>15274618.650178978</v>
      </c>
      <c r="AO65" s="1688">
        <v>13306818.74076733</v>
      </c>
      <c r="AP65" s="256"/>
      <c r="AQ65" s="1687">
        <v>15274618.650178978</v>
      </c>
      <c r="AR65" s="1688">
        <v>13306818.74076733</v>
      </c>
      <c r="AS65" s="256"/>
      <c r="AT65" s="1687">
        <v>15274618.650178978</v>
      </c>
      <c r="AU65" s="1687">
        <v>13306818.74076733</v>
      </c>
      <c r="AV65" s="256"/>
      <c r="AW65" s="1687">
        <v>15274618.650178978</v>
      </c>
      <c r="AX65" s="1687">
        <v>13306818.74076733</v>
      </c>
      <c r="AY65" s="256"/>
      <c r="AZ65" s="1687">
        <v>15274618.650178978</v>
      </c>
      <c r="BA65" s="1687">
        <v>13306818.74076733</v>
      </c>
      <c r="BB65" s="256"/>
      <c r="BC65" s="1687">
        <v>15274618.650178978</v>
      </c>
      <c r="BD65" s="1687">
        <v>13306818.74076733</v>
      </c>
      <c r="BE65" s="256"/>
      <c r="BF65" s="1687">
        <v>15274618.650178978</v>
      </c>
      <c r="BG65" s="1687">
        <v>13306818.74076733</v>
      </c>
      <c r="BH65" s="256"/>
      <c r="BI65" s="1687">
        <v>15274618.650178978</v>
      </c>
      <c r="BJ65" s="1687">
        <v>13306818.74076733</v>
      </c>
      <c r="BK65" s="256"/>
      <c r="BL65" s="1687">
        <v>15274618.650178978</v>
      </c>
      <c r="BM65" s="1687">
        <v>13306818.74076733</v>
      </c>
      <c r="BN65" s="256"/>
      <c r="BO65" s="1687">
        <v>15274618.650178978</v>
      </c>
      <c r="BP65" s="1687">
        <v>13306818.74076733</v>
      </c>
      <c r="BQ65" s="256"/>
      <c r="BR65" s="1687">
        <v>15274618.650178978</v>
      </c>
      <c r="BS65" s="1687">
        <v>13306818.74076733</v>
      </c>
      <c r="BT65" s="256"/>
      <c r="BU65" s="1687">
        <v>15274618.650178978</v>
      </c>
      <c r="BV65" s="1687">
        <v>13306818.74076733</v>
      </c>
      <c r="BW65" s="256"/>
      <c r="BX65" s="1687">
        <v>15274618.650178978</v>
      </c>
      <c r="BY65" s="1687">
        <v>13306818.74076733</v>
      </c>
      <c r="BZ65" s="256"/>
      <c r="CA65" s="1687">
        <v>15939073.541234924</v>
      </c>
      <c r="CB65" s="1687">
        <v>13895221.1778585</v>
      </c>
      <c r="CC65" s="256"/>
      <c r="CD65" s="1687">
        <v>15939073.541234924</v>
      </c>
      <c r="CE65" s="1687">
        <v>13895221.1778585</v>
      </c>
      <c r="CF65" s="256"/>
      <c r="CG65" s="1687">
        <v>15939073.541234924</v>
      </c>
      <c r="CH65" s="1687">
        <v>13895221.1778585</v>
      </c>
      <c r="CI65" s="1684">
        <f t="shared" si="0"/>
        <v>0</v>
      </c>
      <c r="CJ65" s="1687">
        <v>15939073.541234924</v>
      </c>
      <c r="CK65" s="1687">
        <v>13895221.1778585</v>
      </c>
      <c r="CL65" s="256"/>
      <c r="CM65" s="1687">
        <v>15939073.541234924</v>
      </c>
      <c r="CN65" s="1687">
        <v>13896383.674811309</v>
      </c>
      <c r="CO65" s="256"/>
      <c r="CP65" s="787">
        <v>15939073.541234924</v>
      </c>
      <c r="CQ65" s="1687">
        <v>13896383.674811309</v>
      </c>
      <c r="CR65" s="256"/>
      <c r="CS65" s="787">
        <v>15939073.541234924</v>
      </c>
      <c r="CT65" s="1687">
        <v>13897971.188148418</v>
      </c>
      <c r="CU65" s="256"/>
      <c r="CV65" s="1687">
        <v>15939073.541234924</v>
      </c>
      <c r="CW65" s="1687">
        <v>13897971.188148418</v>
      </c>
      <c r="CX65" s="256"/>
      <c r="CY65" s="1687"/>
      <c r="CZ65" s="1687"/>
    </row>
    <row r="66" spans="1:104">
      <c r="A66" s="260">
        <f t="shared" si="1"/>
        <v>59</v>
      </c>
      <c r="B66" s="260"/>
      <c r="C66" s="275" t="s">
        <v>228</v>
      </c>
      <c r="E66" s="289" t="s">
        <v>567</v>
      </c>
      <c r="F66" s="290"/>
      <c r="G66" s="361">
        <f>+'Stmt D'!J26</f>
        <v>45535472</v>
      </c>
      <c r="H66" s="29"/>
      <c r="I66" s="583" t="s">
        <v>567</v>
      </c>
      <c r="J66" s="29"/>
      <c r="K66" s="361">
        <f>+'Stmt D'!N26</f>
        <v>28904717</v>
      </c>
      <c r="M66" s="1630" t="s">
        <v>1528</v>
      </c>
      <c r="N66" s="1614">
        <f>SUM(N64:N65)</f>
        <v>41867074.251173496</v>
      </c>
      <c r="O66" s="1614">
        <v>26198897.686620131</v>
      </c>
      <c r="Q66" s="333">
        <v>27774365</v>
      </c>
      <c r="R66" s="256"/>
      <c r="S66" s="333">
        <v>27774365</v>
      </c>
      <c r="T66" s="1693">
        <v>25166746.9119054</v>
      </c>
      <c r="U66" s="256"/>
      <c r="V66" s="333">
        <v>27774365</v>
      </c>
      <c r="W66" s="1693">
        <v>25166746.9119054</v>
      </c>
      <c r="X66" s="256"/>
      <c r="Y66" s="333">
        <v>27774365</v>
      </c>
      <c r="Z66" s="1693">
        <v>25166874.816388674</v>
      </c>
      <c r="AA66" s="256"/>
      <c r="AB66" s="333">
        <v>27774365</v>
      </c>
      <c r="AC66" s="1693">
        <v>25165797.012968116</v>
      </c>
      <c r="AD66" s="256"/>
      <c r="AE66" s="333">
        <v>27774365</v>
      </c>
      <c r="AF66" s="1693">
        <v>25165797.012968116</v>
      </c>
      <c r="AG66" s="256"/>
      <c r="AH66" s="333">
        <v>27774365</v>
      </c>
      <c r="AI66" s="1693">
        <v>25165797.012968116</v>
      </c>
      <c r="AJ66" s="256"/>
      <c r="AK66" s="333">
        <v>27774365</v>
      </c>
      <c r="AL66" s="1693">
        <v>25165648.375775427</v>
      </c>
      <c r="AM66" s="256"/>
      <c r="AN66" s="333">
        <v>27774365</v>
      </c>
      <c r="AO66" s="1693">
        <v>25165733.505428545</v>
      </c>
      <c r="AP66" s="256"/>
      <c r="AQ66" s="333">
        <v>27774365</v>
      </c>
      <c r="AR66" s="1693">
        <v>25165733.505428545</v>
      </c>
      <c r="AS66" s="256"/>
      <c r="AT66" s="333">
        <v>27774365</v>
      </c>
      <c r="AU66" s="333">
        <v>25165733.505428545</v>
      </c>
      <c r="AV66" s="256"/>
      <c r="AW66" s="333">
        <v>27774365</v>
      </c>
      <c r="AX66" s="333">
        <v>25165733.505428545</v>
      </c>
      <c r="AY66" s="256"/>
      <c r="AZ66" s="333">
        <v>27774365</v>
      </c>
      <c r="BA66" s="333">
        <v>25165733.505428545</v>
      </c>
      <c r="BB66" s="256"/>
      <c r="BC66" s="333">
        <v>27774365</v>
      </c>
      <c r="BD66" s="333">
        <v>25165733.505428545</v>
      </c>
      <c r="BE66" s="256"/>
      <c r="BF66" s="333">
        <v>27774365</v>
      </c>
      <c r="BG66" s="333">
        <v>25165733.505428545</v>
      </c>
      <c r="BH66" s="256"/>
      <c r="BI66" s="333">
        <v>27774365</v>
      </c>
      <c r="BJ66" s="333">
        <v>25165733.505428545</v>
      </c>
      <c r="BK66" s="256"/>
      <c r="BL66" s="333">
        <v>27774365</v>
      </c>
      <c r="BM66" s="333">
        <v>25165733.505428545</v>
      </c>
      <c r="BN66" s="256"/>
      <c r="BO66" s="333">
        <v>27774365</v>
      </c>
      <c r="BP66" s="333">
        <v>25165733.505428545</v>
      </c>
      <c r="BQ66" s="256"/>
      <c r="BR66" s="333">
        <v>27774365</v>
      </c>
      <c r="BS66" s="333">
        <v>25165733.505428545</v>
      </c>
      <c r="BT66" s="256"/>
      <c r="BU66" s="333">
        <v>27774365</v>
      </c>
      <c r="BV66" s="333">
        <v>25165733.505428545</v>
      </c>
      <c r="BW66" s="256"/>
      <c r="BX66" s="333">
        <v>27774365</v>
      </c>
      <c r="BY66" s="333">
        <v>25165733.505428545</v>
      </c>
      <c r="BZ66" s="256"/>
      <c r="CA66" s="333">
        <v>28904717</v>
      </c>
      <c r="CB66" s="333">
        <v>26196147.676330213</v>
      </c>
      <c r="CC66" s="256"/>
      <c r="CD66" s="333">
        <v>28904717</v>
      </c>
      <c r="CE66" s="333">
        <v>26196147.676330213</v>
      </c>
      <c r="CF66" s="256"/>
      <c r="CG66" s="333">
        <v>28904717</v>
      </c>
      <c r="CH66" s="333">
        <v>26196147.676330213</v>
      </c>
      <c r="CI66" s="1684">
        <f t="shared" si="0"/>
        <v>0</v>
      </c>
      <c r="CJ66" s="333">
        <v>28904717</v>
      </c>
      <c r="CK66" s="333">
        <v>26196147.676330213</v>
      </c>
      <c r="CL66" s="256"/>
      <c r="CM66" s="333">
        <v>28904717</v>
      </c>
      <c r="CN66" s="333">
        <v>26197310.173283022</v>
      </c>
      <c r="CO66" s="256"/>
      <c r="CP66" s="361">
        <v>28904717</v>
      </c>
      <c r="CQ66" s="333">
        <v>26197310.173283022</v>
      </c>
      <c r="CR66" s="256"/>
      <c r="CS66" s="361">
        <v>28904717</v>
      </c>
      <c r="CT66" s="333">
        <v>26198897.686620131</v>
      </c>
      <c r="CU66" s="256"/>
      <c r="CV66" s="333">
        <v>28904717</v>
      </c>
      <c r="CW66" s="333">
        <v>26198897.686620131</v>
      </c>
      <c r="CX66" s="256"/>
      <c r="CY66" s="333"/>
      <c r="CZ66" s="333"/>
    </row>
    <row r="67" spans="1:104">
      <c r="A67" s="260">
        <f t="shared" si="1"/>
        <v>60</v>
      </c>
      <c r="B67" s="260"/>
      <c r="E67" s="289"/>
      <c r="F67" s="290"/>
      <c r="G67" s="361"/>
      <c r="H67" s="29"/>
      <c r="I67" s="289"/>
      <c r="J67" s="29"/>
      <c r="K67" s="54"/>
      <c r="M67" s="1624"/>
      <c r="N67" s="1113"/>
      <c r="O67" s="1113"/>
      <c r="Q67" s="54"/>
      <c r="R67" s="256"/>
      <c r="S67" s="54"/>
      <c r="T67" s="1694"/>
      <c r="U67" s="256"/>
      <c r="V67" s="54"/>
      <c r="W67" s="1694"/>
      <c r="X67" s="256"/>
      <c r="Y67" s="54"/>
      <c r="Z67" s="1694"/>
      <c r="AA67" s="256"/>
      <c r="AB67" s="54"/>
      <c r="AC67" s="1694"/>
      <c r="AD67" s="256"/>
      <c r="AE67" s="54"/>
      <c r="AF67" s="1694"/>
      <c r="AG67" s="256"/>
      <c r="AH67" s="54"/>
      <c r="AI67" s="1694"/>
      <c r="AJ67" s="256"/>
      <c r="AK67" s="54"/>
      <c r="AL67" s="1694"/>
      <c r="AM67" s="256"/>
      <c r="AN67" s="54"/>
      <c r="AO67" s="1694"/>
      <c r="AP67" s="256"/>
      <c r="AQ67" s="54"/>
      <c r="AR67" s="1694"/>
      <c r="AS67" s="256"/>
      <c r="AT67" s="54"/>
      <c r="AU67" s="54"/>
      <c r="AV67" s="256"/>
      <c r="AW67" s="54"/>
      <c r="AX67" s="54"/>
      <c r="AY67" s="256"/>
      <c r="AZ67" s="54"/>
      <c r="BA67" s="54"/>
      <c r="BB67" s="256"/>
      <c r="BC67" s="54"/>
      <c r="BD67" s="54"/>
      <c r="BE67" s="256"/>
      <c r="BF67" s="54"/>
      <c r="BG67" s="54"/>
      <c r="BH67" s="256"/>
      <c r="BI67" s="54"/>
      <c r="BJ67" s="54"/>
      <c r="BK67" s="256"/>
      <c r="BL67" s="54"/>
      <c r="BM67" s="54"/>
      <c r="BN67" s="256"/>
      <c r="BO67" s="54"/>
      <c r="BP67" s="54"/>
      <c r="BQ67" s="256"/>
      <c r="BR67" s="54"/>
      <c r="BS67" s="54"/>
      <c r="BT67" s="256"/>
      <c r="BU67" s="54"/>
      <c r="BV67" s="54"/>
      <c r="BW67" s="256"/>
      <c r="BX67" s="54"/>
      <c r="BY67" s="54"/>
      <c r="BZ67" s="256"/>
      <c r="CA67" s="54"/>
      <c r="CB67" s="54"/>
      <c r="CC67" s="256"/>
      <c r="CD67" s="54"/>
      <c r="CE67" s="54"/>
      <c r="CF67" s="256"/>
      <c r="CG67" s="54"/>
      <c r="CH67" s="54"/>
      <c r="CI67" s="1684">
        <f t="shared" si="0"/>
        <v>0</v>
      </c>
      <c r="CJ67" s="54"/>
      <c r="CK67" s="54"/>
      <c r="CL67" s="256"/>
      <c r="CM67" s="54"/>
      <c r="CN67" s="54"/>
      <c r="CO67" s="256"/>
      <c r="CP67" s="54"/>
      <c r="CQ67" s="54"/>
      <c r="CR67" s="256"/>
      <c r="CS67" s="54"/>
      <c r="CT67" s="54"/>
      <c r="CU67" s="256"/>
      <c r="CV67" s="54"/>
      <c r="CW67" s="54"/>
      <c r="CX67" s="256"/>
      <c r="CY67" s="54"/>
      <c r="CZ67" s="54"/>
    </row>
    <row r="68" spans="1:104">
      <c r="A68" s="260">
        <f t="shared" si="1"/>
        <v>61</v>
      </c>
      <c r="B68" s="260"/>
      <c r="C68" s="275" t="s">
        <v>631</v>
      </c>
      <c r="D68" s="292"/>
      <c r="E68" s="291"/>
      <c r="F68" s="290"/>
      <c r="G68" s="622">
        <f>G19+G13+G37+G62+G66</f>
        <v>856329951</v>
      </c>
      <c r="H68" s="32"/>
      <c r="I68" s="47"/>
      <c r="J68" s="32"/>
      <c r="K68" s="622">
        <f>K19+K13+K37+K62+K66</f>
        <v>936940582</v>
      </c>
      <c r="M68" s="1630" t="s">
        <v>1528</v>
      </c>
      <c r="N68" s="1108">
        <f>N19+N13+N37+N62+N66</f>
        <v>737733840.47242975</v>
      </c>
      <c r="O68" s="1108">
        <v>807843926.85647893</v>
      </c>
      <c r="Q68" s="1695">
        <v>928972220</v>
      </c>
      <c r="R68" s="256"/>
      <c r="S68" s="1695">
        <v>928972220</v>
      </c>
      <c r="T68" s="1696">
        <v>799991550.10798717</v>
      </c>
      <c r="U68" s="256"/>
      <c r="V68" s="1695">
        <v>928972220</v>
      </c>
      <c r="W68" s="1696">
        <v>799991550.10798717</v>
      </c>
      <c r="X68" s="256"/>
      <c r="Y68" s="1695">
        <v>928972220</v>
      </c>
      <c r="Z68" s="1696">
        <v>799992548.0473485</v>
      </c>
      <c r="AA68" s="256"/>
      <c r="AB68" s="1695">
        <v>928972220</v>
      </c>
      <c r="AC68" s="1696">
        <v>799984138.78420436</v>
      </c>
      <c r="AD68" s="256"/>
      <c r="AE68" s="1695">
        <v>928972220</v>
      </c>
      <c r="AF68" s="1696">
        <v>799984138.78420436</v>
      </c>
      <c r="AG68" s="256"/>
      <c r="AH68" s="1695">
        <v>928972220</v>
      </c>
      <c r="AI68" s="1696">
        <v>799984138.78420448</v>
      </c>
      <c r="AJ68" s="256"/>
      <c r="AK68" s="1695">
        <v>928972220</v>
      </c>
      <c r="AL68" s="1696">
        <v>799982979.08361101</v>
      </c>
      <c r="AM68" s="256"/>
      <c r="AN68" s="1695">
        <v>928972220</v>
      </c>
      <c r="AO68" s="1696">
        <v>799983643.28418863</v>
      </c>
      <c r="AP68" s="256"/>
      <c r="AQ68" s="1695">
        <v>928972220</v>
      </c>
      <c r="AR68" s="1696">
        <v>799983643.28418863</v>
      </c>
      <c r="AS68" s="256"/>
      <c r="AT68" s="1695">
        <v>928972220</v>
      </c>
      <c r="AU68" s="1695">
        <v>799983643.28418863</v>
      </c>
      <c r="AV68" s="256"/>
      <c r="AW68" s="1695">
        <v>928972220</v>
      </c>
      <c r="AX68" s="1695">
        <v>799983643.28418863</v>
      </c>
      <c r="AY68" s="256"/>
      <c r="AZ68" s="1695">
        <v>928972220</v>
      </c>
      <c r="BA68" s="1695">
        <v>799983643.28418863</v>
      </c>
      <c r="BB68" s="256"/>
      <c r="BC68" s="1695">
        <v>928972220</v>
      </c>
      <c r="BD68" s="1695">
        <v>799983643.28418863</v>
      </c>
      <c r="BE68" s="256"/>
      <c r="BF68" s="1695">
        <v>928972220</v>
      </c>
      <c r="BG68" s="1695">
        <v>799983643.28418863</v>
      </c>
      <c r="BH68" s="256"/>
      <c r="BI68" s="1695">
        <v>928972220</v>
      </c>
      <c r="BJ68" s="1695">
        <v>799983643.28418863</v>
      </c>
      <c r="BK68" s="256"/>
      <c r="BL68" s="1695">
        <v>928972220</v>
      </c>
      <c r="BM68" s="1695">
        <v>799983643.28418863</v>
      </c>
      <c r="BN68" s="256"/>
      <c r="BO68" s="1695">
        <v>928972220</v>
      </c>
      <c r="BP68" s="1695">
        <v>799983643.28418863</v>
      </c>
      <c r="BQ68" s="256"/>
      <c r="BR68" s="1695">
        <v>928972220</v>
      </c>
      <c r="BS68" s="1695">
        <v>799983643.28418863</v>
      </c>
      <c r="BT68" s="256"/>
      <c r="BU68" s="1695">
        <v>928972220</v>
      </c>
      <c r="BV68" s="1695">
        <v>799983643.28418863</v>
      </c>
      <c r="BW68" s="256"/>
      <c r="BX68" s="1695">
        <v>928972220</v>
      </c>
      <c r="BY68" s="1695">
        <v>799983643.28418863</v>
      </c>
      <c r="BZ68" s="256"/>
      <c r="CA68" s="1695">
        <v>936940582</v>
      </c>
      <c r="CB68" s="1695">
        <v>807822993.55592918</v>
      </c>
      <c r="CC68" s="256"/>
      <c r="CD68" s="1695">
        <v>936940582</v>
      </c>
      <c r="CE68" s="1695">
        <v>807822993.55592918</v>
      </c>
      <c r="CF68" s="256"/>
      <c r="CG68" s="1695">
        <v>936940582</v>
      </c>
      <c r="CH68" s="1695">
        <v>807822993.55592918</v>
      </c>
      <c r="CI68" s="1684">
        <f t="shared" si="0"/>
        <v>0</v>
      </c>
      <c r="CJ68" s="1695">
        <v>936940582</v>
      </c>
      <c r="CK68" s="1695">
        <v>807822993.55592918</v>
      </c>
      <c r="CL68" s="256"/>
      <c r="CM68" s="1695">
        <v>936940582</v>
      </c>
      <c r="CN68" s="1695">
        <v>807831842.57667315</v>
      </c>
      <c r="CO68" s="256"/>
      <c r="CP68" s="622">
        <v>936940582</v>
      </c>
      <c r="CQ68" s="1695">
        <v>807831842.57667315</v>
      </c>
      <c r="CR68" s="256"/>
      <c r="CS68" s="622">
        <v>936940582</v>
      </c>
      <c r="CT68" s="1695">
        <v>807843926.85647893</v>
      </c>
      <c r="CU68" s="256"/>
      <c r="CV68" s="1695">
        <v>936940582</v>
      </c>
      <c r="CW68" s="1695">
        <v>807843926.85647893</v>
      </c>
      <c r="CX68" s="256"/>
      <c r="CY68" s="1695"/>
      <c r="CZ68" s="1695"/>
    </row>
    <row r="69" spans="1:104">
      <c r="A69" s="260">
        <f t="shared" si="1"/>
        <v>62</v>
      </c>
      <c r="B69" s="260"/>
      <c r="D69" s="266"/>
      <c r="E69" s="265"/>
      <c r="F69" s="264"/>
      <c r="G69" s="361"/>
      <c r="H69" s="29"/>
      <c r="I69" s="24"/>
      <c r="J69" s="29"/>
      <c r="K69" s="29"/>
      <c r="M69" s="1624"/>
      <c r="N69" s="1113"/>
      <c r="O69" s="1113"/>
      <c r="Q69" s="29"/>
      <c r="R69" s="256"/>
      <c r="S69" s="29"/>
      <c r="T69" s="1697"/>
      <c r="U69" s="256"/>
      <c r="V69" s="29"/>
      <c r="W69" s="1697"/>
      <c r="X69" s="256"/>
      <c r="Y69" s="29"/>
      <c r="Z69" s="1697"/>
      <c r="AA69" s="256"/>
      <c r="AB69" s="29"/>
      <c r="AC69" s="1697"/>
      <c r="AD69" s="256"/>
      <c r="AE69" s="29"/>
      <c r="AF69" s="1697"/>
      <c r="AG69" s="256"/>
      <c r="AH69" s="29"/>
      <c r="AI69" s="1697"/>
      <c r="AJ69" s="256"/>
      <c r="AK69" s="29"/>
      <c r="AL69" s="1697"/>
      <c r="AM69" s="256"/>
      <c r="AN69" s="29"/>
      <c r="AO69" s="1697"/>
      <c r="AP69" s="256"/>
      <c r="AQ69" s="29"/>
      <c r="AR69" s="1697"/>
      <c r="AS69" s="256"/>
      <c r="AT69" s="29"/>
      <c r="AU69" s="29"/>
      <c r="AV69" s="256"/>
      <c r="AW69" s="29"/>
      <c r="AX69" s="29"/>
      <c r="AY69" s="256"/>
      <c r="AZ69" s="29"/>
      <c r="BA69" s="29"/>
      <c r="BB69" s="256"/>
      <c r="BC69" s="29"/>
      <c r="BD69" s="29"/>
      <c r="BE69" s="256"/>
      <c r="BF69" s="29"/>
      <c r="BG69" s="29"/>
      <c r="BH69" s="256"/>
      <c r="BI69" s="29"/>
      <c r="BJ69" s="29"/>
      <c r="BK69" s="256"/>
      <c r="BL69" s="29"/>
      <c r="BM69" s="29"/>
      <c r="BN69" s="256"/>
      <c r="BO69" s="29"/>
      <c r="BP69" s="29"/>
      <c r="BQ69" s="256"/>
      <c r="BR69" s="29"/>
      <c r="BS69" s="29"/>
      <c r="BT69" s="256"/>
      <c r="BU69" s="29"/>
      <c r="BV69" s="29"/>
      <c r="BW69" s="256"/>
      <c r="BX69" s="29"/>
      <c r="BY69" s="29"/>
      <c r="BZ69" s="256"/>
      <c r="CA69" s="29"/>
      <c r="CB69" s="29"/>
      <c r="CC69" s="256"/>
      <c r="CD69" s="29"/>
      <c r="CE69" s="29"/>
      <c r="CF69" s="256"/>
      <c r="CG69" s="29"/>
      <c r="CH69" s="29"/>
      <c r="CI69" s="1684">
        <f t="shared" si="0"/>
        <v>0</v>
      </c>
      <c r="CJ69" s="29"/>
      <c r="CK69" s="29"/>
      <c r="CL69" s="256"/>
      <c r="CM69" s="29"/>
      <c r="CN69" s="29"/>
      <c r="CO69" s="256"/>
      <c r="CP69" s="29"/>
      <c r="CQ69" s="29"/>
      <c r="CR69" s="256"/>
      <c r="CS69" s="29"/>
      <c r="CT69" s="29"/>
      <c r="CU69" s="256"/>
      <c r="CV69" s="29"/>
      <c r="CW69" s="29"/>
      <c r="CX69" s="256"/>
      <c r="CY69" s="29"/>
      <c r="CZ69" s="29"/>
    </row>
    <row r="70" spans="1:104">
      <c r="A70" s="260">
        <f t="shared" si="1"/>
        <v>63</v>
      </c>
      <c r="B70" s="260"/>
      <c r="C70" s="275" t="s">
        <v>255</v>
      </c>
      <c r="D70" s="266"/>
      <c r="E70" s="265"/>
      <c r="F70" s="264"/>
      <c r="G70" s="361"/>
      <c r="H70" s="29"/>
      <c r="I70" s="24"/>
      <c r="J70" s="29"/>
      <c r="K70" s="29"/>
      <c r="M70" s="1624"/>
      <c r="N70" s="1113"/>
      <c r="O70" s="1113"/>
      <c r="Q70" s="29"/>
      <c r="R70" s="256"/>
      <c r="S70" s="29"/>
      <c r="T70" s="1697"/>
      <c r="U70" s="256"/>
      <c r="V70" s="29"/>
      <c r="W70" s="1697"/>
      <c r="X70" s="256"/>
      <c r="Y70" s="29"/>
      <c r="Z70" s="1697"/>
      <c r="AA70" s="256"/>
      <c r="AB70" s="29"/>
      <c r="AC70" s="1697"/>
      <c r="AD70" s="256"/>
      <c r="AE70" s="29"/>
      <c r="AF70" s="1697"/>
      <c r="AG70" s="256"/>
      <c r="AH70" s="29"/>
      <c r="AI70" s="1697"/>
      <c r="AJ70" s="256"/>
      <c r="AK70" s="29"/>
      <c r="AL70" s="1697"/>
      <c r="AM70" s="256"/>
      <c r="AN70" s="29"/>
      <c r="AO70" s="1697"/>
      <c r="AP70" s="256"/>
      <c r="AQ70" s="29"/>
      <c r="AR70" s="1697"/>
      <c r="AS70" s="256"/>
      <c r="AT70" s="29"/>
      <c r="AU70" s="29"/>
      <c r="AV70" s="256"/>
      <c r="AW70" s="29"/>
      <c r="AX70" s="29"/>
      <c r="AY70" s="256"/>
      <c r="AZ70" s="29"/>
      <c r="BA70" s="29"/>
      <c r="BB70" s="256"/>
      <c r="BC70" s="29"/>
      <c r="BD70" s="29"/>
      <c r="BE70" s="256"/>
      <c r="BF70" s="29"/>
      <c r="BG70" s="29"/>
      <c r="BH70" s="256"/>
      <c r="BI70" s="29"/>
      <c r="BJ70" s="29"/>
      <c r="BK70" s="256"/>
      <c r="BL70" s="29"/>
      <c r="BM70" s="29"/>
      <c r="BN70" s="256"/>
      <c r="BO70" s="29"/>
      <c r="BP70" s="29"/>
      <c r="BQ70" s="256"/>
      <c r="BR70" s="29"/>
      <c r="BS70" s="29"/>
      <c r="BT70" s="256"/>
      <c r="BU70" s="29"/>
      <c r="BV70" s="29"/>
      <c r="BW70" s="256"/>
      <c r="BX70" s="29"/>
      <c r="BY70" s="29"/>
      <c r="BZ70" s="256"/>
      <c r="CA70" s="29"/>
      <c r="CB70" s="29"/>
      <c r="CC70" s="256"/>
      <c r="CD70" s="29"/>
      <c r="CE70" s="29"/>
      <c r="CF70" s="256"/>
      <c r="CG70" s="29"/>
      <c r="CH70" s="29"/>
      <c r="CI70" s="1684">
        <f t="shared" si="0"/>
        <v>0</v>
      </c>
      <c r="CJ70" s="29"/>
      <c r="CK70" s="29"/>
      <c r="CL70" s="256"/>
      <c r="CM70" s="29"/>
      <c r="CN70" s="29"/>
      <c r="CO70" s="256"/>
      <c r="CP70" s="29"/>
      <c r="CQ70" s="29"/>
      <c r="CR70" s="256"/>
      <c r="CS70" s="29"/>
      <c r="CT70" s="29"/>
      <c r="CU70" s="256"/>
      <c r="CV70" s="29"/>
      <c r="CW70" s="29"/>
      <c r="CX70" s="256"/>
      <c r="CY70" s="29"/>
      <c r="CZ70" s="29"/>
    </row>
    <row r="71" spans="1:104">
      <c r="A71" s="260">
        <f t="shared" si="1"/>
        <v>64</v>
      </c>
      <c r="B71" s="260"/>
      <c r="C71" s="321" t="s">
        <v>371</v>
      </c>
      <c r="D71" s="286"/>
      <c r="E71" s="24" t="s">
        <v>531</v>
      </c>
      <c r="F71" s="285"/>
      <c r="G71" s="353">
        <f>-'Stmt E'!E11</f>
        <v>-988583.61</v>
      </c>
      <c r="H71" s="29"/>
      <c r="I71" s="1229" t="s">
        <v>531</v>
      </c>
      <c r="J71" s="29"/>
      <c r="K71" s="353">
        <f>-'Stmt E'!J11</f>
        <v>-1052017.6099999999</v>
      </c>
      <c r="M71" s="1624">
        <f t="shared" ref="M71:M78" si="7">IF(ISERROR(O71/K71),0,O71/K71)</f>
        <v>0.87194347602411748</v>
      </c>
      <c r="N71" s="1566">
        <f t="shared" ref="N71:N78" si="8">M71*G71</f>
        <v>-861989.02924387052</v>
      </c>
      <c r="O71" s="1566">
        <v>-917299.89170198422</v>
      </c>
      <c r="Q71" s="816">
        <v>-1052017.6099999999</v>
      </c>
      <c r="R71" s="256"/>
      <c r="S71" s="816">
        <v>-1052017.6099999999</v>
      </c>
      <c r="T71" s="1691">
        <v>-916557.99011787109</v>
      </c>
      <c r="U71" s="256"/>
      <c r="V71" s="816">
        <v>-1052017.6099999999</v>
      </c>
      <c r="W71" s="1691">
        <v>-916557.99011787109</v>
      </c>
      <c r="X71" s="256"/>
      <c r="Y71" s="816">
        <v>-1052017.6099999999</v>
      </c>
      <c r="Z71" s="1691">
        <v>-916566.79935703322</v>
      </c>
      <c r="AA71" s="256"/>
      <c r="AB71" s="816">
        <v>-1052017.6099999999</v>
      </c>
      <c r="AC71" s="1691">
        <v>-916492.56718112668</v>
      </c>
      <c r="AD71" s="256"/>
      <c r="AE71" s="816">
        <v>-1052017.6099999999</v>
      </c>
      <c r="AF71" s="1691">
        <v>-916492.56718112668</v>
      </c>
      <c r="AG71" s="256"/>
      <c r="AH71" s="816">
        <v>-1052017.6099999999</v>
      </c>
      <c r="AI71" s="1691">
        <v>-916492.56718112691</v>
      </c>
      <c r="AJ71" s="256"/>
      <c r="AK71" s="816">
        <v>-1052017.6099999999</v>
      </c>
      <c r="AL71" s="1691">
        <v>-916482.33000612492</v>
      </c>
      <c r="AM71" s="256"/>
      <c r="AN71" s="816">
        <v>-1052017.6099999999</v>
      </c>
      <c r="AO71" s="1691">
        <v>-916488.19318976742</v>
      </c>
      <c r="AP71" s="256"/>
      <c r="AQ71" s="816">
        <v>-1052017.6099999999</v>
      </c>
      <c r="AR71" s="1691">
        <v>-916488.19318976754</v>
      </c>
      <c r="AS71" s="256"/>
      <c r="AT71" s="816">
        <v>-1052017.6099999999</v>
      </c>
      <c r="AU71" s="816">
        <v>-916488.19318976742</v>
      </c>
      <c r="AV71" s="256"/>
      <c r="AW71" s="816">
        <v>-1052017.6099999999</v>
      </c>
      <c r="AX71" s="816">
        <v>-916488.19318976742</v>
      </c>
      <c r="AY71" s="256"/>
      <c r="AZ71" s="816">
        <v>-1052017.6099999999</v>
      </c>
      <c r="BA71" s="816">
        <v>-916488.19318976754</v>
      </c>
      <c r="BB71" s="256"/>
      <c r="BC71" s="816">
        <v>-1052017.6099999999</v>
      </c>
      <c r="BD71" s="816">
        <v>-916488.19318976754</v>
      </c>
      <c r="BE71" s="256"/>
      <c r="BF71" s="816">
        <v>-1052017.6099999999</v>
      </c>
      <c r="BG71" s="816">
        <v>-916488.19318976742</v>
      </c>
      <c r="BH71" s="256"/>
      <c r="BI71" s="816">
        <v>-1052017.6099999999</v>
      </c>
      <c r="BJ71" s="816">
        <v>-916488.19318976754</v>
      </c>
      <c r="BK71" s="256"/>
      <c r="BL71" s="816">
        <v>-1052017.6099999999</v>
      </c>
      <c r="BM71" s="816">
        <v>-916488.19318976742</v>
      </c>
      <c r="BN71" s="256"/>
      <c r="BO71" s="816">
        <v>-1052017.6099999999</v>
      </c>
      <c r="BP71" s="816">
        <v>-916488.19318976742</v>
      </c>
      <c r="BQ71" s="256"/>
      <c r="BR71" s="816">
        <v>-1052017.6099999999</v>
      </c>
      <c r="BS71" s="816">
        <v>-916488.19318976742</v>
      </c>
      <c r="BT71" s="256"/>
      <c r="BU71" s="816">
        <v>-1052017.6099999999</v>
      </c>
      <c r="BV71" s="816">
        <v>-916488.19318976742</v>
      </c>
      <c r="BW71" s="256"/>
      <c r="BX71" s="816">
        <v>-1052017.6099999999</v>
      </c>
      <c r="BY71" s="816">
        <v>-916488.19318976754</v>
      </c>
      <c r="BZ71" s="256"/>
      <c r="CA71" s="816">
        <v>-1052017.6099999999</v>
      </c>
      <c r="CB71" s="816">
        <v>-917118.38433612697</v>
      </c>
      <c r="CC71" s="256"/>
      <c r="CD71" s="816">
        <v>-1052017.6099999999</v>
      </c>
      <c r="CE71" s="816">
        <v>-917118.38433612697</v>
      </c>
      <c r="CF71" s="256"/>
      <c r="CG71" s="816">
        <v>-1052017.6099999999</v>
      </c>
      <c r="CH71" s="816">
        <v>-917118.38433612697</v>
      </c>
      <c r="CI71" s="1684">
        <f t="shared" si="0"/>
        <v>0</v>
      </c>
      <c r="CJ71" s="816">
        <v>-1052017.6099999999</v>
      </c>
      <c r="CK71" s="816">
        <v>-917118.38433612697</v>
      </c>
      <c r="CL71" s="256"/>
      <c r="CM71" s="816">
        <v>-1052017.6099999999</v>
      </c>
      <c r="CN71" s="816">
        <v>-917195.1119616545</v>
      </c>
      <c r="CO71" s="256"/>
      <c r="CP71" s="353">
        <v>-1052017.6099999999</v>
      </c>
      <c r="CQ71" s="816">
        <v>-917195.1119616545</v>
      </c>
      <c r="CR71" s="256"/>
      <c r="CS71" s="353">
        <v>-1052017.6099999999</v>
      </c>
      <c r="CT71" s="816">
        <v>-917299.89170198422</v>
      </c>
      <c r="CU71" s="256"/>
      <c r="CV71" s="816">
        <v>-1052017.6099999999</v>
      </c>
      <c r="CW71" s="816">
        <v>-917299.89170198422</v>
      </c>
      <c r="CX71" s="256"/>
      <c r="CY71" s="816"/>
      <c r="CZ71" s="816"/>
    </row>
    <row r="72" spans="1:104">
      <c r="A72" s="260">
        <f t="shared" si="1"/>
        <v>65</v>
      </c>
      <c r="B72" s="260"/>
      <c r="C72" s="321" t="s">
        <v>693</v>
      </c>
      <c r="D72" s="286"/>
      <c r="E72" s="753" t="s">
        <v>531</v>
      </c>
      <c r="F72" s="285"/>
      <c r="G72" s="207">
        <f>-'Stmt E'!E13</f>
        <v>18027.93</v>
      </c>
      <c r="H72" s="29"/>
      <c r="I72" s="1229" t="s">
        <v>531</v>
      </c>
      <c r="J72" s="29"/>
      <c r="K72" s="207">
        <f>-'Stmt E'!J13</f>
        <v>0</v>
      </c>
      <c r="M72" s="1624">
        <f t="shared" si="7"/>
        <v>0</v>
      </c>
      <c r="N72" s="1625">
        <f t="shared" si="8"/>
        <v>0</v>
      </c>
      <c r="O72" s="1625"/>
      <c r="Q72" s="1065">
        <v>0</v>
      </c>
      <c r="R72" s="256"/>
      <c r="S72" s="1065">
        <v>0</v>
      </c>
      <c r="T72" s="1686"/>
      <c r="U72" s="256"/>
      <c r="V72" s="1065">
        <v>0</v>
      </c>
      <c r="W72" s="1686"/>
      <c r="X72" s="256"/>
      <c r="Y72" s="1065">
        <v>0</v>
      </c>
      <c r="Z72" s="1686"/>
      <c r="AA72" s="256"/>
      <c r="AB72" s="1065">
        <v>0</v>
      </c>
      <c r="AC72" s="1686"/>
      <c r="AD72" s="256"/>
      <c r="AE72" s="1065">
        <v>0</v>
      </c>
      <c r="AF72" s="1686"/>
      <c r="AG72" s="256"/>
      <c r="AH72" s="1065">
        <v>0</v>
      </c>
      <c r="AI72" s="1686"/>
      <c r="AJ72" s="256"/>
      <c r="AK72" s="1065">
        <v>0</v>
      </c>
      <c r="AL72" s="1686"/>
      <c r="AM72" s="256"/>
      <c r="AN72" s="1065">
        <v>0</v>
      </c>
      <c r="AO72" s="1686"/>
      <c r="AP72" s="256"/>
      <c r="AQ72" s="1065">
        <v>0</v>
      </c>
      <c r="AR72" s="1686"/>
      <c r="AS72" s="256"/>
      <c r="AT72" s="1065">
        <v>0</v>
      </c>
      <c r="AU72" s="1065"/>
      <c r="AV72" s="256"/>
      <c r="AW72" s="1065">
        <v>0</v>
      </c>
      <c r="AX72" s="1065"/>
      <c r="AY72" s="256"/>
      <c r="AZ72" s="1065">
        <v>0</v>
      </c>
      <c r="BA72" s="1065"/>
      <c r="BB72" s="256"/>
      <c r="BC72" s="1065">
        <v>0</v>
      </c>
      <c r="BD72" s="1065"/>
      <c r="BE72" s="256"/>
      <c r="BF72" s="1065">
        <v>0</v>
      </c>
      <c r="BG72" s="1065"/>
      <c r="BH72" s="256"/>
      <c r="BI72" s="1065">
        <v>0</v>
      </c>
      <c r="BJ72" s="1065"/>
      <c r="BK72" s="256"/>
      <c r="BL72" s="1065">
        <v>0</v>
      </c>
      <c r="BM72" s="1065"/>
      <c r="BN72" s="256"/>
      <c r="BO72" s="1065">
        <v>0</v>
      </c>
      <c r="BP72" s="1065"/>
      <c r="BQ72" s="256"/>
      <c r="BR72" s="1065">
        <v>0</v>
      </c>
      <c r="BS72" s="1065"/>
      <c r="BT72" s="256"/>
      <c r="BU72" s="1065">
        <v>0</v>
      </c>
      <c r="BV72" s="1065"/>
      <c r="BW72" s="256"/>
      <c r="BX72" s="1065">
        <v>0</v>
      </c>
      <c r="BY72" s="1065"/>
      <c r="BZ72" s="256"/>
      <c r="CA72" s="1065">
        <v>0</v>
      </c>
      <c r="CB72" s="1065"/>
      <c r="CC72" s="256"/>
      <c r="CD72" s="1065">
        <v>0</v>
      </c>
      <c r="CE72" s="1065"/>
      <c r="CF72" s="256"/>
      <c r="CG72" s="1065">
        <v>0</v>
      </c>
      <c r="CH72" s="1065"/>
      <c r="CI72" s="1684">
        <f t="shared" si="0"/>
        <v>0</v>
      </c>
      <c r="CJ72" s="1065">
        <v>0</v>
      </c>
      <c r="CK72" s="1065"/>
      <c r="CL72" s="256"/>
      <c r="CM72" s="1065">
        <v>0</v>
      </c>
      <c r="CN72" s="1065"/>
      <c r="CO72" s="256"/>
      <c r="CP72" s="207">
        <v>0</v>
      </c>
      <c r="CQ72" s="1065"/>
      <c r="CR72" s="256"/>
      <c r="CS72" s="207">
        <v>0</v>
      </c>
      <c r="CT72" s="1065"/>
      <c r="CU72" s="256"/>
      <c r="CV72" s="1065">
        <v>0</v>
      </c>
      <c r="CW72" s="1065"/>
      <c r="CX72" s="256"/>
      <c r="CY72" s="1065"/>
      <c r="CZ72" s="1065"/>
    </row>
    <row r="73" spans="1:104">
      <c r="A73" s="260">
        <f t="shared" si="1"/>
        <v>66</v>
      </c>
      <c r="B73" s="260"/>
      <c r="C73" s="321" t="s">
        <v>694</v>
      </c>
      <c r="D73" s="286"/>
      <c r="E73" s="753" t="s">
        <v>531</v>
      </c>
      <c r="F73" s="285"/>
      <c r="G73" s="207">
        <f>-'Stmt E'!E15</f>
        <v>0</v>
      </c>
      <c r="H73" s="29"/>
      <c r="I73" s="1229" t="s">
        <v>531</v>
      </c>
      <c r="J73" s="29"/>
      <c r="K73" s="207">
        <f>-'Stmt E'!J15</f>
        <v>0</v>
      </c>
      <c r="M73" s="1624">
        <f t="shared" si="7"/>
        <v>0</v>
      </c>
      <c r="N73" s="1625">
        <f t="shared" si="8"/>
        <v>0</v>
      </c>
      <c r="O73" s="1625"/>
      <c r="Q73" s="1065">
        <v>0</v>
      </c>
      <c r="R73" s="256"/>
      <c r="S73" s="1065">
        <v>0</v>
      </c>
      <c r="T73" s="1686"/>
      <c r="U73" s="256"/>
      <c r="V73" s="1065">
        <v>0</v>
      </c>
      <c r="W73" s="1686"/>
      <c r="X73" s="256"/>
      <c r="Y73" s="1065">
        <v>0</v>
      </c>
      <c r="Z73" s="1686"/>
      <c r="AA73" s="256"/>
      <c r="AB73" s="1065">
        <v>0</v>
      </c>
      <c r="AC73" s="1686"/>
      <c r="AD73" s="256"/>
      <c r="AE73" s="1065">
        <v>0</v>
      </c>
      <c r="AF73" s="1686"/>
      <c r="AG73" s="256"/>
      <c r="AH73" s="1065">
        <v>0</v>
      </c>
      <c r="AI73" s="1686"/>
      <c r="AJ73" s="256"/>
      <c r="AK73" s="1065">
        <v>0</v>
      </c>
      <c r="AL73" s="1686"/>
      <c r="AM73" s="256"/>
      <c r="AN73" s="1065">
        <v>0</v>
      </c>
      <c r="AO73" s="1686"/>
      <c r="AP73" s="256"/>
      <c r="AQ73" s="1065">
        <v>0</v>
      </c>
      <c r="AR73" s="1686"/>
      <c r="AS73" s="256"/>
      <c r="AT73" s="1065">
        <v>0</v>
      </c>
      <c r="AU73" s="1065"/>
      <c r="AV73" s="256"/>
      <c r="AW73" s="1065">
        <v>0</v>
      </c>
      <c r="AX73" s="1065"/>
      <c r="AY73" s="256"/>
      <c r="AZ73" s="1065">
        <v>0</v>
      </c>
      <c r="BA73" s="1065"/>
      <c r="BB73" s="256"/>
      <c r="BC73" s="1065">
        <v>0</v>
      </c>
      <c r="BD73" s="1065"/>
      <c r="BE73" s="256"/>
      <c r="BF73" s="1065">
        <v>0</v>
      </c>
      <c r="BG73" s="1065"/>
      <c r="BH73" s="256"/>
      <c r="BI73" s="1065">
        <v>0</v>
      </c>
      <c r="BJ73" s="1065"/>
      <c r="BK73" s="256"/>
      <c r="BL73" s="1065">
        <v>0</v>
      </c>
      <c r="BM73" s="1065"/>
      <c r="BN73" s="256"/>
      <c r="BO73" s="1065">
        <v>0</v>
      </c>
      <c r="BP73" s="1065"/>
      <c r="BQ73" s="256"/>
      <c r="BR73" s="1065">
        <v>0</v>
      </c>
      <c r="BS73" s="1065"/>
      <c r="BT73" s="256"/>
      <c r="BU73" s="1065">
        <v>0</v>
      </c>
      <c r="BV73" s="1065"/>
      <c r="BW73" s="256"/>
      <c r="BX73" s="1065">
        <v>0</v>
      </c>
      <c r="BY73" s="1065"/>
      <c r="BZ73" s="256"/>
      <c r="CA73" s="1065">
        <v>0</v>
      </c>
      <c r="CB73" s="1065"/>
      <c r="CC73" s="256"/>
      <c r="CD73" s="1065">
        <v>0</v>
      </c>
      <c r="CE73" s="1065"/>
      <c r="CF73" s="256"/>
      <c r="CG73" s="1065">
        <v>0</v>
      </c>
      <c r="CH73" s="1065"/>
      <c r="CI73" s="1684">
        <f t="shared" ref="CI73:CI136" si="9">CH73-CE73</f>
        <v>0</v>
      </c>
      <c r="CJ73" s="1065">
        <v>0</v>
      </c>
      <c r="CK73" s="1065"/>
      <c r="CL73" s="256"/>
      <c r="CM73" s="1065">
        <v>0</v>
      </c>
      <c r="CN73" s="1065"/>
      <c r="CO73" s="256"/>
      <c r="CP73" s="207">
        <v>0</v>
      </c>
      <c r="CQ73" s="1065"/>
      <c r="CR73" s="256"/>
      <c r="CS73" s="207">
        <v>0</v>
      </c>
      <c r="CT73" s="1065"/>
      <c r="CU73" s="256"/>
      <c r="CV73" s="1065">
        <v>0</v>
      </c>
      <c r="CW73" s="1065"/>
      <c r="CX73" s="256"/>
      <c r="CY73" s="1065"/>
      <c r="CZ73" s="1065"/>
    </row>
    <row r="74" spans="1:104">
      <c r="A74" s="260">
        <f t="shared" si="1"/>
        <v>67</v>
      </c>
      <c r="B74" s="260"/>
      <c r="C74" s="256" t="s">
        <v>305</v>
      </c>
      <c r="D74" s="286"/>
      <c r="E74" s="753" t="s">
        <v>531</v>
      </c>
      <c r="F74" s="285"/>
      <c r="G74" s="209">
        <f>-'Stmt E'!E17</f>
        <v>-4260643.18</v>
      </c>
      <c r="H74" s="29"/>
      <c r="I74" s="1229" t="s">
        <v>531</v>
      </c>
      <c r="J74" s="29"/>
      <c r="K74" s="209">
        <f>-'Stmt E'!J17</f>
        <v>-4310806.18</v>
      </c>
      <c r="M74" s="1624">
        <f t="shared" si="7"/>
        <v>0.55689295199966371</v>
      </c>
      <c r="N74" s="1628">
        <f t="shared" si="8"/>
        <v>-2372722.1579274344</v>
      </c>
      <c r="O74" s="1628">
        <v>-2400657.5790785933</v>
      </c>
      <c r="Q74" s="1066">
        <v>-4310806.18</v>
      </c>
      <c r="R74" s="256"/>
      <c r="S74" s="1066">
        <v>-4310806.18</v>
      </c>
      <c r="T74" s="1698">
        <v>-2400657.5790785933</v>
      </c>
      <c r="U74" s="256"/>
      <c r="V74" s="1066">
        <v>-4310806.18</v>
      </c>
      <c r="W74" s="1698">
        <v>-2400657.5790785933</v>
      </c>
      <c r="X74" s="256"/>
      <c r="Y74" s="1066">
        <v>-4310806.18</v>
      </c>
      <c r="Z74" s="1698">
        <v>-2400657.5790785933</v>
      </c>
      <c r="AA74" s="256"/>
      <c r="AB74" s="1066">
        <v>-4310806.18</v>
      </c>
      <c r="AC74" s="1698">
        <v>-2400657.5790785933</v>
      </c>
      <c r="AD74" s="256"/>
      <c r="AE74" s="1066">
        <v>-4310806.18</v>
      </c>
      <c r="AF74" s="1698">
        <v>-2400657.5790785933</v>
      </c>
      <c r="AG74" s="256"/>
      <c r="AH74" s="1066">
        <v>-4310806.18</v>
      </c>
      <c r="AI74" s="1698">
        <v>-2400657.5790785933</v>
      </c>
      <c r="AJ74" s="256"/>
      <c r="AK74" s="1066">
        <v>-4310806.18</v>
      </c>
      <c r="AL74" s="1698">
        <v>-2400657.5790785933</v>
      </c>
      <c r="AM74" s="256"/>
      <c r="AN74" s="1066">
        <v>-4310806.18</v>
      </c>
      <c r="AO74" s="1698">
        <v>-2400657.5790785933</v>
      </c>
      <c r="AP74" s="256"/>
      <c r="AQ74" s="1066">
        <v>-4310806.18</v>
      </c>
      <c r="AR74" s="1698">
        <v>-2400657.5790785933</v>
      </c>
      <c r="AS74" s="256"/>
      <c r="AT74" s="1066">
        <v>-4310806.18</v>
      </c>
      <c r="AU74" s="1066">
        <v>-2400657.5790785933</v>
      </c>
      <c r="AV74" s="256"/>
      <c r="AW74" s="1066">
        <v>-4310806.18</v>
      </c>
      <c r="AX74" s="1066">
        <v>-2400657.5790785933</v>
      </c>
      <c r="AY74" s="256"/>
      <c r="AZ74" s="1066">
        <v>-4310806.18</v>
      </c>
      <c r="BA74" s="1066">
        <v>-2400657.5790785933</v>
      </c>
      <c r="BB74" s="256"/>
      <c r="BC74" s="1066">
        <v>-4310806.18</v>
      </c>
      <c r="BD74" s="1066">
        <v>-2400657.5790785933</v>
      </c>
      <c r="BE74" s="256"/>
      <c r="BF74" s="1066">
        <v>-4310806.18</v>
      </c>
      <c r="BG74" s="1066">
        <v>-2400657.5790785933</v>
      </c>
      <c r="BH74" s="256"/>
      <c r="BI74" s="1066">
        <v>-4310806.18</v>
      </c>
      <c r="BJ74" s="1066">
        <v>-2400657.5790785933</v>
      </c>
      <c r="BK74" s="256"/>
      <c r="BL74" s="1066">
        <v>-4310806.18</v>
      </c>
      <c r="BM74" s="1066">
        <v>-2400657.5790785933</v>
      </c>
      <c r="BN74" s="256"/>
      <c r="BO74" s="1066">
        <v>-4310806.18</v>
      </c>
      <c r="BP74" s="1066">
        <v>-2400657.5790785933</v>
      </c>
      <c r="BQ74" s="256"/>
      <c r="BR74" s="1066">
        <v>-4310806.18</v>
      </c>
      <c r="BS74" s="1066">
        <v>-2400657.5790785933</v>
      </c>
      <c r="BT74" s="256"/>
      <c r="BU74" s="1066">
        <v>-4310806.18</v>
      </c>
      <c r="BV74" s="1066">
        <v>-2400657.5790785933</v>
      </c>
      <c r="BW74" s="256"/>
      <c r="BX74" s="1066">
        <v>-4310806.18</v>
      </c>
      <c r="BY74" s="1066">
        <v>-2400657.5790785933</v>
      </c>
      <c r="BZ74" s="256"/>
      <c r="CA74" s="1066">
        <v>-4310806.18</v>
      </c>
      <c r="CB74" s="1066">
        <v>-2400657.5790785933</v>
      </c>
      <c r="CC74" s="256"/>
      <c r="CD74" s="1066">
        <v>-4310806.18</v>
      </c>
      <c r="CE74" s="1066">
        <v>-2400657.5790785933</v>
      </c>
      <c r="CF74" s="256"/>
      <c r="CG74" s="1066">
        <v>-4310806.18</v>
      </c>
      <c r="CH74" s="1066">
        <v>-2400657.5790785933</v>
      </c>
      <c r="CI74" s="1684">
        <f t="shared" si="9"/>
        <v>0</v>
      </c>
      <c r="CJ74" s="1066">
        <v>-4310806.18</v>
      </c>
      <c r="CK74" s="1066">
        <v>-2400657.5790785933</v>
      </c>
      <c r="CL74" s="256"/>
      <c r="CM74" s="1066">
        <v>-4310806.18</v>
      </c>
      <c r="CN74" s="1066">
        <v>-2400657.5790785933</v>
      </c>
      <c r="CO74" s="256"/>
      <c r="CP74" s="209">
        <v>-4310806.18</v>
      </c>
      <c r="CQ74" s="1066">
        <v>-2400657.5790785933</v>
      </c>
      <c r="CR74" s="256"/>
      <c r="CS74" s="209">
        <v>-4310806.18</v>
      </c>
      <c r="CT74" s="1066">
        <v>-2400657.5790785933</v>
      </c>
      <c r="CU74" s="256"/>
      <c r="CV74" s="1066">
        <v>-4310806.18</v>
      </c>
      <c r="CW74" s="1066">
        <v>-2400657.5790785933</v>
      </c>
      <c r="CX74" s="256"/>
      <c r="CY74" s="1066"/>
      <c r="CZ74" s="1066"/>
    </row>
    <row r="75" spans="1:104">
      <c r="A75" s="260">
        <f t="shared" si="1"/>
        <v>68</v>
      </c>
      <c r="B75" s="254"/>
      <c r="C75" s="256" t="s">
        <v>39</v>
      </c>
      <c r="D75" s="286"/>
      <c r="E75" s="24" t="s">
        <v>531</v>
      </c>
      <c r="F75" s="285"/>
      <c r="G75" s="209">
        <f>-'Stmt E'!E19</f>
        <v>-249936085.19</v>
      </c>
      <c r="H75" s="29"/>
      <c r="I75" s="1229" t="s">
        <v>531</v>
      </c>
      <c r="J75" s="29"/>
      <c r="K75" s="636">
        <f>-'Stmt E'!J19</f>
        <v>-265816114.47031307</v>
      </c>
      <c r="M75" s="1624">
        <f t="shared" si="7"/>
        <v>0.86168707657505894</v>
      </c>
      <c r="N75" s="1628">
        <f t="shared" si="8"/>
        <v>-215366694.57798597</v>
      </c>
      <c r="O75" s="1628">
        <v>-229050310.5844653</v>
      </c>
      <c r="Q75" s="1699">
        <v>-266471711.8893652</v>
      </c>
      <c r="R75" s="256"/>
      <c r="S75" s="1699">
        <v>-266471711.8893652</v>
      </c>
      <c r="T75" s="1700">
        <v>-229332482.50168321</v>
      </c>
      <c r="U75" s="256"/>
      <c r="V75" s="1699">
        <v>-266471711.8893652</v>
      </c>
      <c r="W75" s="1700">
        <v>-229332482.50168321</v>
      </c>
      <c r="X75" s="256"/>
      <c r="Y75" s="1699">
        <v>-266471711.8893652</v>
      </c>
      <c r="Z75" s="1700">
        <v>-229332482.50168321</v>
      </c>
      <c r="AA75" s="256"/>
      <c r="AB75" s="1699">
        <v>-266471711.8893652</v>
      </c>
      <c r="AC75" s="1700">
        <v>-229332482.50168321</v>
      </c>
      <c r="AD75" s="256"/>
      <c r="AE75" s="1699">
        <v>-266471711.8893652</v>
      </c>
      <c r="AF75" s="1700">
        <v>-229332482.50168321</v>
      </c>
      <c r="AG75" s="256"/>
      <c r="AH75" s="1699">
        <v>-266471711.8893652</v>
      </c>
      <c r="AI75" s="1700">
        <v>-229332482.50168321</v>
      </c>
      <c r="AJ75" s="256"/>
      <c r="AK75" s="1699">
        <v>-266471711.8893652</v>
      </c>
      <c r="AL75" s="1700">
        <v>-229332482.50168321</v>
      </c>
      <c r="AM75" s="256"/>
      <c r="AN75" s="1699">
        <v>-266471711.8893652</v>
      </c>
      <c r="AO75" s="1700">
        <v>-229332482.50168321</v>
      </c>
      <c r="AP75" s="256"/>
      <c r="AQ75" s="1699">
        <v>-266471711.8893652</v>
      </c>
      <c r="AR75" s="1700">
        <v>-229332482.50168321</v>
      </c>
      <c r="AS75" s="256"/>
      <c r="AT75" s="1699">
        <v>-266471711.8893652</v>
      </c>
      <c r="AU75" s="1699">
        <v>-229332482.50168321</v>
      </c>
      <c r="AV75" s="256"/>
      <c r="AW75" s="1699">
        <v>-266471711.8893652</v>
      </c>
      <c r="AX75" s="1699">
        <v>-229332482.50168321</v>
      </c>
      <c r="AY75" s="256"/>
      <c r="AZ75" s="1699">
        <v>-266471711.8893652</v>
      </c>
      <c r="BA75" s="1699">
        <v>-229332482.50168321</v>
      </c>
      <c r="BB75" s="256"/>
      <c r="BC75" s="1699">
        <v>-266471711.8893652</v>
      </c>
      <c r="BD75" s="1699">
        <v>-229332482.50168321</v>
      </c>
      <c r="BE75" s="256"/>
      <c r="BF75" s="1699">
        <v>-266471711.8893652</v>
      </c>
      <c r="BG75" s="1699">
        <v>-229332482.50168321</v>
      </c>
      <c r="BH75" s="256"/>
      <c r="BI75" s="1699">
        <v>-266471711.8893652</v>
      </c>
      <c r="BJ75" s="1699">
        <v>-229332482.50168321</v>
      </c>
      <c r="BK75" s="256"/>
      <c r="BL75" s="1699">
        <v>-266471711.8893652</v>
      </c>
      <c r="BM75" s="1699">
        <v>-229332482.50168321</v>
      </c>
      <c r="BN75" s="256"/>
      <c r="BO75" s="1699">
        <v>-265728798.67407751</v>
      </c>
      <c r="BP75" s="1699">
        <v>-228693112.07569227</v>
      </c>
      <c r="BQ75" s="256"/>
      <c r="BR75" s="1699">
        <v>-265728798.67407751</v>
      </c>
      <c r="BS75" s="1699">
        <v>-228693112.07569227</v>
      </c>
      <c r="BT75" s="256"/>
      <c r="BU75" s="1699">
        <v>-265728798.67407751</v>
      </c>
      <c r="BV75" s="1699">
        <v>-228693112.07569227</v>
      </c>
      <c r="BW75" s="256"/>
      <c r="BX75" s="1699">
        <v>-265728798.67407751</v>
      </c>
      <c r="BY75" s="1699">
        <v>-228693112.07569227</v>
      </c>
      <c r="BZ75" s="256"/>
      <c r="CA75" s="1699">
        <v>-265816114.47031307</v>
      </c>
      <c r="CB75" s="1699">
        <v>-229050310.5844653</v>
      </c>
      <c r="CC75" s="256"/>
      <c r="CD75" s="1699">
        <v>-265816114.47031307</v>
      </c>
      <c r="CE75" s="1699">
        <v>-229050310.5844653</v>
      </c>
      <c r="CF75" s="256"/>
      <c r="CG75" s="1699">
        <v>-265816114.47031307</v>
      </c>
      <c r="CH75" s="1699">
        <v>-229050310.5844653</v>
      </c>
      <c r="CI75" s="1684">
        <f t="shared" si="9"/>
        <v>0</v>
      </c>
      <c r="CJ75" s="1699">
        <v>-265816114.47031307</v>
      </c>
      <c r="CK75" s="1699">
        <v>-229050310.5844653</v>
      </c>
      <c r="CL75" s="256"/>
      <c r="CM75" s="1699">
        <v>-265816114.47031307</v>
      </c>
      <c r="CN75" s="1699">
        <v>-229050310.5844653</v>
      </c>
      <c r="CO75" s="256"/>
      <c r="CP75" s="636">
        <v>-265816114.47031307</v>
      </c>
      <c r="CQ75" s="1699">
        <v>-229050310.5844653</v>
      </c>
      <c r="CR75" s="256"/>
      <c r="CS75" s="636">
        <v>-265816114.47031307</v>
      </c>
      <c r="CT75" s="1699">
        <v>-229050310.5844653</v>
      </c>
      <c r="CU75" s="256"/>
      <c r="CV75" s="1699">
        <v>-265816114.47031307</v>
      </c>
      <c r="CW75" s="1699">
        <v>-229050310.5844653</v>
      </c>
      <c r="CX75" s="256"/>
      <c r="CY75" s="1699"/>
      <c r="CZ75" s="1699"/>
    </row>
    <row r="76" spans="1:104">
      <c r="A76" s="260">
        <f t="shared" si="1"/>
        <v>69</v>
      </c>
      <c r="B76" s="260"/>
      <c r="C76" s="256" t="s">
        <v>40</v>
      </c>
      <c r="D76" s="286"/>
      <c r="E76" s="24" t="s">
        <v>531</v>
      </c>
      <c r="F76" s="285"/>
      <c r="G76" s="209">
        <f>-'Stmt E'!E21</f>
        <v>-15862916.420000002</v>
      </c>
      <c r="H76" s="29"/>
      <c r="I76" s="1229" t="s">
        <v>531</v>
      </c>
      <c r="J76" s="29"/>
      <c r="K76" s="636">
        <f>-'Stmt E'!J21</f>
        <v>-17439178.911993302</v>
      </c>
      <c r="M76" s="1624">
        <f t="shared" si="7"/>
        <v>0.87943321418081033</v>
      </c>
      <c r="N76" s="1628">
        <f t="shared" si="8"/>
        <v>-13950375.573522154</v>
      </c>
      <c r="O76" s="1628">
        <v>-15336593.163248478</v>
      </c>
      <c r="Q76" s="1699">
        <v>-17438834.012859419</v>
      </c>
      <c r="R76" s="256"/>
      <c r="S76" s="1699">
        <v>-17438834.012859419</v>
      </c>
      <c r="T76" s="1700">
        <v>-15323009.146942701</v>
      </c>
      <c r="U76" s="256"/>
      <c r="V76" s="1699">
        <v>-17438834.012859419</v>
      </c>
      <c r="W76" s="1700">
        <v>-15323009.146942701</v>
      </c>
      <c r="X76" s="256"/>
      <c r="Y76" s="1699">
        <v>-17438834.012859419</v>
      </c>
      <c r="Z76" s="1700">
        <v>-15323141.16663726</v>
      </c>
      <c r="AA76" s="256"/>
      <c r="AB76" s="1699">
        <v>-17438834.012859419</v>
      </c>
      <c r="AC76" s="1700">
        <v>-15322028.685864611</v>
      </c>
      <c r="AD76" s="256"/>
      <c r="AE76" s="1699">
        <v>-17438834.012859419</v>
      </c>
      <c r="AF76" s="1700">
        <v>-15322028.685864612</v>
      </c>
      <c r="AG76" s="256"/>
      <c r="AH76" s="1699">
        <v>-17438834.012859419</v>
      </c>
      <c r="AI76" s="1700">
        <v>-15322028.685864616</v>
      </c>
      <c r="AJ76" s="256"/>
      <c r="AK76" s="1699">
        <v>-17438834.012859419</v>
      </c>
      <c r="AL76" s="1700">
        <v>-15321875.266404433</v>
      </c>
      <c r="AM76" s="256"/>
      <c r="AN76" s="1699">
        <v>-17438834.012859419</v>
      </c>
      <c r="AO76" s="1700">
        <v>-15321963.135027293</v>
      </c>
      <c r="AP76" s="256"/>
      <c r="AQ76" s="1699">
        <v>-17438834.012859419</v>
      </c>
      <c r="AR76" s="1700">
        <v>-15321963.135027293</v>
      </c>
      <c r="AS76" s="256"/>
      <c r="AT76" s="1699">
        <v>-17438834.012859419</v>
      </c>
      <c r="AU76" s="1699">
        <v>-15321963.135027293</v>
      </c>
      <c r="AV76" s="256"/>
      <c r="AW76" s="1699">
        <v>-17438834.012859419</v>
      </c>
      <c r="AX76" s="1699">
        <v>-15321963.135027293</v>
      </c>
      <c r="AY76" s="256"/>
      <c r="AZ76" s="1699">
        <v>-17438834.012859419</v>
      </c>
      <c r="BA76" s="1699">
        <v>-15321963.135027293</v>
      </c>
      <c r="BB76" s="256"/>
      <c r="BC76" s="1699">
        <v>-17438834.012859419</v>
      </c>
      <c r="BD76" s="1699">
        <v>-15321963.135027293</v>
      </c>
      <c r="BE76" s="256"/>
      <c r="BF76" s="1699">
        <v>-17438834.012859419</v>
      </c>
      <c r="BG76" s="1699">
        <v>-15321963.135027293</v>
      </c>
      <c r="BH76" s="256"/>
      <c r="BI76" s="1699">
        <v>-17438834.012859419</v>
      </c>
      <c r="BJ76" s="1699">
        <v>-15321963.135027293</v>
      </c>
      <c r="BK76" s="256"/>
      <c r="BL76" s="1699">
        <v>-17438834.012859419</v>
      </c>
      <c r="BM76" s="1699">
        <v>-15321963.135027293</v>
      </c>
      <c r="BN76" s="256"/>
      <c r="BO76" s="1699">
        <v>-17438834.012859419</v>
      </c>
      <c r="BP76" s="1699">
        <v>-15321963.135027293</v>
      </c>
      <c r="BQ76" s="256"/>
      <c r="BR76" s="1699">
        <v>-17438834.012859419</v>
      </c>
      <c r="BS76" s="1699">
        <v>-15321963.135027293</v>
      </c>
      <c r="BT76" s="256"/>
      <c r="BU76" s="1699">
        <v>-17438834.012859419</v>
      </c>
      <c r="BV76" s="1699">
        <v>-15321963.135027293</v>
      </c>
      <c r="BW76" s="256"/>
      <c r="BX76" s="1699">
        <v>-17438834.012859419</v>
      </c>
      <c r="BY76" s="1699">
        <v>-15321963.135027293</v>
      </c>
      <c r="BZ76" s="256"/>
      <c r="CA76" s="1699">
        <v>-17439178.911993302</v>
      </c>
      <c r="CB76" s="1699">
        <v>-15333877.806850422</v>
      </c>
      <c r="CC76" s="256"/>
      <c r="CD76" s="1699">
        <v>-17439178.911993302</v>
      </c>
      <c r="CE76" s="1699">
        <v>-15333877.806850422</v>
      </c>
      <c r="CF76" s="256"/>
      <c r="CG76" s="1699">
        <v>-17439178.911993302</v>
      </c>
      <c r="CH76" s="1699">
        <v>-15333877.806850422</v>
      </c>
      <c r="CI76" s="1684">
        <f t="shared" si="9"/>
        <v>0</v>
      </c>
      <c r="CJ76" s="1699">
        <v>-17439178.911993302</v>
      </c>
      <c r="CK76" s="1699">
        <v>-15333877.806850422</v>
      </c>
      <c r="CL76" s="256"/>
      <c r="CM76" s="1699">
        <v>-17439178.911993302</v>
      </c>
      <c r="CN76" s="1699">
        <v>-15335025.654751247</v>
      </c>
      <c r="CO76" s="256"/>
      <c r="CP76" s="636">
        <v>-17439178.911993302</v>
      </c>
      <c r="CQ76" s="1699">
        <v>-15335025.654751247</v>
      </c>
      <c r="CR76" s="256"/>
      <c r="CS76" s="636">
        <v>-17439178.911993302</v>
      </c>
      <c r="CT76" s="1699">
        <v>-15336593.163248478</v>
      </c>
      <c r="CU76" s="256"/>
      <c r="CV76" s="1699">
        <v>-17439178.911993302</v>
      </c>
      <c r="CW76" s="1699">
        <v>-15336593.163248478</v>
      </c>
      <c r="CX76" s="256"/>
      <c r="CY76" s="1699"/>
      <c r="CZ76" s="1699"/>
    </row>
    <row r="77" spans="1:104" s="582" customFormat="1">
      <c r="A77" s="581">
        <f>A76+1</f>
        <v>70</v>
      </c>
      <c r="B77" s="581"/>
      <c r="C77" s="863" t="s">
        <v>1245</v>
      </c>
      <c r="D77" s="285"/>
      <c r="E77" s="1204" t="s">
        <v>531</v>
      </c>
      <c r="F77" s="285"/>
      <c r="G77" s="209">
        <f>-'Stmt E'!E23-'Stmt E'!E24-'Stmt E'!E25</f>
        <v>-11941735.653387455</v>
      </c>
      <c r="H77" s="29"/>
      <c r="I77" s="1229" t="s">
        <v>531</v>
      </c>
      <c r="J77" s="29"/>
      <c r="K77" s="636">
        <f>-'Stmt E'!J23-'Stmt E'!J24-'Stmt E'!J25</f>
        <v>625655.50084761553</v>
      </c>
      <c r="L77" s="293"/>
      <c r="M77" s="1624">
        <f t="shared" si="7"/>
        <v>0.94873241983789069</v>
      </c>
      <c r="N77" s="1628">
        <f t="shared" si="8"/>
        <v>-11329511.763502695</v>
      </c>
      <c r="O77" s="1628">
        <v>593579.65730404574</v>
      </c>
      <c r="Q77" s="1699">
        <v>640107.34359811386</v>
      </c>
      <c r="R77" s="256"/>
      <c r="S77" s="1699">
        <v>640107.34359811386</v>
      </c>
      <c r="T77" s="1700">
        <v>607290.58904784266</v>
      </c>
      <c r="U77" s="256"/>
      <c r="V77" s="1699">
        <v>640107.34359811386</v>
      </c>
      <c r="W77" s="1700">
        <v>607290.58904784266</v>
      </c>
      <c r="X77" s="256"/>
      <c r="Y77" s="1699">
        <v>640107.34359811386</v>
      </c>
      <c r="Z77" s="1700">
        <v>607290.58904784266</v>
      </c>
      <c r="AA77" s="256"/>
      <c r="AB77" s="1699">
        <v>640107.34359811386</v>
      </c>
      <c r="AC77" s="1700">
        <v>607290.58904784266</v>
      </c>
      <c r="AD77" s="256"/>
      <c r="AE77" s="1699">
        <v>640107.34359811386</v>
      </c>
      <c r="AF77" s="1700">
        <v>607290.58904784266</v>
      </c>
      <c r="AG77" s="256"/>
      <c r="AH77" s="1699">
        <v>640107.34359811386</v>
      </c>
      <c r="AI77" s="1700">
        <v>607290.58904784266</v>
      </c>
      <c r="AJ77" s="256"/>
      <c r="AK77" s="1699">
        <v>640107.34359811386</v>
      </c>
      <c r="AL77" s="1700">
        <v>607290.58904784266</v>
      </c>
      <c r="AM77" s="256"/>
      <c r="AN77" s="1699">
        <v>640107.34359811386</v>
      </c>
      <c r="AO77" s="1700">
        <v>607290.58904784266</v>
      </c>
      <c r="AP77" s="256"/>
      <c r="AQ77" s="1699">
        <v>640107.34359811386</v>
      </c>
      <c r="AR77" s="1700">
        <v>607290.58904784266</v>
      </c>
      <c r="AS77" s="256"/>
      <c r="AT77" s="1699">
        <v>640107.34359811386</v>
      </c>
      <c r="AU77" s="1699">
        <v>607290.58904784266</v>
      </c>
      <c r="AV77" s="256"/>
      <c r="AW77" s="1699">
        <v>640107.34359811386</v>
      </c>
      <c r="AX77" s="1699">
        <v>607290.58904784266</v>
      </c>
      <c r="AY77" s="256"/>
      <c r="AZ77" s="1699">
        <v>640107.34359811386</v>
      </c>
      <c r="BA77" s="1699">
        <v>607290.58904784266</v>
      </c>
      <c r="BB77" s="256"/>
      <c r="BC77" s="1699">
        <v>640107.34359811386</v>
      </c>
      <c r="BD77" s="1699">
        <v>607290.58904784266</v>
      </c>
      <c r="BE77" s="256"/>
      <c r="BF77" s="1699">
        <v>640107.34359811386</v>
      </c>
      <c r="BG77" s="1699">
        <v>607290.58904784266</v>
      </c>
      <c r="BH77" s="256"/>
      <c r="BI77" s="1699">
        <v>640107.34359811386</v>
      </c>
      <c r="BJ77" s="1699">
        <v>607290.58904784266</v>
      </c>
      <c r="BK77" s="256"/>
      <c r="BL77" s="1699">
        <v>640107.34359811386</v>
      </c>
      <c r="BM77" s="1699">
        <v>607290.58904784266</v>
      </c>
      <c r="BN77" s="256"/>
      <c r="BO77" s="1699">
        <v>640107.34359811386</v>
      </c>
      <c r="BP77" s="1699">
        <v>607290.58904784266</v>
      </c>
      <c r="BQ77" s="256"/>
      <c r="BR77" s="1699">
        <v>640107.34359811386</v>
      </c>
      <c r="BS77" s="1699">
        <v>607290.58904784266</v>
      </c>
      <c r="BT77" s="256"/>
      <c r="BU77" s="1699">
        <v>640107.34359811386</v>
      </c>
      <c r="BV77" s="1699">
        <v>607290.58904784266</v>
      </c>
      <c r="BW77" s="256"/>
      <c r="BX77" s="1699">
        <v>640107.34359811386</v>
      </c>
      <c r="BY77" s="1699">
        <v>607290.58904784266</v>
      </c>
      <c r="BZ77" s="256"/>
      <c r="CA77" s="1699">
        <v>625655.50084761553</v>
      </c>
      <c r="CB77" s="1699">
        <v>593579.65730404574</v>
      </c>
      <c r="CC77" s="256"/>
      <c r="CD77" s="1699">
        <v>625655.50084761553</v>
      </c>
      <c r="CE77" s="1699">
        <v>593579.65730404574</v>
      </c>
      <c r="CF77" s="256"/>
      <c r="CG77" s="1699">
        <v>625655.50084761553</v>
      </c>
      <c r="CH77" s="1699">
        <v>593579.65730404574</v>
      </c>
      <c r="CI77" s="1684">
        <f t="shared" si="9"/>
        <v>0</v>
      </c>
      <c r="CJ77" s="1699">
        <v>625655.50084761553</v>
      </c>
      <c r="CK77" s="1699">
        <v>593579.65730404574</v>
      </c>
      <c r="CL77" s="256"/>
      <c r="CM77" s="1699">
        <v>625655.50084761553</v>
      </c>
      <c r="CN77" s="1699">
        <v>593579.65730404574</v>
      </c>
      <c r="CO77" s="256"/>
      <c r="CP77" s="636">
        <v>625655.50084761553</v>
      </c>
      <c r="CQ77" s="1699">
        <v>593579.65730404574</v>
      </c>
      <c r="CR77" s="256"/>
      <c r="CS77" s="636">
        <v>625655.50084761553</v>
      </c>
      <c r="CT77" s="1699">
        <v>593579.65730404574</v>
      </c>
      <c r="CU77" s="256"/>
      <c r="CV77" s="1699">
        <v>625655.50084761553</v>
      </c>
      <c r="CW77" s="1699">
        <v>593579.65730404574</v>
      </c>
      <c r="CX77" s="256"/>
      <c r="CY77" s="1699"/>
      <c r="CZ77" s="1699"/>
    </row>
    <row r="78" spans="1:104" s="582" customFormat="1">
      <c r="A78" s="581">
        <f>A77+1</f>
        <v>71</v>
      </c>
      <c r="B78" s="581"/>
      <c r="C78" s="863" t="s">
        <v>1246</v>
      </c>
      <c r="D78" s="285"/>
      <c r="E78" s="1332" t="s">
        <v>531</v>
      </c>
      <c r="F78" s="285"/>
      <c r="G78" s="787">
        <f>-'Stmt E'!E26-'Stmt E'!E27-'Stmt E'!E28-'Stmt E'!E29</f>
        <v>-2921925.4502517935</v>
      </c>
      <c r="H78" s="29"/>
      <c r="I78" s="1229" t="s">
        <v>531</v>
      </c>
      <c r="J78" s="29"/>
      <c r="K78" s="637">
        <f>-'Stmt E'!J26-'Stmt E'!J27-'Stmt E'!J28-'Stmt E'!J29</f>
        <v>-438077.85316301603</v>
      </c>
      <c r="L78" s="255"/>
      <c r="M78" s="1624">
        <f t="shared" si="7"/>
        <v>0.87194347602411726</v>
      </c>
      <c r="N78" s="1626">
        <f t="shared" si="8"/>
        <v>-2547753.8337758826</v>
      </c>
      <c r="O78" s="1626">
        <v>-381979.12605614302</v>
      </c>
      <c r="Q78" s="1701">
        <v>-395688.45234655496</v>
      </c>
      <c r="R78" s="256"/>
      <c r="S78" s="1701">
        <v>-395688.45234655496</v>
      </c>
      <c r="T78" s="1702">
        <v>-344738.91800690431</v>
      </c>
      <c r="U78" s="256"/>
      <c r="V78" s="1701">
        <v>-395688.45234655496</v>
      </c>
      <c r="W78" s="1702">
        <v>-344738.91800690431</v>
      </c>
      <c r="X78" s="256"/>
      <c r="Y78" s="1701">
        <v>-395688.45234655496</v>
      </c>
      <c r="Z78" s="1702">
        <v>-344742.23136799003</v>
      </c>
      <c r="AA78" s="256"/>
      <c r="AB78" s="1701">
        <v>-395688.45234655496</v>
      </c>
      <c r="AC78" s="1702">
        <v>-344714.31090875092</v>
      </c>
      <c r="AD78" s="256"/>
      <c r="AE78" s="1701">
        <v>-395688.45234655496</v>
      </c>
      <c r="AF78" s="1702">
        <v>-344714.31090875098</v>
      </c>
      <c r="AG78" s="256"/>
      <c r="AH78" s="1701">
        <v>-395688.45234655496</v>
      </c>
      <c r="AI78" s="1702">
        <v>-344714.31090875104</v>
      </c>
      <c r="AJ78" s="256"/>
      <c r="AK78" s="1701">
        <v>-395688.45234655496</v>
      </c>
      <c r="AL78" s="1702">
        <v>-344710.46046756604</v>
      </c>
      <c r="AM78" s="256"/>
      <c r="AN78" s="1701">
        <v>-395688.45234655496</v>
      </c>
      <c r="AO78" s="1702">
        <v>-344712.66574819939</v>
      </c>
      <c r="AP78" s="256"/>
      <c r="AQ78" s="1701">
        <v>-395688.45234655496</v>
      </c>
      <c r="AR78" s="1702">
        <v>-344712.66574819939</v>
      </c>
      <c r="AS78" s="256"/>
      <c r="AT78" s="1701">
        <v>-395688.45234655496</v>
      </c>
      <c r="AU78" s="1701">
        <v>-344712.66574819939</v>
      </c>
      <c r="AV78" s="256"/>
      <c r="AW78" s="1701">
        <v>-395688.45234655496</v>
      </c>
      <c r="AX78" s="1701">
        <v>-344712.66574819939</v>
      </c>
      <c r="AY78" s="256"/>
      <c r="AZ78" s="1701">
        <v>-395688.45234655496</v>
      </c>
      <c r="BA78" s="1701">
        <v>-344712.66574819939</v>
      </c>
      <c r="BB78" s="256"/>
      <c r="BC78" s="1701">
        <v>-395688.45234655496</v>
      </c>
      <c r="BD78" s="1701">
        <v>-344712.66574819939</v>
      </c>
      <c r="BE78" s="256"/>
      <c r="BF78" s="1701">
        <v>-395688.45234655496</v>
      </c>
      <c r="BG78" s="1701">
        <v>-344712.66574819939</v>
      </c>
      <c r="BH78" s="256"/>
      <c r="BI78" s="1701">
        <v>-395688.45234655496</v>
      </c>
      <c r="BJ78" s="1701">
        <v>-344712.66574819939</v>
      </c>
      <c r="BK78" s="256"/>
      <c r="BL78" s="1701">
        <v>-395688.45234655496</v>
      </c>
      <c r="BM78" s="1701">
        <v>-344712.66574819939</v>
      </c>
      <c r="BN78" s="256"/>
      <c r="BO78" s="1701">
        <v>-395688.45234655496</v>
      </c>
      <c r="BP78" s="1701">
        <v>-344712.66574819939</v>
      </c>
      <c r="BQ78" s="256"/>
      <c r="BR78" s="1701">
        <v>-395688.45234655496</v>
      </c>
      <c r="BS78" s="1701">
        <v>-344712.66574819939</v>
      </c>
      <c r="BT78" s="256"/>
      <c r="BU78" s="1701">
        <v>-395688.45234655496</v>
      </c>
      <c r="BV78" s="1701">
        <v>-344712.66574819939</v>
      </c>
      <c r="BW78" s="256"/>
      <c r="BX78" s="1701">
        <v>-395688.45234655496</v>
      </c>
      <c r="BY78" s="1701">
        <v>-344712.66574819939</v>
      </c>
      <c r="BZ78" s="256"/>
      <c r="CA78" s="1701">
        <v>-438077.85316301603</v>
      </c>
      <c r="CB78" s="1701">
        <v>-381903.54333165998</v>
      </c>
      <c r="CC78" s="256"/>
      <c r="CD78" s="1701">
        <v>-438077.85316301603</v>
      </c>
      <c r="CE78" s="1701">
        <v>-381903.54333165998</v>
      </c>
      <c r="CF78" s="256"/>
      <c r="CG78" s="1701">
        <v>-438077.85316301603</v>
      </c>
      <c r="CH78" s="1701">
        <v>-381903.54333165998</v>
      </c>
      <c r="CI78" s="1684">
        <f t="shared" si="9"/>
        <v>0</v>
      </c>
      <c r="CJ78" s="1701">
        <v>-438077.85316301603</v>
      </c>
      <c r="CK78" s="1701">
        <v>-381903.54333165998</v>
      </c>
      <c r="CL78" s="256"/>
      <c r="CM78" s="1701">
        <v>-438077.85316301603</v>
      </c>
      <c r="CN78" s="1701">
        <v>-381935.4940073425</v>
      </c>
      <c r="CO78" s="256"/>
      <c r="CP78" s="637">
        <v>-438077.85316301603</v>
      </c>
      <c r="CQ78" s="1701">
        <v>-381935.4940073425</v>
      </c>
      <c r="CR78" s="256"/>
      <c r="CS78" s="637">
        <v>-438077.85316301603</v>
      </c>
      <c r="CT78" s="1701">
        <v>-381979.12605614302</v>
      </c>
      <c r="CU78" s="256"/>
      <c r="CV78" s="1701">
        <v>-438077.85316301603</v>
      </c>
      <c r="CW78" s="1701">
        <v>-381979.12605614302</v>
      </c>
      <c r="CX78" s="256"/>
      <c r="CY78" s="1701"/>
      <c r="CZ78" s="1701"/>
    </row>
    <row r="79" spans="1:104">
      <c r="A79" s="260">
        <f t="shared" si="1"/>
        <v>72</v>
      </c>
      <c r="B79" s="260"/>
      <c r="C79" s="256" t="s">
        <v>247</v>
      </c>
      <c r="D79" s="266"/>
      <c r="E79" s="1226" t="s">
        <v>531</v>
      </c>
      <c r="F79" s="264"/>
      <c r="G79" s="361">
        <f>SUM(G71:G78)</f>
        <v>-285893861.57363927</v>
      </c>
      <c r="H79" s="29"/>
      <c r="I79" s="1229"/>
      <c r="J79" s="29"/>
      <c r="K79" s="361">
        <f>SUM(K71:K78)</f>
        <v>-288430539.52462178</v>
      </c>
      <c r="M79" s="1630" t="s">
        <v>1528</v>
      </c>
      <c r="N79" s="1614">
        <f>SUM(N71:N78)</f>
        <v>-246429046.935958</v>
      </c>
      <c r="O79" s="1614">
        <v>-247493260.68724644</v>
      </c>
      <c r="Q79" s="333">
        <v>-289028950.80097306</v>
      </c>
      <c r="R79" s="256"/>
      <c r="S79" s="333">
        <v>-289028950.80097306</v>
      </c>
      <c r="T79" s="1693">
        <v>-247710155.54678142</v>
      </c>
      <c r="U79" s="256"/>
      <c r="V79" s="333">
        <v>-289028950.80097306</v>
      </c>
      <c r="W79" s="1693">
        <v>-247710155.54678142</v>
      </c>
      <c r="X79" s="256"/>
      <c r="Y79" s="333">
        <v>-289028950.80097306</v>
      </c>
      <c r="Z79" s="1693">
        <v>-247710299.68907624</v>
      </c>
      <c r="AA79" s="256"/>
      <c r="AB79" s="333">
        <v>-289028950.80097306</v>
      </c>
      <c r="AC79" s="1693">
        <v>-247709085.05566844</v>
      </c>
      <c r="AD79" s="256"/>
      <c r="AE79" s="333">
        <v>-289028950.80097306</v>
      </c>
      <c r="AF79" s="1693">
        <v>-247709085.05566844</v>
      </c>
      <c r="AG79" s="256"/>
      <c r="AH79" s="333">
        <v>-289028950.80097306</v>
      </c>
      <c r="AI79" s="1693">
        <v>-247709085.05566847</v>
      </c>
      <c r="AJ79" s="256"/>
      <c r="AK79" s="333">
        <v>-289028950.80097306</v>
      </c>
      <c r="AL79" s="1693">
        <v>-247708917.54859206</v>
      </c>
      <c r="AM79" s="256"/>
      <c r="AN79" s="333">
        <v>-289028950.80097306</v>
      </c>
      <c r="AO79" s="1693">
        <v>-247709013.48567921</v>
      </c>
      <c r="AP79" s="256"/>
      <c r="AQ79" s="333">
        <v>-289028950.80097306</v>
      </c>
      <c r="AR79" s="1693">
        <v>-247709013.48567921</v>
      </c>
      <c r="AS79" s="256"/>
      <c r="AT79" s="333">
        <v>-289028950.80097306</v>
      </c>
      <c r="AU79" s="333">
        <v>-247709013.48567921</v>
      </c>
      <c r="AV79" s="256"/>
      <c r="AW79" s="333">
        <v>-289028950.80097306</v>
      </c>
      <c r="AX79" s="333">
        <v>-247709013.48567921</v>
      </c>
      <c r="AY79" s="256"/>
      <c r="AZ79" s="333">
        <v>-289028950.80097306</v>
      </c>
      <c r="BA79" s="333">
        <v>-247709013.48567921</v>
      </c>
      <c r="BB79" s="256"/>
      <c r="BC79" s="333">
        <v>-289028950.80097306</v>
      </c>
      <c r="BD79" s="333">
        <v>-247709013.48567921</v>
      </c>
      <c r="BE79" s="256"/>
      <c r="BF79" s="333">
        <v>-289028950.80097306</v>
      </c>
      <c r="BG79" s="333">
        <v>-247709013.48567921</v>
      </c>
      <c r="BH79" s="256"/>
      <c r="BI79" s="333">
        <v>-289028950.80097306</v>
      </c>
      <c r="BJ79" s="333">
        <v>-247709013.48567921</v>
      </c>
      <c r="BK79" s="256"/>
      <c r="BL79" s="333">
        <v>-289028950.80097306</v>
      </c>
      <c r="BM79" s="333">
        <v>-247709013.48567921</v>
      </c>
      <c r="BN79" s="256"/>
      <c r="BO79" s="333">
        <v>-288286037.58568537</v>
      </c>
      <c r="BP79" s="333">
        <v>-247069643.05968827</v>
      </c>
      <c r="BQ79" s="256"/>
      <c r="BR79" s="333">
        <v>-288286037.58568537</v>
      </c>
      <c r="BS79" s="333">
        <v>-247069643.05968827</v>
      </c>
      <c r="BT79" s="256"/>
      <c r="BU79" s="333">
        <v>-288286037.58568537</v>
      </c>
      <c r="BV79" s="333">
        <v>-247069643.05968827</v>
      </c>
      <c r="BW79" s="256"/>
      <c r="BX79" s="333">
        <v>-288286037.58568537</v>
      </c>
      <c r="BY79" s="333">
        <v>-247069643.05968827</v>
      </c>
      <c r="BZ79" s="256"/>
      <c r="CA79" s="333">
        <v>-288430539.52462178</v>
      </c>
      <c r="CB79" s="333">
        <v>-247490288.24075806</v>
      </c>
      <c r="CC79" s="256"/>
      <c r="CD79" s="333">
        <v>-288430539.52462178</v>
      </c>
      <c r="CE79" s="333">
        <v>-247490288.24075806</v>
      </c>
      <c r="CF79" s="256"/>
      <c r="CG79" s="333">
        <v>-288430539.52462178</v>
      </c>
      <c r="CH79" s="333">
        <v>-247490288.24075806</v>
      </c>
      <c r="CI79" s="1684">
        <f t="shared" si="9"/>
        <v>0</v>
      </c>
      <c r="CJ79" s="333">
        <v>-288430539.52462178</v>
      </c>
      <c r="CK79" s="333">
        <v>-247490288.24075806</v>
      </c>
      <c r="CL79" s="256"/>
      <c r="CM79" s="333">
        <v>-288430539.52462178</v>
      </c>
      <c r="CN79" s="333">
        <v>-247491544.76696008</v>
      </c>
      <c r="CO79" s="256"/>
      <c r="CP79" s="361">
        <v>-288430539.52462178</v>
      </c>
      <c r="CQ79" s="333">
        <v>-247491544.76696008</v>
      </c>
      <c r="CR79" s="256"/>
      <c r="CS79" s="361">
        <v>-288430539.52462178</v>
      </c>
      <c r="CT79" s="333">
        <v>-247493260.68724644</v>
      </c>
      <c r="CU79" s="256"/>
      <c r="CV79" s="333">
        <v>-288430539.52462178</v>
      </c>
      <c r="CW79" s="333">
        <v>-247493260.68724644</v>
      </c>
      <c r="CX79" s="256"/>
      <c r="CY79" s="333"/>
      <c r="CZ79" s="333"/>
    </row>
    <row r="80" spans="1:104">
      <c r="A80" s="260">
        <f t="shared" si="1"/>
        <v>73</v>
      </c>
      <c r="B80" s="260"/>
      <c r="D80" s="266"/>
      <c r="E80" s="265"/>
      <c r="F80" s="264"/>
      <c r="G80" s="361"/>
      <c r="H80" s="29"/>
      <c r="I80" s="1229"/>
      <c r="J80" s="29"/>
      <c r="K80" s="54"/>
      <c r="M80" s="1624"/>
      <c r="N80" s="1113"/>
      <c r="O80" s="1113"/>
      <c r="Q80" s="54"/>
      <c r="R80" s="256"/>
      <c r="S80" s="54"/>
      <c r="T80" s="1694"/>
      <c r="U80" s="256"/>
      <c r="V80" s="54"/>
      <c r="W80" s="1694"/>
      <c r="X80" s="256"/>
      <c r="Y80" s="54"/>
      <c r="Z80" s="1694"/>
      <c r="AA80" s="256"/>
      <c r="AB80" s="54"/>
      <c r="AC80" s="1694"/>
      <c r="AD80" s="256"/>
      <c r="AE80" s="54"/>
      <c r="AF80" s="1694"/>
      <c r="AG80" s="256"/>
      <c r="AH80" s="54"/>
      <c r="AI80" s="1694"/>
      <c r="AJ80" s="256"/>
      <c r="AK80" s="54"/>
      <c r="AL80" s="1694"/>
      <c r="AM80" s="256"/>
      <c r="AN80" s="54"/>
      <c r="AO80" s="1694"/>
      <c r="AP80" s="256"/>
      <c r="AQ80" s="54"/>
      <c r="AR80" s="1694"/>
      <c r="AS80" s="256"/>
      <c r="AT80" s="54"/>
      <c r="AU80" s="54"/>
      <c r="AV80" s="256"/>
      <c r="AW80" s="54"/>
      <c r="AX80" s="54"/>
      <c r="AY80" s="256"/>
      <c r="AZ80" s="54"/>
      <c r="BA80" s="54"/>
      <c r="BB80" s="256"/>
      <c r="BC80" s="54"/>
      <c r="BD80" s="54"/>
      <c r="BE80" s="256"/>
      <c r="BF80" s="54"/>
      <c r="BG80" s="54"/>
      <c r="BH80" s="256"/>
      <c r="BI80" s="54"/>
      <c r="BJ80" s="54"/>
      <c r="BK80" s="256"/>
      <c r="BL80" s="54"/>
      <c r="BM80" s="54"/>
      <c r="BN80" s="256"/>
      <c r="BO80" s="54"/>
      <c r="BP80" s="54"/>
      <c r="BQ80" s="256"/>
      <c r="BR80" s="54"/>
      <c r="BS80" s="54"/>
      <c r="BT80" s="256"/>
      <c r="BU80" s="54"/>
      <c r="BV80" s="54"/>
      <c r="BW80" s="256"/>
      <c r="BX80" s="54"/>
      <c r="BY80" s="54"/>
      <c r="BZ80" s="256"/>
      <c r="CA80" s="54"/>
      <c r="CB80" s="54"/>
      <c r="CC80" s="256"/>
      <c r="CD80" s="54"/>
      <c r="CE80" s="54"/>
      <c r="CF80" s="256"/>
      <c r="CG80" s="54"/>
      <c r="CH80" s="54"/>
      <c r="CI80" s="1684">
        <f t="shared" si="9"/>
        <v>0</v>
      </c>
      <c r="CJ80" s="54"/>
      <c r="CK80" s="54"/>
      <c r="CL80" s="256"/>
      <c r="CM80" s="54"/>
      <c r="CN80" s="54"/>
      <c r="CO80" s="256"/>
      <c r="CP80" s="54"/>
      <c r="CQ80" s="54"/>
      <c r="CR80" s="256"/>
      <c r="CS80" s="54"/>
      <c r="CT80" s="54"/>
      <c r="CU80" s="256"/>
      <c r="CV80" s="54"/>
      <c r="CW80" s="54"/>
      <c r="CX80" s="256"/>
      <c r="CY80" s="54"/>
      <c r="CZ80" s="54"/>
    </row>
    <row r="81" spans="1:104">
      <c r="A81" s="260">
        <f t="shared" si="1"/>
        <v>74</v>
      </c>
      <c r="B81" s="260"/>
      <c r="C81" s="275" t="s">
        <v>50</v>
      </c>
      <c r="D81" s="292"/>
      <c r="E81" s="291"/>
      <c r="F81" s="290"/>
      <c r="G81" s="622">
        <f>+G68+G79</f>
        <v>570436089.42636073</v>
      </c>
      <c r="H81" s="32"/>
      <c r="I81" s="47"/>
      <c r="J81" s="32"/>
      <c r="K81" s="50">
        <f>+K68+K79</f>
        <v>648510042.47537827</v>
      </c>
      <c r="M81" s="1630" t="s">
        <v>1528</v>
      </c>
      <c r="N81" s="1109">
        <f>+N68+N79</f>
        <v>491304793.53647172</v>
      </c>
      <c r="O81" s="1109">
        <v>560350666.16923249</v>
      </c>
      <c r="Q81" s="50">
        <v>639943269.19902694</v>
      </c>
      <c r="R81" s="256"/>
      <c r="S81" s="50">
        <v>639943269.19902694</v>
      </c>
      <c r="T81" s="1703">
        <v>552281394.56120574</v>
      </c>
      <c r="U81" s="256"/>
      <c r="V81" s="50">
        <v>639943269.19902694</v>
      </c>
      <c r="W81" s="1703">
        <v>552281394.56120574</v>
      </c>
      <c r="X81" s="256"/>
      <c r="Y81" s="50">
        <v>639943269.19902694</v>
      </c>
      <c r="Z81" s="1703">
        <v>552282248.35827231</v>
      </c>
      <c r="AA81" s="256"/>
      <c r="AB81" s="50">
        <v>639943269.19902694</v>
      </c>
      <c r="AC81" s="1703">
        <v>552275053.72853589</v>
      </c>
      <c r="AD81" s="256"/>
      <c r="AE81" s="50">
        <v>639943269.19902694</v>
      </c>
      <c r="AF81" s="1703">
        <v>552275053.72853589</v>
      </c>
      <c r="AG81" s="256"/>
      <c r="AH81" s="50">
        <v>639943269.19902694</v>
      </c>
      <c r="AI81" s="1703">
        <v>552275053.72853601</v>
      </c>
      <c r="AJ81" s="256"/>
      <c r="AK81" s="50">
        <v>639943269.19902694</v>
      </c>
      <c r="AL81" s="1703">
        <v>552274061.53501892</v>
      </c>
      <c r="AM81" s="256"/>
      <c r="AN81" s="50">
        <v>639943269.19902694</v>
      </c>
      <c r="AO81" s="1703">
        <v>552274629.79850936</v>
      </c>
      <c r="AP81" s="256"/>
      <c r="AQ81" s="50">
        <v>639943269.19902694</v>
      </c>
      <c r="AR81" s="1703">
        <v>552274629.79850936</v>
      </c>
      <c r="AS81" s="256"/>
      <c r="AT81" s="50">
        <v>639943269.19902694</v>
      </c>
      <c r="AU81" s="50">
        <v>552274629.79850936</v>
      </c>
      <c r="AV81" s="256"/>
      <c r="AW81" s="50">
        <v>639943269.19902694</v>
      </c>
      <c r="AX81" s="50">
        <v>552274629.79850936</v>
      </c>
      <c r="AY81" s="256"/>
      <c r="AZ81" s="50">
        <v>639943269.19902694</v>
      </c>
      <c r="BA81" s="50">
        <v>552274629.79850936</v>
      </c>
      <c r="BB81" s="256"/>
      <c r="BC81" s="50">
        <v>639943269.19902694</v>
      </c>
      <c r="BD81" s="50">
        <v>552274629.79850936</v>
      </c>
      <c r="BE81" s="256"/>
      <c r="BF81" s="50">
        <v>639943269.19902694</v>
      </c>
      <c r="BG81" s="50">
        <v>552274629.79850936</v>
      </c>
      <c r="BH81" s="256"/>
      <c r="BI81" s="50">
        <v>639943269.19902694</v>
      </c>
      <c r="BJ81" s="50">
        <v>552274629.79850936</v>
      </c>
      <c r="BK81" s="256"/>
      <c r="BL81" s="50">
        <v>639943269.19902694</v>
      </c>
      <c r="BM81" s="50">
        <v>552274629.79850936</v>
      </c>
      <c r="BN81" s="256"/>
      <c r="BO81" s="50">
        <v>640686182.41431463</v>
      </c>
      <c r="BP81" s="50">
        <v>552914000.22450042</v>
      </c>
      <c r="BQ81" s="256"/>
      <c r="BR81" s="50">
        <v>640686182.41431463</v>
      </c>
      <c r="BS81" s="50">
        <v>552914000.22450042</v>
      </c>
      <c r="BT81" s="256"/>
      <c r="BU81" s="50">
        <v>640686182.41431463</v>
      </c>
      <c r="BV81" s="50">
        <v>552914000.22450042</v>
      </c>
      <c r="BW81" s="256"/>
      <c r="BX81" s="50">
        <v>640686182.41431463</v>
      </c>
      <c r="BY81" s="50">
        <v>552914000.22450042</v>
      </c>
      <c r="BZ81" s="256"/>
      <c r="CA81" s="50">
        <v>648510042.47537827</v>
      </c>
      <c r="CB81" s="50">
        <v>560332705.31517112</v>
      </c>
      <c r="CC81" s="256"/>
      <c r="CD81" s="50">
        <v>648510042.47537827</v>
      </c>
      <c r="CE81" s="50">
        <v>560332705.31517112</v>
      </c>
      <c r="CF81" s="256"/>
      <c r="CG81" s="50">
        <v>648510042.47537827</v>
      </c>
      <c r="CH81" s="50">
        <v>560332705.31517112</v>
      </c>
      <c r="CI81" s="1684">
        <f t="shared" si="9"/>
        <v>0</v>
      </c>
      <c r="CJ81" s="50">
        <v>648510042.47537827</v>
      </c>
      <c r="CK81" s="50">
        <v>560332705.31517112</v>
      </c>
      <c r="CL81" s="256"/>
      <c r="CM81" s="50">
        <v>648510042.47537827</v>
      </c>
      <c r="CN81" s="50">
        <v>560340297.80971313</v>
      </c>
      <c r="CO81" s="256"/>
      <c r="CP81" s="50">
        <v>648510042.47537827</v>
      </c>
      <c r="CQ81" s="50">
        <v>560340297.80971313</v>
      </c>
      <c r="CR81" s="256"/>
      <c r="CS81" s="50">
        <v>648510042.47537827</v>
      </c>
      <c r="CT81" s="50">
        <v>560350666.16923249</v>
      </c>
      <c r="CU81" s="256"/>
      <c r="CV81" s="50">
        <v>648510042.47537827</v>
      </c>
      <c r="CW81" s="50">
        <v>560350666.16923249</v>
      </c>
      <c r="CX81" s="256"/>
      <c r="CY81" s="50"/>
      <c r="CZ81" s="50"/>
    </row>
    <row r="82" spans="1:104">
      <c r="A82" s="260">
        <f t="shared" si="1"/>
        <v>75</v>
      </c>
      <c r="B82" s="260"/>
      <c r="D82" s="266"/>
      <c r="E82" s="265"/>
      <c r="F82" s="264"/>
      <c r="G82" s="361"/>
      <c r="H82" s="29"/>
      <c r="I82" s="24"/>
      <c r="J82" s="29"/>
      <c r="K82" s="54"/>
      <c r="M82" s="1624"/>
      <c r="N82" s="1113"/>
      <c r="O82" s="1113"/>
      <c r="Q82" s="54"/>
      <c r="R82" s="256"/>
      <c r="S82" s="54"/>
      <c r="T82" s="1694"/>
      <c r="U82" s="256"/>
      <c r="V82" s="54"/>
      <c r="W82" s="1694"/>
      <c r="X82" s="256"/>
      <c r="Y82" s="54"/>
      <c r="Z82" s="1694"/>
      <c r="AA82" s="256"/>
      <c r="AB82" s="54"/>
      <c r="AC82" s="1694"/>
      <c r="AD82" s="256"/>
      <c r="AE82" s="54"/>
      <c r="AF82" s="1694"/>
      <c r="AG82" s="256"/>
      <c r="AH82" s="54"/>
      <c r="AI82" s="1694"/>
      <c r="AJ82" s="256"/>
      <c r="AK82" s="54"/>
      <c r="AL82" s="1694"/>
      <c r="AM82" s="256"/>
      <c r="AN82" s="54"/>
      <c r="AO82" s="1694"/>
      <c r="AP82" s="256"/>
      <c r="AQ82" s="54"/>
      <c r="AR82" s="1694"/>
      <c r="AS82" s="256"/>
      <c r="AT82" s="54"/>
      <c r="AU82" s="54"/>
      <c r="AV82" s="256"/>
      <c r="AW82" s="54"/>
      <c r="AX82" s="54"/>
      <c r="AY82" s="256"/>
      <c r="AZ82" s="54"/>
      <c r="BA82" s="54"/>
      <c r="BB82" s="256"/>
      <c r="BC82" s="54"/>
      <c r="BD82" s="54"/>
      <c r="BE82" s="256"/>
      <c r="BF82" s="54"/>
      <c r="BG82" s="54"/>
      <c r="BH82" s="256"/>
      <c r="BI82" s="54"/>
      <c r="BJ82" s="54"/>
      <c r="BK82" s="256"/>
      <c r="BL82" s="54"/>
      <c r="BM82" s="54"/>
      <c r="BN82" s="256"/>
      <c r="BO82" s="54"/>
      <c r="BP82" s="54"/>
      <c r="BQ82" s="256"/>
      <c r="BR82" s="54"/>
      <c r="BS82" s="54"/>
      <c r="BT82" s="256"/>
      <c r="BU82" s="54"/>
      <c r="BV82" s="54"/>
      <c r="BW82" s="256"/>
      <c r="BX82" s="54"/>
      <c r="BY82" s="54"/>
      <c r="BZ82" s="256"/>
      <c r="CA82" s="54"/>
      <c r="CB82" s="54"/>
      <c r="CC82" s="256"/>
      <c r="CD82" s="54"/>
      <c r="CE82" s="54"/>
      <c r="CF82" s="256"/>
      <c r="CG82" s="54"/>
      <c r="CH82" s="54"/>
      <c r="CI82" s="1684">
        <f t="shared" si="9"/>
        <v>0</v>
      </c>
      <c r="CJ82" s="54"/>
      <c r="CK82" s="54"/>
      <c r="CL82" s="256"/>
      <c r="CM82" s="54"/>
      <c r="CN82" s="54"/>
      <c r="CO82" s="256"/>
      <c r="CP82" s="54"/>
      <c r="CQ82" s="54"/>
      <c r="CR82" s="256"/>
      <c r="CS82" s="54"/>
      <c r="CT82" s="54"/>
      <c r="CU82" s="256"/>
      <c r="CV82" s="54"/>
      <c r="CW82" s="54"/>
      <c r="CX82" s="256"/>
      <c r="CY82" s="54"/>
      <c r="CZ82" s="54"/>
    </row>
    <row r="83" spans="1:104">
      <c r="A83" s="260">
        <f t="shared" si="1"/>
        <v>76</v>
      </c>
      <c r="B83" s="581"/>
      <c r="C83" s="584" t="s">
        <v>256</v>
      </c>
      <c r="D83" s="264"/>
      <c r="E83" s="268"/>
      <c r="F83" s="264"/>
      <c r="G83" s="346"/>
      <c r="H83" s="29"/>
      <c r="I83" s="587"/>
      <c r="J83" s="29"/>
      <c r="K83" s="54"/>
      <c r="M83" s="1624"/>
      <c r="N83" s="1632"/>
      <c r="O83" s="1632"/>
      <c r="Q83" s="54"/>
      <c r="R83" s="256"/>
      <c r="S83" s="54"/>
      <c r="T83" s="1694"/>
      <c r="U83" s="256"/>
      <c r="V83" s="54"/>
      <c r="W83" s="1694"/>
      <c r="X83" s="256"/>
      <c r="Y83" s="54"/>
      <c r="Z83" s="1694"/>
      <c r="AA83" s="256"/>
      <c r="AB83" s="54"/>
      <c r="AC83" s="1694"/>
      <c r="AD83" s="256"/>
      <c r="AE83" s="54"/>
      <c r="AF83" s="1694"/>
      <c r="AG83" s="256"/>
      <c r="AH83" s="54"/>
      <c r="AI83" s="1694"/>
      <c r="AJ83" s="256"/>
      <c r="AK83" s="54"/>
      <c r="AL83" s="1694"/>
      <c r="AM83" s="256"/>
      <c r="AN83" s="54"/>
      <c r="AO83" s="1694"/>
      <c r="AP83" s="256"/>
      <c r="AQ83" s="54"/>
      <c r="AR83" s="1694"/>
      <c r="AS83" s="256"/>
      <c r="AT83" s="54"/>
      <c r="AU83" s="54"/>
      <c r="AV83" s="256"/>
      <c r="AW83" s="54"/>
      <c r="AX83" s="54"/>
      <c r="AY83" s="256"/>
      <c r="AZ83" s="54"/>
      <c r="BA83" s="54"/>
      <c r="BB83" s="256"/>
      <c r="BC83" s="54"/>
      <c r="BD83" s="54"/>
      <c r="BE83" s="256"/>
      <c r="BF83" s="54"/>
      <c r="BG83" s="54"/>
      <c r="BH83" s="256"/>
      <c r="BI83" s="54"/>
      <c r="BJ83" s="54"/>
      <c r="BK83" s="256"/>
      <c r="BL83" s="54"/>
      <c r="BM83" s="54"/>
      <c r="BN83" s="256"/>
      <c r="BO83" s="54"/>
      <c r="BP83" s="54"/>
      <c r="BQ83" s="256"/>
      <c r="BR83" s="54"/>
      <c r="BS83" s="54"/>
      <c r="BT83" s="256"/>
      <c r="BU83" s="54"/>
      <c r="BV83" s="54"/>
      <c r="BW83" s="256"/>
      <c r="BX83" s="54"/>
      <c r="BY83" s="54"/>
      <c r="BZ83" s="256"/>
      <c r="CA83" s="54"/>
      <c r="CB83" s="54"/>
      <c r="CC83" s="256"/>
      <c r="CD83" s="54"/>
      <c r="CE83" s="54"/>
      <c r="CF83" s="256"/>
      <c r="CG83" s="54"/>
      <c r="CH83" s="54"/>
      <c r="CI83" s="1684">
        <f t="shared" si="9"/>
        <v>0</v>
      </c>
      <c r="CJ83" s="54"/>
      <c r="CK83" s="54"/>
      <c r="CL83" s="256"/>
      <c r="CM83" s="54"/>
      <c r="CN83" s="54"/>
      <c r="CO83" s="256"/>
      <c r="CP83" s="54"/>
      <c r="CQ83" s="54"/>
      <c r="CR83" s="256"/>
      <c r="CS83" s="54"/>
      <c r="CT83" s="54"/>
      <c r="CU83" s="256"/>
      <c r="CV83" s="54"/>
      <c r="CW83" s="54"/>
      <c r="CX83" s="256"/>
      <c r="CY83" s="54"/>
      <c r="CZ83" s="54"/>
    </row>
    <row r="84" spans="1:104">
      <c r="A84" s="260">
        <f t="shared" si="1"/>
        <v>77</v>
      </c>
      <c r="B84" s="581"/>
      <c r="C84" s="299" t="s">
        <v>668</v>
      </c>
      <c r="D84" s="264"/>
      <c r="E84" s="268" t="s">
        <v>667</v>
      </c>
      <c r="F84" s="264"/>
      <c r="G84" s="361">
        <f>'Sched F-2 Pg 1'!I15</f>
        <v>1282220.2394626469</v>
      </c>
      <c r="H84" s="29"/>
      <c r="I84" s="1229" t="s">
        <v>667</v>
      </c>
      <c r="J84" s="29"/>
      <c r="K84" s="361">
        <f>'Sched F-2 Pg 2'!I15</f>
        <v>1282220.2394626469</v>
      </c>
      <c r="M84" s="1624">
        <f>IF(ISERROR(O84/K84),0,O84/K84)</f>
        <v>0.99565189628963457</v>
      </c>
      <c r="N84" s="1113">
        <f>M84*G84</f>
        <v>1276645.0128819337</v>
      </c>
      <c r="O84" s="1113">
        <v>1276645.0128819337</v>
      </c>
      <c r="P84" s="1127"/>
      <c r="Q84" s="333">
        <v>1282220.2394626469</v>
      </c>
      <c r="R84" s="256"/>
      <c r="S84" s="333">
        <v>1282220.2394626469</v>
      </c>
      <c r="T84" s="1693">
        <v>1276645.0128819337</v>
      </c>
      <c r="U84" s="256"/>
      <c r="V84" s="333">
        <v>1282220.2394626469</v>
      </c>
      <c r="W84" s="1693">
        <v>1276645.0128819337</v>
      </c>
      <c r="X84" s="256"/>
      <c r="Y84" s="333">
        <v>1282220.2394626469</v>
      </c>
      <c r="Z84" s="1693">
        <v>1276645.0128819337</v>
      </c>
      <c r="AA84" s="256"/>
      <c r="AB84" s="333">
        <v>1282220.2394626469</v>
      </c>
      <c r="AC84" s="1693">
        <v>1276645.0128819337</v>
      </c>
      <c r="AD84" s="256"/>
      <c r="AE84" s="333">
        <v>1282220.2394626469</v>
      </c>
      <c r="AF84" s="1693">
        <v>1276645.0128819337</v>
      </c>
      <c r="AG84" s="256"/>
      <c r="AH84" s="333">
        <v>1282220.2394626469</v>
      </c>
      <c r="AI84" s="1693">
        <v>1276645.0128819337</v>
      </c>
      <c r="AJ84" s="256"/>
      <c r="AK84" s="333">
        <v>1282220.2394626469</v>
      </c>
      <c r="AL84" s="1693">
        <v>1276645.0128819337</v>
      </c>
      <c r="AM84" s="256"/>
      <c r="AN84" s="333">
        <v>1282220.2394626469</v>
      </c>
      <c r="AO84" s="1693">
        <v>1276645.0128819337</v>
      </c>
      <c r="AP84" s="256"/>
      <c r="AQ84" s="333">
        <v>1282220.2394626469</v>
      </c>
      <c r="AR84" s="1693">
        <v>1276645.0128819337</v>
      </c>
      <c r="AS84" s="256"/>
      <c r="AT84" s="333">
        <v>1282220.2394626469</v>
      </c>
      <c r="AU84" s="333">
        <v>1276645.0128819337</v>
      </c>
      <c r="AV84" s="256"/>
      <c r="AW84" s="333">
        <v>1282220.2394626469</v>
      </c>
      <c r="AX84" s="333">
        <v>1276645.0128819337</v>
      </c>
      <c r="AY84" s="256"/>
      <c r="AZ84" s="333">
        <v>1282220.2394626469</v>
      </c>
      <c r="BA84" s="333">
        <v>1276645.0128819337</v>
      </c>
      <c r="BB84" s="256"/>
      <c r="BC84" s="333">
        <v>1282220.2394626469</v>
      </c>
      <c r="BD84" s="333">
        <v>1276645.0128819337</v>
      </c>
      <c r="BE84" s="256"/>
      <c r="BF84" s="333">
        <v>1282220.2394626469</v>
      </c>
      <c r="BG84" s="333">
        <v>1276645.0128819337</v>
      </c>
      <c r="BH84" s="256"/>
      <c r="BI84" s="333">
        <v>1282220.2394626469</v>
      </c>
      <c r="BJ84" s="333">
        <v>1276645.0128819337</v>
      </c>
      <c r="BK84" s="256"/>
      <c r="BL84" s="333">
        <v>1282220.2394626469</v>
      </c>
      <c r="BM84" s="333">
        <v>1276645.0128819337</v>
      </c>
      <c r="BN84" s="256"/>
      <c r="BO84" s="333">
        <v>1282220.2394626469</v>
      </c>
      <c r="BP84" s="333">
        <v>1276645.0128819337</v>
      </c>
      <c r="BQ84" s="256"/>
      <c r="BR84" s="333">
        <v>1282220.2394626469</v>
      </c>
      <c r="BS84" s="333">
        <v>1276645.0128819337</v>
      </c>
      <c r="BT84" s="256"/>
      <c r="BU84" s="333">
        <v>1282220.2394626469</v>
      </c>
      <c r="BV84" s="333">
        <v>1276645.0128819337</v>
      </c>
      <c r="BW84" s="256"/>
      <c r="BX84" s="333">
        <v>1282220.2394626469</v>
      </c>
      <c r="BY84" s="333">
        <v>1276645.0128819337</v>
      </c>
      <c r="BZ84" s="256"/>
      <c r="CA84" s="333">
        <v>1282220.2394626469</v>
      </c>
      <c r="CB84" s="333">
        <v>1276645.0128819337</v>
      </c>
      <c r="CC84" s="256"/>
      <c r="CD84" s="333">
        <v>1282220.2394626469</v>
      </c>
      <c r="CE84" s="333">
        <v>1276645.0128819337</v>
      </c>
      <c r="CF84" s="256"/>
      <c r="CG84" s="333">
        <v>1282220.2394626469</v>
      </c>
      <c r="CH84" s="333">
        <v>1276645.0128819337</v>
      </c>
      <c r="CI84" s="1684">
        <f t="shared" si="9"/>
        <v>0</v>
      </c>
      <c r="CJ84" s="333">
        <v>1282220.2394626469</v>
      </c>
      <c r="CK84" s="333">
        <v>1276645.0128819337</v>
      </c>
      <c r="CL84" s="256"/>
      <c r="CM84" s="333">
        <v>1282220.2394626469</v>
      </c>
      <c r="CN84" s="333">
        <v>1276645.0128819337</v>
      </c>
      <c r="CO84" s="256"/>
      <c r="CP84" s="361">
        <v>1282220.2394626469</v>
      </c>
      <c r="CQ84" s="333">
        <v>1276645.0128819337</v>
      </c>
      <c r="CR84" s="256"/>
      <c r="CS84" s="361">
        <v>1282220.2394626469</v>
      </c>
      <c r="CT84" s="333">
        <v>1276645.0128819337</v>
      </c>
      <c r="CU84" s="256"/>
      <c r="CV84" s="333">
        <v>1282220.2394626469</v>
      </c>
      <c r="CW84" s="333">
        <v>1276645.0128819337</v>
      </c>
      <c r="CX84" s="256"/>
      <c r="CY84" s="333"/>
      <c r="CZ84" s="333"/>
    </row>
    <row r="85" spans="1:104">
      <c r="A85" s="260">
        <f t="shared" si="1"/>
        <v>78</v>
      </c>
      <c r="B85" s="581"/>
      <c r="C85" s="299" t="s">
        <v>1161</v>
      </c>
      <c r="D85" s="264"/>
      <c r="E85" s="268" t="s">
        <v>667</v>
      </c>
      <c r="F85" s="264"/>
      <c r="G85" s="209">
        <f>'Sched F-2 Pg 1'!I22</f>
        <v>-3192743.2112407363</v>
      </c>
      <c r="H85" s="29"/>
      <c r="I85" s="1229" t="s">
        <v>667</v>
      </c>
      <c r="J85" s="29"/>
      <c r="K85" s="636">
        <f>'Sched F-2 Pg 2'!I22</f>
        <v>-3838072.9862808832</v>
      </c>
      <c r="M85" s="1624">
        <f>IF(ISERROR(O85/K85),0,O85/K85)</f>
        <v>0.86405857965908184</v>
      </c>
      <c r="N85" s="1628">
        <f>M85*G85</f>
        <v>-2758717.1643208466</v>
      </c>
      <c r="O85" s="1628">
        <v>-3316319.8931537508</v>
      </c>
      <c r="P85" s="1127"/>
      <c r="Q85" s="1699">
        <v>-3806239.420086646</v>
      </c>
      <c r="R85" s="256"/>
      <c r="S85" s="1699">
        <v>-3806239.420086646</v>
      </c>
      <c r="T85" s="1700">
        <v>-3284846.198989552</v>
      </c>
      <c r="U85" s="256"/>
      <c r="V85" s="1699">
        <v>-3806239.420086646</v>
      </c>
      <c r="W85" s="1700">
        <v>-3284846.198989552</v>
      </c>
      <c r="X85" s="256"/>
      <c r="Y85" s="1699">
        <v>-3806239.420086646</v>
      </c>
      <c r="Z85" s="1700">
        <v>-3284851.2771835229</v>
      </c>
      <c r="AA85" s="256"/>
      <c r="AB85" s="1699">
        <v>-3806239.420086646</v>
      </c>
      <c r="AC85" s="1700">
        <v>-3284808.4851351664</v>
      </c>
      <c r="AD85" s="256"/>
      <c r="AE85" s="1699">
        <v>-3806239.420086646</v>
      </c>
      <c r="AF85" s="1700">
        <v>-3284808.4851351669</v>
      </c>
      <c r="AG85" s="256"/>
      <c r="AH85" s="1699">
        <v>-3806239.420086646</v>
      </c>
      <c r="AI85" s="1700">
        <v>-3284808.4851351674</v>
      </c>
      <c r="AJ85" s="256"/>
      <c r="AK85" s="1699">
        <v>-3806239.420086646</v>
      </c>
      <c r="AL85" s="1700">
        <v>-3284802.5837900648</v>
      </c>
      <c r="AM85" s="256"/>
      <c r="AN85" s="1699">
        <v>-3806239.420086646</v>
      </c>
      <c r="AO85" s="1700">
        <v>-3284805.9636941953</v>
      </c>
      <c r="AP85" s="256"/>
      <c r="AQ85" s="1699">
        <v>-3806239.420086646</v>
      </c>
      <c r="AR85" s="1700">
        <v>-3284805.9636941953</v>
      </c>
      <c r="AS85" s="256"/>
      <c r="AT85" s="1699">
        <v>-3806239.420086646</v>
      </c>
      <c r="AU85" s="1699">
        <v>-3284805.9636941953</v>
      </c>
      <c r="AV85" s="256"/>
      <c r="AW85" s="1699">
        <v>-3806239.420086646</v>
      </c>
      <c r="AX85" s="1699">
        <v>-3284805.9636941953</v>
      </c>
      <c r="AY85" s="256"/>
      <c r="AZ85" s="1699">
        <v>-3806239.420086646</v>
      </c>
      <c r="BA85" s="1699">
        <v>-3284805.9636941953</v>
      </c>
      <c r="BB85" s="256"/>
      <c r="BC85" s="1699">
        <v>-3806239.420086646</v>
      </c>
      <c r="BD85" s="1699">
        <v>-3284805.9636941953</v>
      </c>
      <c r="BE85" s="256"/>
      <c r="BF85" s="1699">
        <v>-3806239.420086646</v>
      </c>
      <c r="BG85" s="1699">
        <v>-3284805.9636941953</v>
      </c>
      <c r="BH85" s="256"/>
      <c r="BI85" s="1699">
        <v>-3806239.420086646</v>
      </c>
      <c r="BJ85" s="1699">
        <v>-3284805.9636941953</v>
      </c>
      <c r="BK85" s="256"/>
      <c r="BL85" s="1699">
        <v>-3806239.420086646</v>
      </c>
      <c r="BM85" s="1699">
        <v>-3284805.9636941953</v>
      </c>
      <c r="BN85" s="256"/>
      <c r="BO85" s="1699">
        <v>-3806239.420086646</v>
      </c>
      <c r="BP85" s="1699">
        <v>-3284795.4611411104</v>
      </c>
      <c r="BQ85" s="256"/>
      <c r="BR85" s="1699">
        <v>-3806239.420086646</v>
      </c>
      <c r="BS85" s="1699">
        <v>-3284795.4611411104</v>
      </c>
      <c r="BT85" s="256"/>
      <c r="BU85" s="1699">
        <v>-3806239.420086646</v>
      </c>
      <c r="BV85" s="1699">
        <v>-3284795.4611411104</v>
      </c>
      <c r="BW85" s="256"/>
      <c r="BX85" s="1699">
        <v>-3806239.420086646</v>
      </c>
      <c r="BY85" s="1699">
        <v>-3284795.4611411104</v>
      </c>
      <c r="BZ85" s="256"/>
      <c r="CA85" s="1699">
        <v>-3838072.9862808832</v>
      </c>
      <c r="CB85" s="1699">
        <v>-3316213.5955418837</v>
      </c>
      <c r="CC85" s="256"/>
      <c r="CD85" s="1699">
        <v>-3838072.9862808832</v>
      </c>
      <c r="CE85" s="1699">
        <v>-3316213.5955418837</v>
      </c>
      <c r="CF85" s="256"/>
      <c r="CG85" s="1699">
        <v>-3838072.9862808832</v>
      </c>
      <c r="CH85" s="1699">
        <v>-3316213.5955418837</v>
      </c>
      <c r="CI85" s="1684">
        <f t="shared" si="9"/>
        <v>0</v>
      </c>
      <c r="CJ85" s="1699">
        <v>-3838072.9862808832</v>
      </c>
      <c r="CK85" s="1699">
        <v>-3316213.5955418837</v>
      </c>
      <c r="CL85" s="256"/>
      <c r="CM85" s="1699">
        <v>-3838072.9862808832</v>
      </c>
      <c r="CN85" s="1699">
        <v>-3316258.5301555251</v>
      </c>
      <c r="CO85" s="256"/>
      <c r="CP85" s="636">
        <v>-3838072.9862808832</v>
      </c>
      <c r="CQ85" s="1699">
        <v>-3316258.5301555251</v>
      </c>
      <c r="CR85" s="256"/>
      <c r="CS85" s="636">
        <v>-3838072.9862808832</v>
      </c>
      <c r="CT85" s="1699">
        <v>-3316319.8931537508</v>
      </c>
      <c r="CU85" s="256"/>
      <c r="CV85" s="1699">
        <v>-3838072.9862808832</v>
      </c>
      <c r="CW85" s="1699">
        <v>-3316319.8931537508</v>
      </c>
      <c r="CX85" s="256"/>
      <c r="CY85" s="1699"/>
      <c r="CZ85" s="1699"/>
    </row>
    <row r="86" spans="1:104">
      <c r="A86" s="260">
        <f t="shared" si="1"/>
        <v>79</v>
      </c>
      <c r="B86" s="581"/>
      <c r="C86" s="255" t="s">
        <v>669</v>
      </c>
      <c r="D86" s="285"/>
      <c r="E86" s="583" t="s">
        <v>51</v>
      </c>
      <c r="F86" s="285"/>
      <c r="G86" s="209">
        <f ca="1">'Stmt F'!$F$11-(G85+G84)</f>
        <v>233494.00835658959</v>
      </c>
      <c r="H86" s="29"/>
      <c r="I86" s="1229" t="s">
        <v>51</v>
      </c>
      <c r="J86" s="29"/>
      <c r="K86" s="636">
        <f ca="1">'Stmt F'!$L$11-(K85+K84)</f>
        <v>329739.79002712434</v>
      </c>
      <c r="M86" s="1624">
        <f ca="1">IF(ISERROR(O86/K86),0,O86/K86)</f>
        <v>0.87194347602411726</v>
      </c>
      <c r="N86" s="1628">
        <f ca="1">M86*G86</f>
        <v>203593.57727724902</v>
      </c>
      <c r="O86" s="1628">
        <v>287514.45869971334</v>
      </c>
      <c r="Q86" s="1699">
        <v>337870.74171686126</v>
      </c>
      <c r="R86" s="256"/>
      <c r="S86" s="1699">
        <v>337600.26580230286</v>
      </c>
      <c r="T86" s="1700">
        <v>294130.26754088065</v>
      </c>
      <c r="U86" s="256"/>
      <c r="V86" s="1699">
        <v>337681.33429342881</v>
      </c>
      <c r="W86" s="1700">
        <v>294200.897511883</v>
      </c>
      <c r="X86" s="256"/>
      <c r="Y86" s="1699">
        <v>339049.98242182005</v>
      </c>
      <c r="Z86" s="1700">
        <v>295396.15521305392</v>
      </c>
      <c r="AA86" s="256"/>
      <c r="AB86" s="1699">
        <v>339772.08614911465</v>
      </c>
      <c r="AC86" s="1700">
        <v>296001.31074924598</v>
      </c>
      <c r="AD86" s="256"/>
      <c r="AE86" s="1699">
        <v>340440.52829894517</v>
      </c>
      <c r="AF86" s="1700">
        <v>296583.64155444066</v>
      </c>
      <c r="AG86" s="256"/>
      <c r="AH86" s="1699">
        <v>340149.57313214103</v>
      </c>
      <c r="AI86" s="1700">
        <v>296330.16837564198</v>
      </c>
      <c r="AJ86" s="256"/>
      <c r="AK86" s="1699">
        <v>343285.42162367189</v>
      </c>
      <c r="AL86" s="1700">
        <v>299058.70403328881</v>
      </c>
      <c r="AM86" s="256"/>
      <c r="AN86" s="1699">
        <v>339613.96427360736</v>
      </c>
      <c r="AO86" s="1700">
        <v>295862.14673643408</v>
      </c>
      <c r="AP86" s="256"/>
      <c r="AQ86" s="1699">
        <v>352277.18121914892</v>
      </c>
      <c r="AR86" s="1700">
        <v>306893.98566010897</v>
      </c>
      <c r="AS86" s="256"/>
      <c r="AT86" s="1699">
        <v>352277.78679467924</v>
      </c>
      <c r="AU86" s="1699">
        <v>306894.51322050183</v>
      </c>
      <c r="AV86" s="256"/>
      <c r="AW86" s="1699">
        <v>353919.31758360891</v>
      </c>
      <c r="AX86" s="1699">
        <v>308324.56873716897</v>
      </c>
      <c r="AY86" s="256"/>
      <c r="AZ86" s="1699">
        <v>355157.38908009836</v>
      </c>
      <c r="BA86" s="1699">
        <v>309403.14185046259</v>
      </c>
      <c r="BB86" s="256"/>
      <c r="BC86" s="1699">
        <v>355157.38908009836</v>
      </c>
      <c r="BD86" s="1699">
        <v>309403.14185046259</v>
      </c>
      <c r="BE86" s="256"/>
      <c r="BF86" s="1699">
        <v>360942.76318038441</v>
      </c>
      <c r="BG86" s="1699">
        <v>314443.1972694</v>
      </c>
      <c r="BH86" s="256"/>
      <c r="BI86" s="1699">
        <v>366589.01461355016</v>
      </c>
      <c r="BJ86" s="1699">
        <v>319362.05292836297</v>
      </c>
      <c r="BK86" s="256"/>
      <c r="BL86" s="1699">
        <v>371361.49401789717</v>
      </c>
      <c r="BM86" s="1699">
        <v>323519.70293797203</v>
      </c>
      <c r="BN86" s="256"/>
      <c r="BO86" s="1699">
        <v>375947.75851410534</v>
      </c>
      <c r="BP86" s="1699">
        <v>327515.12774993893</v>
      </c>
      <c r="BQ86" s="256"/>
      <c r="BR86" s="1699">
        <v>370500.20423080912</v>
      </c>
      <c r="BS86" s="1699">
        <v>322769.37146701769</v>
      </c>
      <c r="BT86" s="256"/>
      <c r="BU86" s="1699">
        <v>370470.44085161574</v>
      </c>
      <c r="BV86" s="1699">
        <v>322743.44244704605</v>
      </c>
      <c r="BW86" s="256"/>
      <c r="BX86" s="1699">
        <v>370286.82006648183</v>
      </c>
      <c r="BY86" s="1699">
        <v>322583.47717650322</v>
      </c>
      <c r="BZ86" s="256"/>
      <c r="CA86" s="1699">
        <v>370969.49855100643</v>
      </c>
      <c r="CB86" s="1699">
        <v>323400.42972197226</v>
      </c>
      <c r="CC86" s="256"/>
      <c r="CD86" s="1699">
        <v>370969.49855100643</v>
      </c>
      <c r="CE86" s="1699">
        <v>323400.42972197226</v>
      </c>
      <c r="CF86" s="256"/>
      <c r="CG86" s="1699">
        <v>371675.69954325818</v>
      </c>
      <c r="CH86" s="1699">
        <v>324016.07522721292</v>
      </c>
      <c r="CI86" s="1684">
        <f t="shared" si="9"/>
        <v>615.64550524065271</v>
      </c>
      <c r="CJ86" s="1699">
        <v>371675.69954325818</v>
      </c>
      <c r="CK86" s="1699">
        <v>324016.07522721292</v>
      </c>
      <c r="CL86" s="256"/>
      <c r="CM86" s="1699">
        <v>333149.74325215118</v>
      </c>
      <c r="CN86" s="1699">
        <v>290454.56383772253</v>
      </c>
      <c r="CO86" s="256"/>
      <c r="CP86" s="636">
        <v>326568.43714673584</v>
      </c>
      <c r="CQ86" s="1699">
        <v>284716.69240588369</v>
      </c>
      <c r="CR86" s="256"/>
      <c r="CS86" s="636">
        <v>329420.82187673077</v>
      </c>
      <c r="CT86" s="1699">
        <v>287236.33650191827</v>
      </c>
      <c r="CU86" s="256"/>
      <c r="CV86" s="1699">
        <v>329739.79002712434</v>
      </c>
      <c r="CW86" s="1699">
        <v>287514.45869971334</v>
      </c>
      <c r="CX86" s="256"/>
      <c r="CY86" s="1699"/>
      <c r="CZ86" s="1699"/>
    </row>
    <row r="87" spans="1:104">
      <c r="A87" s="260">
        <f t="shared" ref="A87:A149" si="10">A86+1</f>
        <v>80</v>
      </c>
      <c r="B87" s="581"/>
      <c r="C87" s="255" t="s">
        <v>670</v>
      </c>
      <c r="D87" s="285"/>
      <c r="E87" s="583" t="s">
        <v>51</v>
      </c>
      <c r="F87" s="285"/>
      <c r="G87" s="209">
        <f>'Stmt F'!$F$13</f>
        <v>5398698.3969999999</v>
      </c>
      <c r="H87" s="29"/>
      <c r="I87" s="1229" t="s">
        <v>51</v>
      </c>
      <c r="J87" s="29"/>
      <c r="K87" s="636">
        <f>'Stmt F'!$L$13</f>
        <v>5048023</v>
      </c>
      <c r="M87" s="1624">
        <f>IF(ISERROR(O87/K87),0,O87/K87)</f>
        <v>0.86221468298308324</v>
      </c>
      <c r="N87" s="1628">
        <f>M87*G87</f>
        <v>4654837.0268906346</v>
      </c>
      <c r="O87" s="1628">
        <v>4352479.5506363129</v>
      </c>
      <c r="Q87" s="1699">
        <v>5048023</v>
      </c>
      <c r="R87" s="256"/>
      <c r="S87" s="1699">
        <v>5048023</v>
      </c>
      <c r="T87" s="1700">
        <v>4347143.7125757411</v>
      </c>
      <c r="U87" s="256"/>
      <c r="V87" s="1699">
        <v>5048023</v>
      </c>
      <c r="W87" s="1700">
        <v>4347143.7125757411</v>
      </c>
      <c r="X87" s="256"/>
      <c r="Y87" s="1699">
        <v>5048023</v>
      </c>
      <c r="Z87" s="1700">
        <v>4347149.1353652934</v>
      </c>
      <c r="AA87" s="256"/>
      <c r="AB87" s="1699">
        <v>5048023</v>
      </c>
      <c r="AC87" s="1700">
        <v>4347103.4395383829</v>
      </c>
      <c r="AD87" s="256"/>
      <c r="AE87" s="1699">
        <v>5048023</v>
      </c>
      <c r="AF87" s="1700">
        <v>4347103.4395383829</v>
      </c>
      <c r="AG87" s="256"/>
      <c r="AH87" s="1699">
        <v>5048023</v>
      </c>
      <c r="AI87" s="1700">
        <v>4347103.4395383829</v>
      </c>
      <c r="AJ87" s="256"/>
      <c r="AK87" s="1699">
        <v>5048023</v>
      </c>
      <c r="AL87" s="1700">
        <v>4347097.1377403922</v>
      </c>
      <c r="AM87" s="256"/>
      <c r="AN87" s="1699">
        <v>5048023</v>
      </c>
      <c r="AO87" s="1700">
        <v>4347100.7469977206</v>
      </c>
      <c r="AP87" s="256"/>
      <c r="AQ87" s="1699">
        <v>5048023</v>
      </c>
      <c r="AR87" s="1700">
        <v>4347100.7469977206</v>
      </c>
      <c r="AS87" s="256"/>
      <c r="AT87" s="1699">
        <v>5048023</v>
      </c>
      <c r="AU87" s="1699">
        <v>4347100.7469977206</v>
      </c>
      <c r="AV87" s="256"/>
      <c r="AW87" s="1699">
        <v>5048023</v>
      </c>
      <c r="AX87" s="1699">
        <v>4347100.7469977206</v>
      </c>
      <c r="AY87" s="256"/>
      <c r="AZ87" s="1699">
        <v>5048023</v>
      </c>
      <c r="BA87" s="1699">
        <v>4347100.7469977206</v>
      </c>
      <c r="BB87" s="256"/>
      <c r="BC87" s="1699">
        <v>5048023</v>
      </c>
      <c r="BD87" s="1699">
        <v>4347100.7469977206</v>
      </c>
      <c r="BE87" s="256"/>
      <c r="BF87" s="1699">
        <v>5048023</v>
      </c>
      <c r="BG87" s="1699">
        <v>4347100.7469977206</v>
      </c>
      <c r="BH87" s="256"/>
      <c r="BI87" s="1699">
        <v>5048023</v>
      </c>
      <c r="BJ87" s="1699">
        <v>4347100.7469977206</v>
      </c>
      <c r="BK87" s="256"/>
      <c r="BL87" s="1699">
        <v>5048023</v>
      </c>
      <c r="BM87" s="1699">
        <v>4347100.7469977206</v>
      </c>
      <c r="BN87" s="256"/>
      <c r="BO87" s="1699">
        <v>5048023</v>
      </c>
      <c r="BP87" s="1699">
        <v>4347100.7469977206</v>
      </c>
      <c r="BQ87" s="256"/>
      <c r="BR87" s="1699">
        <v>5048023</v>
      </c>
      <c r="BS87" s="1699">
        <v>4347100.7469977206</v>
      </c>
      <c r="BT87" s="256"/>
      <c r="BU87" s="1699">
        <v>5048023</v>
      </c>
      <c r="BV87" s="1699">
        <v>4347100.7469977206</v>
      </c>
      <c r="BW87" s="256"/>
      <c r="BX87" s="1699">
        <v>5048023</v>
      </c>
      <c r="BY87" s="1699">
        <v>4347100.7469977206</v>
      </c>
      <c r="BZ87" s="256"/>
      <c r="CA87" s="1699">
        <v>5048023</v>
      </c>
      <c r="CB87" s="1699">
        <v>4352366.766768612</v>
      </c>
      <c r="CC87" s="256"/>
      <c r="CD87" s="1699">
        <v>5048023</v>
      </c>
      <c r="CE87" s="1699">
        <v>4352366.766768612</v>
      </c>
      <c r="CF87" s="256"/>
      <c r="CG87" s="1699">
        <v>5048023</v>
      </c>
      <c r="CH87" s="1699">
        <v>4352366.766768612</v>
      </c>
      <c r="CI87" s="1684">
        <f t="shared" si="9"/>
        <v>0</v>
      </c>
      <c r="CJ87" s="1699">
        <v>5048023</v>
      </c>
      <c r="CK87" s="1699">
        <v>4352366.766768612</v>
      </c>
      <c r="CL87" s="256"/>
      <c r="CM87" s="1699">
        <v>5048023</v>
      </c>
      <c r="CN87" s="1699">
        <v>4352414.4432820445</v>
      </c>
      <c r="CO87" s="256"/>
      <c r="CP87" s="636">
        <v>5048023</v>
      </c>
      <c r="CQ87" s="1699">
        <v>4352414.4432820445</v>
      </c>
      <c r="CR87" s="256"/>
      <c r="CS87" s="636">
        <v>5048023</v>
      </c>
      <c r="CT87" s="1699">
        <v>4352479.5506363129</v>
      </c>
      <c r="CU87" s="256"/>
      <c r="CV87" s="1699">
        <v>5048023</v>
      </c>
      <c r="CW87" s="1699">
        <v>4352479.5506363129</v>
      </c>
      <c r="CX87" s="256"/>
      <c r="CY87" s="1699"/>
      <c r="CZ87" s="1699"/>
    </row>
    <row r="88" spans="1:104">
      <c r="A88" s="260">
        <f>A87+1</f>
        <v>81</v>
      </c>
      <c r="B88" s="581"/>
      <c r="C88" s="588" t="s">
        <v>671</v>
      </c>
      <c r="D88" s="264"/>
      <c r="E88" s="268" t="s">
        <v>51</v>
      </c>
      <c r="F88" s="264"/>
      <c r="G88" s="787">
        <f>'Stmt F'!$F$15</f>
        <v>488585.88000000012</v>
      </c>
      <c r="H88" s="29"/>
      <c r="I88" s="1229" t="s">
        <v>51</v>
      </c>
      <c r="J88" s="29"/>
      <c r="K88" s="637">
        <f>'Stmt F'!$L$15</f>
        <v>394283</v>
      </c>
      <c r="M88" s="1624">
        <f>IF(ISERROR(O88/K88),0,O88/K88)</f>
        <v>0.86405857965908184</v>
      </c>
      <c r="N88" s="1626">
        <f>M88*G88</f>
        <v>422166.82151428272</v>
      </c>
      <c r="O88" s="1626">
        <v>340683.60896372178</v>
      </c>
      <c r="Q88" s="1701">
        <v>394283</v>
      </c>
      <c r="R88" s="256"/>
      <c r="S88" s="1701">
        <v>394283</v>
      </c>
      <c r="T88" s="1702">
        <v>340272.60792930209</v>
      </c>
      <c r="U88" s="256"/>
      <c r="V88" s="1701">
        <v>394283</v>
      </c>
      <c r="W88" s="1702">
        <v>340272.60792930209</v>
      </c>
      <c r="X88" s="256"/>
      <c r="Y88" s="1701">
        <v>394283</v>
      </c>
      <c r="Z88" s="1702">
        <v>340273.13397228904</v>
      </c>
      <c r="AA88" s="256"/>
      <c r="AB88" s="1701">
        <v>394283</v>
      </c>
      <c r="AC88" s="1702">
        <v>340268.70120405254</v>
      </c>
      <c r="AD88" s="256"/>
      <c r="AE88" s="1701">
        <v>394283</v>
      </c>
      <c r="AF88" s="1702">
        <v>340268.70120405254</v>
      </c>
      <c r="AG88" s="256"/>
      <c r="AH88" s="1701">
        <v>394283</v>
      </c>
      <c r="AI88" s="1702">
        <v>340268.70120405254</v>
      </c>
      <c r="AJ88" s="256"/>
      <c r="AK88" s="1701">
        <v>394283</v>
      </c>
      <c r="AL88" s="1702">
        <v>340268.08989199513</v>
      </c>
      <c r="AM88" s="256"/>
      <c r="AN88" s="1701">
        <v>394283</v>
      </c>
      <c r="AO88" s="1702">
        <v>340268.44001152075</v>
      </c>
      <c r="AP88" s="256"/>
      <c r="AQ88" s="1701">
        <v>394283</v>
      </c>
      <c r="AR88" s="1702">
        <v>340268.44001152075</v>
      </c>
      <c r="AS88" s="256"/>
      <c r="AT88" s="1701">
        <v>394283</v>
      </c>
      <c r="AU88" s="1701">
        <v>340268.44001152075</v>
      </c>
      <c r="AV88" s="256"/>
      <c r="AW88" s="1701">
        <v>394283</v>
      </c>
      <c r="AX88" s="1701">
        <v>340268.44001152075</v>
      </c>
      <c r="AY88" s="256"/>
      <c r="AZ88" s="1701">
        <v>394283</v>
      </c>
      <c r="BA88" s="1701">
        <v>340268.44001152075</v>
      </c>
      <c r="BB88" s="256"/>
      <c r="BC88" s="1701">
        <v>394283</v>
      </c>
      <c r="BD88" s="1701">
        <v>340268.44001152075</v>
      </c>
      <c r="BE88" s="256"/>
      <c r="BF88" s="1701">
        <v>394283</v>
      </c>
      <c r="BG88" s="1701">
        <v>340268.44001152075</v>
      </c>
      <c r="BH88" s="256"/>
      <c r="BI88" s="1701">
        <v>394283</v>
      </c>
      <c r="BJ88" s="1701">
        <v>340268.44001152075</v>
      </c>
      <c r="BK88" s="256"/>
      <c r="BL88" s="1701">
        <v>394283</v>
      </c>
      <c r="BM88" s="1701">
        <v>340268.44001152075</v>
      </c>
      <c r="BN88" s="256"/>
      <c r="BO88" s="1701">
        <v>394283</v>
      </c>
      <c r="BP88" s="1701">
        <v>340267.35206678556</v>
      </c>
      <c r="BQ88" s="256"/>
      <c r="BR88" s="1701">
        <v>394283</v>
      </c>
      <c r="BS88" s="1701">
        <v>340267.35206678556</v>
      </c>
      <c r="BT88" s="256"/>
      <c r="BU88" s="1701">
        <v>394283</v>
      </c>
      <c r="BV88" s="1701">
        <v>340267.35206678556</v>
      </c>
      <c r="BW88" s="256"/>
      <c r="BX88" s="1701">
        <v>394283</v>
      </c>
      <c r="BY88" s="1701">
        <v>340267.35206678556</v>
      </c>
      <c r="BZ88" s="256"/>
      <c r="CA88" s="1701">
        <v>394283</v>
      </c>
      <c r="CB88" s="1701">
        <v>340672.68907203409</v>
      </c>
      <c r="CC88" s="256"/>
      <c r="CD88" s="1701">
        <v>394283</v>
      </c>
      <c r="CE88" s="1701">
        <v>340672.68907203409</v>
      </c>
      <c r="CF88" s="256"/>
      <c r="CG88" s="1701">
        <v>394283</v>
      </c>
      <c r="CH88" s="1701">
        <v>340672.68907203409</v>
      </c>
      <c r="CI88" s="1684">
        <f t="shared" si="9"/>
        <v>0</v>
      </c>
      <c r="CJ88" s="1701">
        <v>394283</v>
      </c>
      <c r="CK88" s="1701">
        <v>340672.68907203409</v>
      </c>
      <c r="CL88" s="256"/>
      <c r="CM88" s="1701">
        <v>394283</v>
      </c>
      <c r="CN88" s="1701">
        <v>340677.30517869315</v>
      </c>
      <c r="CO88" s="256"/>
      <c r="CP88" s="637">
        <v>394283</v>
      </c>
      <c r="CQ88" s="1701">
        <v>340677.30517869315</v>
      </c>
      <c r="CR88" s="256"/>
      <c r="CS88" s="637">
        <v>394283</v>
      </c>
      <c r="CT88" s="1701">
        <v>340683.60896372178</v>
      </c>
      <c r="CU88" s="256"/>
      <c r="CV88" s="1701">
        <v>394283</v>
      </c>
      <c r="CW88" s="1701">
        <v>340683.60896372178</v>
      </c>
      <c r="CX88" s="256"/>
      <c r="CY88" s="1701"/>
      <c r="CZ88" s="1701"/>
    </row>
    <row r="89" spans="1:104">
      <c r="A89" s="260">
        <f t="shared" si="10"/>
        <v>82</v>
      </c>
      <c r="B89" s="581"/>
      <c r="C89" s="584" t="s">
        <v>274</v>
      </c>
      <c r="D89" s="290"/>
      <c r="E89" s="589"/>
      <c r="F89" s="290"/>
      <c r="G89" s="622">
        <f ca="1">SUM(G84:G88)</f>
        <v>4210255.3135785004</v>
      </c>
      <c r="H89" s="32"/>
      <c r="I89" s="47"/>
      <c r="J89" s="32"/>
      <c r="K89" s="622">
        <f ca="1">SUM(K84:K88)</f>
        <v>3216193.0432088883</v>
      </c>
      <c r="M89" s="1630" t="s">
        <v>1528</v>
      </c>
      <c r="N89" s="1614">
        <f ca="1">SUM(N84:N88)</f>
        <v>3798525.2742432537</v>
      </c>
      <c r="O89" s="1614">
        <v>2941002.7380279312</v>
      </c>
      <c r="Q89" s="1695">
        <v>3256157.5610928624</v>
      </c>
      <c r="R89" s="256"/>
      <c r="S89" s="1695">
        <v>3255887.085178304</v>
      </c>
      <c r="T89" s="1696">
        <v>2973345.4019383057</v>
      </c>
      <c r="U89" s="256"/>
      <c r="V89" s="1695">
        <v>3255968.1536694299</v>
      </c>
      <c r="W89" s="1696">
        <v>2973416.0319093079</v>
      </c>
      <c r="X89" s="256"/>
      <c r="Y89" s="1695">
        <v>3257336.8017978212</v>
      </c>
      <c r="Z89" s="1696">
        <v>2974612.160249047</v>
      </c>
      <c r="AA89" s="256"/>
      <c r="AB89" s="1695">
        <v>3258058.9055251158</v>
      </c>
      <c r="AC89" s="1696">
        <v>2975209.9792384491</v>
      </c>
      <c r="AD89" s="256"/>
      <c r="AE89" s="1695">
        <v>3258727.3476749463</v>
      </c>
      <c r="AF89" s="1696">
        <v>2975792.3100436428</v>
      </c>
      <c r="AG89" s="256"/>
      <c r="AH89" s="1695">
        <v>3258436.3925081422</v>
      </c>
      <c r="AI89" s="1696">
        <v>2975538.836864844</v>
      </c>
      <c r="AJ89" s="256"/>
      <c r="AK89" s="1695">
        <v>3261572.240999673</v>
      </c>
      <c r="AL89" s="1696">
        <v>2978266.3607575456</v>
      </c>
      <c r="AM89" s="256"/>
      <c r="AN89" s="1695">
        <v>3257900.7836496085</v>
      </c>
      <c r="AO89" s="1696">
        <v>2975070.3829334141</v>
      </c>
      <c r="AP89" s="256"/>
      <c r="AQ89" s="1695">
        <v>3270564.00059515</v>
      </c>
      <c r="AR89" s="1696">
        <v>2986102.2218570886</v>
      </c>
      <c r="AS89" s="256"/>
      <c r="AT89" s="1695">
        <v>3270564.6061706804</v>
      </c>
      <c r="AU89" s="1695">
        <v>2986102.7494174819</v>
      </c>
      <c r="AV89" s="256"/>
      <c r="AW89" s="1695">
        <v>3272206.13695961</v>
      </c>
      <c r="AX89" s="1695">
        <v>2987532.8049341487</v>
      </c>
      <c r="AY89" s="256"/>
      <c r="AZ89" s="1695">
        <v>3273444.2084560995</v>
      </c>
      <c r="BA89" s="1695">
        <v>2988611.3780474425</v>
      </c>
      <c r="BB89" s="256"/>
      <c r="BC89" s="1695">
        <v>3273444.2084560995</v>
      </c>
      <c r="BD89" s="1695">
        <v>2988611.3780474425</v>
      </c>
      <c r="BE89" s="256"/>
      <c r="BF89" s="1695">
        <v>3279229.5825563855</v>
      </c>
      <c r="BG89" s="1695">
        <v>2993651.43346638</v>
      </c>
      <c r="BH89" s="256"/>
      <c r="BI89" s="1695">
        <v>3284875.8339895513</v>
      </c>
      <c r="BJ89" s="1695">
        <v>2998570.2891253429</v>
      </c>
      <c r="BK89" s="256"/>
      <c r="BL89" s="1695">
        <v>3289648.3133938983</v>
      </c>
      <c r="BM89" s="1695">
        <v>3002727.9391349517</v>
      </c>
      <c r="BN89" s="256"/>
      <c r="BO89" s="1695">
        <v>3294234.5778901065</v>
      </c>
      <c r="BP89" s="1695">
        <v>3006732.7785552684</v>
      </c>
      <c r="BQ89" s="256"/>
      <c r="BR89" s="1695">
        <v>3288787.0236068103</v>
      </c>
      <c r="BS89" s="1695">
        <v>3001987.022272347</v>
      </c>
      <c r="BT89" s="256"/>
      <c r="BU89" s="1695">
        <v>3288757.2602276169</v>
      </c>
      <c r="BV89" s="1695">
        <v>3001961.0932523753</v>
      </c>
      <c r="BW89" s="256"/>
      <c r="BX89" s="1695">
        <v>3288573.639442483</v>
      </c>
      <c r="BY89" s="1695">
        <v>3001801.1279818327</v>
      </c>
      <c r="BZ89" s="256"/>
      <c r="CA89" s="1695">
        <v>3257422.7517327704</v>
      </c>
      <c r="CB89" s="1695">
        <v>2976871.3029026687</v>
      </c>
      <c r="CC89" s="256"/>
      <c r="CD89" s="1695">
        <v>3257422.7517327704</v>
      </c>
      <c r="CE89" s="1695">
        <v>2976871.3029026687</v>
      </c>
      <c r="CF89" s="256"/>
      <c r="CG89" s="1695">
        <v>3258128.9527250221</v>
      </c>
      <c r="CH89" s="1695">
        <v>2977486.9484079089</v>
      </c>
      <c r="CI89" s="1684">
        <f t="shared" si="9"/>
        <v>615.64550524018705</v>
      </c>
      <c r="CJ89" s="1695">
        <v>3258128.9527250221</v>
      </c>
      <c r="CK89" s="1695">
        <v>2977486.9484079089</v>
      </c>
      <c r="CL89" s="256"/>
      <c r="CM89" s="1695">
        <v>3219602.9964339151</v>
      </c>
      <c r="CN89" s="1695">
        <v>2943932.7950248686</v>
      </c>
      <c r="CO89" s="256"/>
      <c r="CP89" s="622">
        <v>3213021.6903284998</v>
      </c>
      <c r="CQ89" s="1695">
        <v>2938194.9235930298</v>
      </c>
      <c r="CR89" s="256"/>
      <c r="CS89" s="622">
        <v>3215874.0750584947</v>
      </c>
      <c r="CT89" s="1695">
        <v>2940724.615830136</v>
      </c>
      <c r="CU89" s="256"/>
      <c r="CV89" s="1695">
        <v>3216193.0432088883</v>
      </c>
      <c r="CW89" s="1695">
        <v>2941002.7380279312</v>
      </c>
      <c r="CX89" s="256"/>
      <c r="CY89" s="1695"/>
      <c r="CZ89" s="1695"/>
    </row>
    <row r="90" spans="1:104">
      <c r="A90" s="260">
        <f t="shared" si="10"/>
        <v>83</v>
      </c>
      <c r="B90" s="581"/>
      <c r="C90" s="1400"/>
      <c r="D90" s="264"/>
      <c r="E90" s="268"/>
      <c r="F90" s="264"/>
      <c r="G90" s="361"/>
      <c r="H90" s="29"/>
      <c r="I90" s="1229"/>
      <c r="J90" s="29"/>
      <c r="K90" s="54"/>
      <c r="M90" s="1624"/>
      <c r="N90" s="1113"/>
      <c r="O90" s="1113"/>
      <c r="Q90" s="54"/>
      <c r="R90" s="256"/>
      <c r="S90" s="54"/>
      <c r="T90" s="1694"/>
      <c r="U90" s="256"/>
      <c r="V90" s="54"/>
      <c r="W90" s="1694"/>
      <c r="X90" s="256"/>
      <c r="Y90" s="54"/>
      <c r="Z90" s="1694"/>
      <c r="AA90" s="256"/>
      <c r="AB90" s="54"/>
      <c r="AC90" s="1694"/>
      <c r="AD90" s="256"/>
      <c r="AE90" s="54"/>
      <c r="AF90" s="1694"/>
      <c r="AG90" s="256"/>
      <c r="AH90" s="54"/>
      <c r="AI90" s="1694"/>
      <c r="AJ90" s="256"/>
      <c r="AK90" s="54"/>
      <c r="AL90" s="1694"/>
      <c r="AM90" s="256"/>
      <c r="AN90" s="54"/>
      <c r="AO90" s="1694"/>
      <c r="AP90" s="256"/>
      <c r="AQ90" s="54"/>
      <c r="AR90" s="1694"/>
      <c r="AS90" s="256"/>
      <c r="AT90" s="54"/>
      <c r="AU90" s="54"/>
      <c r="AV90" s="256"/>
      <c r="AW90" s="54"/>
      <c r="AX90" s="54"/>
      <c r="AY90" s="256"/>
      <c r="AZ90" s="54"/>
      <c r="BA90" s="54"/>
      <c r="BB90" s="256"/>
      <c r="BC90" s="54"/>
      <c r="BD90" s="54"/>
      <c r="BE90" s="256"/>
      <c r="BF90" s="54"/>
      <c r="BG90" s="54"/>
      <c r="BH90" s="256"/>
      <c r="BI90" s="54"/>
      <c r="BJ90" s="54"/>
      <c r="BK90" s="256"/>
      <c r="BL90" s="54"/>
      <c r="BM90" s="54"/>
      <c r="BN90" s="256"/>
      <c r="BO90" s="54"/>
      <c r="BP90" s="54"/>
      <c r="BQ90" s="256"/>
      <c r="BR90" s="54"/>
      <c r="BS90" s="54"/>
      <c r="BT90" s="256"/>
      <c r="BU90" s="54"/>
      <c r="BV90" s="54"/>
      <c r="BW90" s="256"/>
      <c r="BX90" s="54"/>
      <c r="BY90" s="54"/>
      <c r="BZ90" s="256"/>
      <c r="CA90" s="54"/>
      <c r="CB90" s="54"/>
      <c r="CC90" s="256"/>
      <c r="CD90" s="54"/>
      <c r="CE90" s="54"/>
      <c r="CF90" s="256"/>
      <c r="CG90" s="54"/>
      <c r="CH90" s="54"/>
      <c r="CI90" s="1684">
        <f t="shared" si="9"/>
        <v>0</v>
      </c>
      <c r="CJ90" s="54"/>
      <c r="CK90" s="54"/>
      <c r="CL90" s="256"/>
      <c r="CM90" s="54"/>
      <c r="CN90" s="54"/>
      <c r="CO90" s="256"/>
      <c r="CP90" s="54"/>
      <c r="CQ90" s="54"/>
      <c r="CR90" s="256"/>
      <c r="CS90" s="54"/>
      <c r="CT90" s="54"/>
      <c r="CU90" s="256"/>
      <c r="CV90" s="54"/>
      <c r="CW90" s="54"/>
      <c r="CX90" s="256"/>
      <c r="CY90" s="54"/>
      <c r="CZ90" s="54"/>
    </row>
    <row r="91" spans="1:104">
      <c r="A91" s="260">
        <f t="shared" si="10"/>
        <v>84</v>
      </c>
      <c r="B91" s="581"/>
      <c r="C91" s="864" t="s">
        <v>386</v>
      </c>
      <c r="D91" s="264"/>
      <c r="E91" s="268"/>
      <c r="F91" s="264"/>
      <c r="G91" s="361"/>
      <c r="H91" s="29"/>
      <c r="I91" s="1229"/>
      <c r="J91" s="29"/>
      <c r="K91" s="54"/>
      <c r="M91" s="1624"/>
      <c r="N91" s="1113"/>
      <c r="O91" s="1113"/>
      <c r="Q91" s="54"/>
      <c r="R91" s="256"/>
      <c r="S91" s="54"/>
      <c r="T91" s="1694"/>
      <c r="U91" s="256"/>
      <c r="V91" s="54"/>
      <c r="W91" s="1694"/>
      <c r="X91" s="256"/>
      <c r="Y91" s="54"/>
      <c r="Z91" s="1694"/>
      <c r="AA91" s="256"/>
      <c r="AB91" s="54"/>
      <c r="AC91" s="1694"/>
      <c r="AD91" s="256"/>
      <c r="AE91" s="54"/>
      <c r="AF91" s="1694"/>
      <c r="AG91" s="256"/>
      <c r="AH91" s="54"/>
      <c r="AI91" s="1694"/>
      <c r="AJ91" s="256"/>
      <c r="AK91" s="54"/>
      <c r="AL91" s="1694"/>
      <c r="AM91" s="256"/>
      <c r="AN91" s="54"/>
      <c r="AO91" s="1694"/>
      <c r="AP91" s="256"/>
      <c r="AQ91" s="54"/>
      <c r="AR91" s="1694"/>
      <c r="AS91" s="256"/>
      <c r="AT91" s="54"/>
      <c r="AU91" s="54"/>
      <c r="AV91" s="256"/>
      <c r="AW91" s="54"/>
      <c r="AX91" s="54"/>
      <c r="AY91" s="256"/>
      <c r="AZ91" s="54"/>
      <c r="BA91" s="54"/>
      <c r="BB91" s="256"/>
      <c r="BC91" s="54"/>
      <c r="BD91" s="54"/>
      <c r="BE91" s="256"/>
      <c r="BF91" s="54"/>
      <c r="BG91" s="54"/>
      <c r="BH91" s="256"/>
      <c r="BI91" s="54"/>
      <c r="BJ91" s="54"/>
      <c r="BK91" s="256"/>
      <c r="BL91" s="54"/>
      <c r="BM91" s="54"/>
      <c r="BN91" s="256"/>
      <c r="BO91" s="54"/>
      <c r="BP91" s="54"/>
      <c r="BQ91" s="256"/>
      <c r="BR91" s="54"/>
      <c r="BS91" s="54"/>
      <c r="BT91" s="256"/>
      <c r="BU91" s="54"/>
      <c r="BV91" s="54"/>
      <c r="BW91" s="256"/>
      <c r="BX91" s="54"/>
      <c r="BY91" s="54"/>
      <c r="BZ91" s="256"/>
      <c r="CA91" s="54"/>
      <c r="CB91" s="54"/>
      <c r="CC91" s="256"/>
      <c r="CD91" s="54"/>
      <c r="CE91" s="54"/>
      <c r="CF91" s="256"/>
      <c r="CG91" s="54"/>
      <c r="CH91" s="54"/>
      <c r="CI91" s="1684">
        <f t="shared" si="9"/>
        <v>0</v>
      </c>
      <c r="CJ91" s="54"/>
      <c r="CK91" s="54"/>
      <c r="CL91" s="256"/>
      <c r="CM91" s="54"/>
      <c r="CN91" s="54"/>
      <c r="CO91" s="256"/>
      <c r="CP91" s="54"/>
      <c r="CQ91" s="54"/>
      <c r="CR91" s="256"/>
      <c r="CS91" s="54"/>
      <c r="CT91" s="54"/>
      <c r="CU91" s="256"/>
      <c r="CV91" s="54"/>
      <c r="CW91" s="54"/>
      <c r="CX91" s="256"/>
      <c r="CY91" s="54"/>
      <c r="CZ91" s="54"/>
    </row>
    <row r="92" spans="1:104">
      <c r="A92" s="260">
        <f t="shared" si="10"/>
        <v>85</v>
      </c>
      <c r="B92" s="581"/>
      <c r="C92" s="255" t="s">
        <v>672</v>
      </c>
      <c r="D92" s="264"/>
      <c r="E92" s="583" t="s">
        <v>23</v>
      </c>
      <c r="F92" s="264"/>
      <c r="G92" s="361">
        <f>'Sched M-1'!G71</f>
        <v>-3518846</v>
      </c>
      <c r="H92" s="29"/>
      <c r="I92" s="1229" t="s">
        <v>23</v>
      </c>
      <c r="J92" s="29"/>
      <c r="K92" s="361">
        <f>'Sched M-1'!K71</f>
        <v>-3518846</v>
      </c>
      <c r="M92" s="1624">
        <f>IF(ISERROR(O92/K92),0,O92/K92)</f>
        <v>0.94873241983789069</v>
      </c>
      <c r="N92" s="1113">
        <f>M92*G92</f>
        <v>-3338443.2806168823</v>
      </c>
      <c r="O92" s="1113">
        <v>-3338443.2806168823</v>
      </c>
      <c r="Q92" s="333">
        <v>-3518846</v>
      </c>
      <c r="R92" s="256"/>
      <c r="S92" s="333">
        <v>-3518846</v>
      </c>
      <c r="T92" s="1693">
        <v>-3338443.2806168823</v>
      </c>
      <c r="U92" s="256"/>
      <c r="V92" s="333">
        <v>-3518846</v>
      </c>
      <c r="W92" s="1693">
        <v>-3338443.2806168823</v>
      </c>
      <c r="X92" s="256"/>
      <c r="Y92" s="333">
        <v>-3518846</v>
      </c>
      <c r="Z92" s="1693">
        <v>-3338443.2806168823</v>
      </c>
      <c r="AA92" s="256"/>
      <c r="AB92" s="333">
        <v>-3518846</v>
      </c>
      <c r="AC92" s="1693">
        <v>-3338443.2806168823</v>
      </c>
      <c r="AD92" s="256"/>
      <c r="AE92" s="333">
        <v>-3518846</v>
      </c>
      <c r="AF92" s="1693">
        <v>-3338443.2806168823</v>
      </c>
      <c r="AG92" s="256"/>
      <c r="AH92" s="333">
        <v>-3518846</v>
      </c>
      <c r="AI92" s="1693">
        <v>-3338443.2806168823</v>
      </c>
      <c r="AJ92" s="256"/>
      <c r="AK92" s="333">
        <v>-3518846</v>
      </c>
      <c r="AL92" s="1693">
        <v>-3338443.2806168823</v>
      </c>
      <c r="AM92" s="256"/>
      <c r="AN92" s="333">
        <v>-3518846</v>
      </c>
      <c r="AO92" s="1693">
        <v>-3338443.2806168823</v>
      </c>
      <c r="AP92" s="256"/>
      <c r="AQ92" s="333">
        <v>-3518846</v>
      </c>
      <c r="AR92" s="1693">
        <v>-3338443.2806168823</v>
      </c>
      <c r="AS92" s="256"/>
      <c r="AT92" s="333">
        <v>-3518846</v>
      </c>
      <c r="AU92" s="333">
        <v>-3338443.2806168823</v>
      </c>
      <c r="AV92" s="256"/>
      <c r="AW92" s="333">
        <v>-3518846</v>
      </c>
      <c r="AX92" s="333">
        <v>-3338443.2806168823</v>
      </c>
      <c r="AY92" s="256"/>
      <c r="AZ92" s="333">
        <v>-3518846</v>
      </c>
      <c r="BA92" s="333">
        <v>-3338443.2806168823</v>
      </c>
      <c r="BB92" s="256"/>
      <c r="BC92" s="333">
        <v>-3518846</v>
      </c>
      <c r="BD92" s="333">
        <v>-3338443.2806168823</v>
      </c>
      <c r="BE92" s="256"/>
      <c r="BF92" s="333">
        <v>-3518846</v>
      </c>
      <c r="BG92" s="333">
        <v>-3338443.2806168823</v>
      </c>
      <c r="BH92" s="256"/>
      <c r="BI92" s="333">
        <v>-3518846</v>
      </c>
      <c r="BJ92" s="333">
        <v>-3338443.2806168823</v>
      </c>
      <c r="BK92" s="256"/>
      <c r="BL92" s="333">
        <v>-3518846</v>
      </c>
      <c r="BM92" s="333">
        <v>-3338443.2806168823</v>
      </c>
      <c r="BN92" s="256"/>
      <c r="BO92" s="333">
        <v>-3518846</v>
      </c>
      <c r="BP92" s="333">
        <v>-3338443.2806168823</v>
      </c>
      <c r="BQ92" s="256"/>
      <c r="BR92" s="333">
        <v>-3518846</v>
      </c>
      <c r="BS92" s="333">
        <v>-3338443.2806168823</v>
      </c>
      <c r="BT92" s="256"/>
      <c r="BU92" s="333">
        <v>-3518846</v>
      </c>
      <c r="BV92" s="333">
        <v>-3338443.2806168823</v>
      </c>
      <c r="BW92" s="256"/>
      <c r="BX92" s="333">
        <v>-3518846</v>
      </c>
      <c r="BY92" s="333">
        <v>-3338443.2806168823</v>
      </c>
      <c r="BZ92" s="256"/>
      <c r="CA92" s="333">
        <v>-3518846</v>
      </c>
      <c r="CB92" s="333">
        <v>-3338443.2806168823</v>
      </c>
      <c r="CC92" s="256"/>
      <c r="CD92" s="333">
        <v>-3518846</v>
      </c>
      <c r="CE92" s="333">
        <v>-3338443.2806168823</v>
      </c>
      <c r="CF92" s="256"/>
      <c r="CG92" s="333">
        <v>-3518846</v>
      </c>
      <c r="CH92" s="333">
        <v>-3338443.2806168823</v>
      </c>
      <c r="CI92" s="1684">
        <f t="shared" si="9"/>
        <v>0</v>
      </c>
      <c r="CJ92" s="333">
        <v>-3518846</v>
      </c>
      <c r="CK92" s="333">
        <v>-3338443.2806168823</v>
      </c>
      <c r="CL92" s="256"/>
      <c r="CM92" s="333">
        <v>-3518846</v>
      </c>
      <c r="CN92" s="333">
        <v>-3338443.2806168823</v>
      </c>
      <c r="CO92" s="256"/>
      <c r="CP92" s="361">
        <v>-3518846</v>
      </c>
      <c r="CQ92" s="333">
        <v>-3338443.2806168823</v>
      </c>
      <c r="CR92" s="256"/>
      <c r="CS92" s="361">
        <v>-3518846</v>
      </c>
      <c r="CT92" s="333">
        <v>-3338443.2806168823</v>
      </c>
      <c r="CU92" s="256"/>
      <c r="CV92" s="333">
        <v>-3518846</v>
      </c>
      <c r="CW92" s="333">
        <v>-3338443.2806168823</v>
      </c>
      <c r="CX92" s="256"/>
      <c r="CY92" s="333"/>
      <c r="CZ92" s="333"/>
    </row>
    <row r="93" spans="1:104">
      <c r="A93" s="260">
        <f t="shared" si="10"/>
        <v>86</v>
      </c>
      <c r="B93" s="581"/>
      <c r="C93" s="255" t="s">
        <v>673</v>
      </c>
      <c r="D93" s="264"/>
      <c r="E93" s="583" t="s">
        <v>23</v>
      </c>
      <c r="F93" s="264"/>
      <c r="G93" s="209">
        <f>'Sched M-1'!G72</f>
        <v>0</v>
      </c>
      <c r="H93" s="29"/>
      <c r="I93" s="1229" t="s">
        <v>23</v>
      </c>
      <c r="J93" s="29"/>
      <c r="K93" s="209">
        <f>'Sched M-1'!K72</f>
        <v>0</v>
      </c>
      <c r="M93" s="1624">
        <f>IF(ISERROR(O93/K93),0,O93/K93)</f>
        <v>0</v>
      </c>
      <c r="N93" s="1628">
        <f>M93*G93</f>
        <v>0</v>
      </c>
      <c r="O93" s="1628">
        <v>0</v>
      </c>
      <c r="Q93" s="1066">
        <v>0</v>
      </c>
      <c r="R93" s="256"/>
      <c r="S93" s="1066">
        <v>0</v>
      </c>
      <c r="T93" s="1698">
        <v>0</v>
      </c>
      <c r="U93" s="256"/>
      <c r="V93" s="1066">
        <v>0</v>
      </c>
      <c r="W93" s="1698">
        <v>0</v>
      </c>
      <c r="X93" s="256"/>
      <c r="Y93" s="1066">
        <v>0</v>
      </c>
      <c r="Z93" s="1698">
        <v>0</v>
      </c>
      <c r="AA93" s="256"/>
      <c r="AB93" s="1066">
        <v>0</v>
      </c>
      <c r="AC93" s="1698">
        <v>0</v>
      </c>
      <c r="AD93" s="256"/>
      <c r="AE93" s="1066">
        <v>0</v>
      </c>
      <c r="AF93" s="1698">
        <v>0</v>
      </c>
      <c r="AG93" s="256"/>
      <c r="AH93" s="1066">
        <v>0</v>
      </c>
      <c r="AI93" s="1698">
        <v>0</v>
      </c>
      <c r="AJ93" s="256"/>
      <c r="AK93" s="1066">
        <v>0</v>
      </c>
      <c r="AL93" s="1698">
        <v>0</v>
      </c>
      <c r="AM93" s="256"/>
      <c r="AN93" s="1066">
        <v>0</v>
      </c>
      <c r="AO93" s="1698">
        <v>0</v>
      </c>
      <c r="AP93" s="256"/>
      <c r="AQ93" s="1066">
        <v>0</v>
      </c>
      <c r="AR93" s="1698">
        <v>0</v>
      </c>
      <c r="AS93" s="256"/>
      <c r="AT93" s="1066">
        <v>0</v>
      </c>
      <c r="AU93" s="1066">
        <v>0</v>
      </c>
      <c r="AV93" s="256"/>
      <c r="AW93" s="1066">
        <v>0</v>
      </c>
      <c r="AX93" s="1066">
        <v>0</v>
      </c>
      <c r="AY93" s="256"/>
      <c r="AZ93" s="1066">
        <v>0</v>
      </c>
      <c r="BA93" s="1066">
        <v>0</v>
      </c>
      <c r="BB93" s="256"/>
      <c r="BC93" s="1066">
        <v>0</v>
      </c>
      <c r="BD93" s="1066">
        <v>0</v>
      </c>
      <c r="BE93" s="256"/>
      <c r="BF93" s="1066">
        <v>0</v>
      </c>
      <c r="BG93" s="1066">
        <v>0</v>
      </c>
      <c r="BH93" s="256"/>
      <c r="BI93" s="1066">
        <v>0</v>
      </c>
      <c r="BJ93" s="1066">
        <v>0</v>
      </c>
      <c r="BK93" s="256"/>
      <c r="BL93" s="1066">
        <v>0</v>
      </c>
      <c r="BM93" s="1066">
        <v>0</v>
      </c>
      <c r="BN93" s="256"/>
      <c r="BO93" s="1066">
        <v>0</v>
      </c>
      <c r="BP93" s="1066">
        <v>0</v>
      </c>
      <c r="BQ93" s="256"/>
      <c r="BR93" s="1066">
        <v>0</v>
      </c>
      <c r="BS93" s="1066">
        <v>0</v>
      </c>
      <c r="BT93" s="256"/>
      <c r="BU93" s="1066">
        <v>0</v>
      </c>
      <c r="BV93" s="1066">
        <v>0</v>
      </c>
      <c r="BW93" s="256"/>
      <c r="BX93" s="1066">
        <v>0</v>
      </c>
      <c r="BY93" s="1066">
        <v>0</v>
      </c>
      <c r="BZ93" s="256"/>
      <c r="CA93" s="1066">
        <v>0</v>
      </c>
      <c r="CB93" s="1066">
        <v>0</v>
      </c>
      <c r="CC93" s="256"/>
      <c r="CD93" s="1066">
        <v>0</v>
      </c>
      <c r="CE93" s="1066">
        <v>0</v>
      </c>
      <c r="CF93" s="256"/>
      <c r="CG93" s="1066">
        <v>0</v>
      </c>
      <c r="CH93" s="1066">
        <v>0</v>
      </c>
      <c r="CI93" s="1684">
        <f t="shared" si="9"/>
        <v>0</v>
      </c>
      <c r="CJ93" s="1066">
        <v>0</v>
      </c>
      <c r="CK93" s="1066">
        <v>0</v>
      </c>
      <c r="CL93" s="256"/>
      <c r="CM93" s="1066">
        <v>0</v>
      </c>
      <c r="CN93" s="1066">
        <v>0</v>
      </c>
      <c r="CO93" s="256"/>
      <c r="CP93" s="209">
        <v>0</v>
      </c>
      <c r="CQ93" s="1066">
        <v>0</v>
      </c>
      <c r="CR93" s="256"/>
      <c r="CS93" s="209">
        <v>0</v>
      </c>
      <c r="CT93" s="1066">
        <v>0</v>
      </c>
      <c r="CU93" s="256"/>
      <c r="CV93" s="1066">
        <v>0</v>
      </c>
      <c r="CW93" s="1066">
        <v>0</v>
      </c>
      <c r="CX93" s="256"/>
      <c r="CY93" s="1066"/>
      <c r="CZ93" s="1066"/>
    </row>
    <row r="94" spans="1:104">
      <c r="A94" s="581">
        <f t="shared" si="10"/>
        <v>87</v>
      </c>
      <c r="B94" s="581"/>
      <c r="C94" s="1402" t="s">
        <v>1327</v>
      </c>
      <c r="D94" s="264"/>
      <c r="E94" s="865" t="s">
        <v>23</v>
      </c>
      <c r="F94" s="264"/>
      <c r="G94" s="209">
        <f>'Sched M-1'!G74-'Sched M-1'!G72-'Sched M-1'!G71-'Sched M-1'!G42-'Sched M-1'!G19</f>
        <v>-26682756.688000005</v>
      </c>
      <c r="H94" s="29"/>
      <c r="I94" s="866" t="s">
        <v>23</v>
      </c>
      <c r="J94" s="29"/>
      <c r="K94" s="209">
        <f ca="1">'Sched M-1'!K74-'Sched M-1'!K72-'Sched M-1'!K71-'Sched M-1'!K42-'Sched M-1'!K19</f>
        <v>-46644274.728433244</v>
      </c>
      <c r="M94" s="1624">
        <f ca="1">IF(ISERROR(O94/K94),0,O94/K94)</f>
        <v>0.86405857965908184</v>
      </c>
      <c r="N94" s="1628">
        <f ca="1">M94*G94</f>
        <v>-23055464.845222149</v>
      </c>
      <c r="O94" s="1628">
        <v>-40303385.771078035</v>
      </c>
      <c r="P94" s="1127"/>
      <c r="Q94" s="1066">
        <v>-38218760.058510363</v>
      </c>
      <c r="R94" s="256"/>
      <c r="S94" s="1066">
        <v>-38218760.08721377</v>
      </c>
      <c r="T94" s="1698">
        <v>-32983408.279587373</v>
      </c>
      <c r="U94" s="256"/>
      <c r="V94" s="1066">
        <v>-38218758.591048747</v>
      </c>
      <c r="W94" s="1698">
        <v>-32983406.988372758</v>
      </c>
      <c r="X94" s="256"/>
      <c r="Y94" s="1066">
        <v>-38218709.417330876</v>
      </c>
      <c r="Z94" s="1698">
        <v>-32983415.541150428</v>
      </c>
      <c r="AA94" s="256"/>
      <c r="AB94" s="1066">
        <v>-38218750.23955366</v>
      </c>
      <c r="AC94" s="1698">
        <v>-32983021.09311077</v>
      </c>
      <c r="AD94" s="256"/>
      <c r="AE94" s="1066">
        <v>-38218788.028783247</v>
      </c>
      <c r="AF94" s="1698">
        <v>-32983053.705452848</v>
      </c>
      <c r="AG94" s="256"/>
      <c r="AH94" s="1066">
        <v>-38219492.27043014</v>
      </c>
      <c r="AI94" s="1698">
        <v>-32983661.470409807</v>
      </c>
      <c r="AJ94" s="256"/>
      <c r="AK94" s="1066">
        <v>-38219669.552231573</v>
      </c>
      <c r="AL94" s="1698">
        <v>-32983755.20841904</v>
      </c>
      <c r="AM94" s="256"/>
      <c r="AN94" s="1066">
        <v>-38219737.353263773</v>
      </c>
      <c r="AO94" s="1698">
        <v>-32983847.659790337</v>
      </c>
      <c r="AP94" s="256"/>
      <c r="AQ94" s="1066">
        <v>-38220453.254473262</v>
      </c>
      <c r="AR94" s="1698">
        <v>-32984465.486548662</v>
      </c>
      <c r="AS94" s="256"/>
      <c r="AT94" s="1066">
        <v>-38040118.156809077</v>
      </c>
      <c r="AU94" s="1066">
        <v>-32828835.286003582</v>
      </c>
      <c r="AV94" s="256"/>
      <c r="AW94" s="1066">
        <v>-38040210.957311675</v>
      </c>
      <c r="AX94" s="1066">
        <v>-32828915.373357717</v>
      </c>
      <c r="AY94" s="256"/>
      <c r="AZ94" s="1066">
        <v>-38041326.578561075</v>
      </c>
      <c r="BA94" s="1066">
        <v>-32829878.160751995</v>
      </c>
      <c r="BB94" s="256"/>
      <c r="BC94" s="1066">
        <v>-38041326.578561075</v>
      </c>
      <c r="BD94" s="1066">
        <v>-32829878.160751995</v>
      </c>
      <c r="BE94" s="256"/>
      <c r="BF94" s="1066">
        <v>-38041653.649085186</v>
      </c>
      <c r="BG94" s="1066">
        <v>-32830160.424448404</v>
      </c>
      <c r="BH94" s="256"/>
      <c r="BI94" s="1066">
        <v>-38041972.852484174</v>
      </c>
      <c r="BJ94" s="1066">
        <v>-32830435.898771726</v>
      </c>
      <c r="BK94" s="256"/>
      <c r="BL94" s="1066">
        <v>-38042242.659713902</v>
      </c>
      <c r="BM94" s="1066">
        <v>-32830668.74392397</v>
      </c>
      <c r="BN94" s="256"/>
      <c r="BO94" s="1066">
        <v>-38277008.329628058</v>
      </c>
      <c r="BP94" s="1066">
        <v>-33033167.215834402</v>
      </c>
      <c r="BQ94" s="256"/>
      <c r="BR94" s="1066">
        <v>-38279100.382136755</v>
      </c>
      <c r="BS94" s="1066">
        <v>-33034972.66310836</v>
      </c>
      <c r="BT94" s="256"/>
      <c r="BU94" s="1066">
        <v>-46198785.212953247</v>
      </c>
      <c r="BV94" s="1066">
        <v>-39869683.230354264</v>
      </c>
      <c r="BW94" s="256"/>
      <c r="BX94" s="1066">
        <v>-46198654.724878959</v>
      </c>
      <c r="BY94" s="1066">
        <v>-39869570.618774474</v>
      </c>
      <c r="BZ94" s="256"/>
      <c r="CA94" s="1066">
        <v>-46113058.584911831</v>
      </c>
      <c r="CB94" s="1066">
        <v>-39843106.77725938</v>
      </c>
      <c r="CC94" s="256"/>
      <c r="CD94" s="1066">
        <v>-46113058.584911831</v>
      </c>
      <c r="CE94" s="1066">
        <v>-39843106.77725938</v>
      </c>
      <c r="CF94" s="256"/>
      <c r="CG94" s="1066">
        <v>-46113098.512545131</v>
      </c>
      <c r="CH94" s="1066">
        <v>-39843141.275967672</v>
      </c>
      <c r="CI94" s="1684">
        <f t="shared" si="9"/>
        <v>-34.498708292841911</v>
      </c>
      <c r="CJ94" s="1066">
        <v>-46113098.512545131</v>
      </c>
      <c r="CK94" s="1066">
        <v>-39843141.275967672</v>
      </c>
      <c r="CL94" s="256"/>
      <c r="CM94" s="1066">
        <v>-46113809.796094231</v>
      </c>
      <c r="CN94" s="1066">
        <v>-39844295.72884503</v>
      </c>
      <c r="CO94" s="256"/>
      <c r="CP94" s="209">
        <v>-46113437.704278268</v>
      </c>
      <c r="CQ94" s="1066">
        <v>-39843974.225668013</v>
      </c>
      <c r="CR94" s="256"/>
      <c r="CS94" s="209">
        <v>-46113598.970775299</v>
      </c>
      <c r="CT94" s="1066">
        <v>-39844850.829656601</v>
      </c>
      <c r="CU94" s="256"/>
      <c r="CV94" s="1066">
        <v>-46644274.728433244</v>
      </c>
      <c r="CW94" s="1066">
        <v>-40303385.771078035</v>
      </c>
      <c r="CX94" s="256"/>
      <c r="CY94" s="1066"/>
      <c r="CZ94" s="1066"/>
    </row>
    <row r="95" spans="1:104">
      <c r="A95" s="581">
        <f t="shared" si="10"/>
        <v>88</v>
      </c>
      <c r="B95" s="581"/>
      <c r="C95" s="1402" t="s">
        <v>1328</v>
      </c>
      <c r="D95" s="264"/>
      <c r="E95" s="865" t="s">
        <v>23</v>
      </c>
      <c r="F95" s="264"/>
      <c r="G95" s="787">
        <f>'Sched M-1'!G42+'Sched M-1'!G19</f>
        <v>-18577132.669999998</v>
      </c>
      <c r="H95" s="29"/>
      <c r="I95" s="866" t="s">
        <v>23</v>
      </c>
      <c r="J95" s="29"/>
      <c r="K95" s="787">
        <f>+'Sched M-1'!K42+'Sched M-1'!K19</f>
        <v>-15464912.93187424</v>
      </c>
      <c r="M95" s="1624">
        <f>IF(ISERROR(O95/K95),0,O95/K95)</f>
        <v>0.99999999999999989</v>
      </c>
      <c r="N95" s="1626">
        <f>M95*G95</f>
        <v>-18577132.669999994</v>
      </c>
      <c r="O95" s="1626">
        <v>-15464912.931874238</v>
      </c>
      <c r="Q95" s="1687">
        <v>-15301342.633378096</v>
      </c>
      <c r="R95" s="256"/>
      <c r="S95" s="1687">
        <v>-15301342.633378096</v>
      </c>
      <c r="T95" s="1688">
        <v>-15301342.633378098</v>
      </c>
      <c r="U95" s="256"/>
      <c r="V95" s="1687">
        <v>-15301342.633378096</v>
      </c>
      <c r="W95" s="1688">
        <v>-15301342.633378096</v>
      </c>
      <c r="X95" s="256"/>
      <c r="Y95" s="1687">
        <v>-15301342.633378096</v>
      </c>
      <c r="Z95" s="1688">
        <v>-15301342.6333781</v>
      </c>
      <c r="AA95" s="256"/>
      <c r="AB95" s="1687">
        <v>-15301342.633378096</v>
      </c>
      <c r="AC95" s="1688">
        <v>-15301342.633378096</v>
      </c>
      <c r="AD95" s="256"/>
      <c r="AE95" s="1687">
        <v>-15301342.633378096</v>
      </c>
      <c r="AF95" s="1688">
        <v>-15301342.633378096</v>
      </c>
      <c r="AG95" s="256"/>
      <c r="AH95" s="1687">
        <v>-15301342.633378096</v>
      </c>
      <c r="AI95" s="1688">
        <v>-15301342.633378096</v>
      </c>
      <c r="AJ95" s="256"/>
      <c r="AK95" s="1687">
        <v>-15301342.633378096</v>
      </c>
      <c r="AL95" s="1688">
        <v>-15301342.633378094</v>
      </c>
      <c r="AM95" s="256"/>
      <c r="AN95" s="1687">
        <v>-15301342.633378096</v>
      </c>
      <c r="AO95" s="1688">
        <v>-15301342.633378096</v>
      </c>
      <c r="AP95" s="256"/>
      <c r="AQ95" s="1687">
        <v>-15301342.633378096</v>
      </c>
      <c r="AR95" s="1688">
        <v>-15301342.6333781</v>
      </c>
      <c r="AS95" s="256"/>
      <c r="AT95" s="1687">
        <v>-15301342.633378096</v>
      </c>
      <c r="AU95" s="1687">
        <v>-15301342.6333781</v>
      </c>
      <c r="AV95" s="256"/>
      <c r="AW95" s="1687">
        <v>-15301342.633378096</v>
      </c>
      <c r="AX95" s="1687">
        <v>-15301342.633378096</v>
      </c>
      <c r="AY95" s="256"/>
      <c r="AZ95" s="1687">
        <v>-17475604.077408329</v>
      </c>
      <c r="BA95" s="1687">
        <v>-17475604.077408332</v>
      </c>
      <c r="BB95" s="256"/>
      <c r="BC95" s="1687">
        <v>-17475604.077408329</v>
      </c>
      <c r="BD95" s="1687">
        <v>-17475604.077408332</v>
      </c>
      <c r="BE95" s="256"/>
      <c r="BF95" s="1687">
        <v>-17475604.077408329</v>
      </c>
      <c r="BG95" s="1687">
        <v>-17475604.077408332</v>
      </c>
      <c r="BH95" s="256"/>
      <c r="BI95" s="1687">
        <v>-17475604.077408329</v>
      </c>
      <c r="BJ95" s="1687">
        <v>-17475604.077408329</v>
      </c>
      <c r="BK95" s="256"/>
      <c r="BL95" s="1687">
        <v>-17475604.077408329</v>
      </c>
      <c r="BM95" s="1687">
        <v>-17475604.077408329</v>
      </c>
      <c r="BN95" s="256"/>
      <c r="BO95" s="1687">
        <v>-17475604.077408329</v>
      </c>
      <c r="BP95" s="1687">
        <v>-17475604.077408329</v>
      </c>
      <c r="BQ95" s="256"/>
      <c r="BR95" s="1687">
        <v>-17475604.077408329</v>
      </c>
      <c r="BS95" s="1687">
        <v>-17475604.077408329</v>
      </c>
      <c r="BT95" s="256"/>
      <c r="BU95" s="1687">
        <v>-17475604.077408329</v>
      </c>
      <c r="BV95" s="1687">
        <v>-17475604.077408321</v>
      </c>
      <c r="BW95" s="256"/>
      <c r="BX95" s="1687">
        <v>-17475604.077408329</v>
      </c>
      <c r="BY95" s="1687">
        <v>-17475604.077408332</v>
      </c>
      <c r="BZ95" s="256"/>
      <c r="CA95" s="1687">
        <v>-17475604.077408329</v>
      </c>
      <c r="CB95" s="1687">
        <v>-17475604.077408325</v>
      </c>
      <c r="CC95" s="256"/>
      <c r="CD95" s="1687">
        <v>-17475604.077408329</v>
      </c>
      <c r="CE95" s="1687">
        <v>-17475604.077408325</v>
      </c>
      <c r="CF95" s="256"/>
      <c r="CG95" s="1687">
        <v>-17475604.077408329</v>
      </c>
      <c r="CH95" s="1687">
        <v>-17475604.077408329</v>
      </c>
      <c r="CI95" s="1684">
        <f t="shared" si="9"/>
        <v>0</v>
      </c>
      <c r="CJ95" s="1687">
        <v>-17475604.077408329</v>
      </c>
      <c r="CK95" s="1687">
        <v>-17475604.077408329</v>
      </c>
      <c r="CL95" s="256"/>
      <c r="CM95" s="1687">
        <v>-17475604.077408329</v>
      </c>
      <c r="CN95" s="1687">
        <v>-17475604.077408329</v>
      </c>
      <c r="CO95" s="256"/>
      <c r="CP95" s="787">
        <v>-17475604.077408329</v>
      </c>
      <c r="CQ95" s="1687">
        <v>-17475604.077408329</v>
      </c>
      <c r="CR95" s="256"/>
      <c r="CS95" s="787">
        <v>-17475604.077408329</v>
      </c>
      <c r="CT95" s="1687">
        <v>-17475604.077408329</v>
      </c>
      <c r="CU95" s="256"/>
      <c r="CV95" s="1687">
        <v>-15464912.93187424</v>
      </c>
      <c r="CW95" s="1687">
        <v>-15464912.931874238</v>
      </c>
      <c r="CX95" s="256"/>
      <c r="CY95" s="1687"/>
      <c r="CZ95" s="1687"/>
    </row>
    <row r="96" spans="1:104">
      <c r="A96" s="260">
        <f>A95+1</f>
        <v>89</v>
      </c>
      <c r="B96" s="581"/>
      <c r="C96" s="864" t="s">
        <v>511</v>
      </c>
      <c r="D96" s="264"/>
      <c r="E96" s="583" t="s">
        <v>23</v>
      </c>
      <c r="F96" s="264"/>
      <c r="G96" s="622">
        <f>'Sched M-1'!$G$74</f>
        <v>-48778735.358000003</v>
      </c>
      <c r="H96" s="29"/>
      <c r="I96" s="1229" t="s">
        <v>23</v>
      </c>
      <c r="J96" s="29"/>
      <c r="K96" s="622">
        <f ca="1">'Sched M-1'!$K$74</f>
        <v>-65628033.660307489</v>
      </c>
      <c r="M96" s="1630" t="s">
        <v>1528</v>
      </c>
      <c r="N96" s="1614">
        <f ca="1">SUM(N92:N95)</f>
        <v>-44971040.795839027</v>
      </c>
      <c r="O96" s="1614">
        <v>-59106741.983569153</v>
      </c>
      <c r="Q96" s="1695">
        <v>-57038948.691888459</v>
      </c>
      <c r="R96" s="256"/>
      <c r="S96" s="1695">
        <v>-57038948.720591865</v>
      </c>
      <c r="T96" s="1696">
        <v>-51623194.193582349</v>
      </c>
      <c r="U96" s="256"/>
      <c r="V96" s="1695">
        <v>-57038947.224426843</v>
      </c>
      <c r="W96" s="1696">
        <v>-51623192.902367733</v>
      </c>
      <c r="X96" s="256"/>
      <c r="Y96" s="1695">
        <v>-57038898.050708972</v>
      </c>
      <c r="Z96" s="1696">
        <v>-51623201.455145404</v>
      </c>
      <c r="AA96" s="256"/>
      <c r="AB96" s="1695">
        <v>-57038938.872931756</v>
      </c>
      <c r="AC96" s="1696">
        <v>-51622807.007105745</v>
      </c>
      <c r="AD96" s="256"/>
      <c r="AE96" s="1695">
        <v>-57038976.662161343</v>
      </c>
      <c r="AF96" s="1696">
        <v>-51622839.619447827</v>
      </c>
      <c r="AG96" s="256"/>
      <c r="AH96" s="1695">
        <v>-57039680.903808236</v>
      </c>
      <c r="AI96" s="1696">
        <v>-51623447.384404786</v>
      </c>
      <c r="AJ96" s="256"/>
      <c r="AK96" s="1695">
        <v>-57039858.185609668</v>
      </c>
      <c r="AL96" s="1696">
        <v>-51623541.122414015</v>
      </c>
      <c r="AM96" s="256"/>
      <c r="AN96" s="1695">
        <v>-57039925.986641869</v>
      </c>
      <c r="AO96" s="1696">
        <v>-51623633.573785312</v>
      </c>
      <c r="AP96" s="256"/>
      <c r="AQ96" s="1695">
        <v>-57040641.887851357</v>
      </c>
      <c r="AR96" s="1696">
        <v>-51624251.400543645</v>
      </c>
      <c r="AS96" s="256"/>
      <c r="AT96" s="1695">
        <v>-56860306.790187173</v>
      </c>
      <c r="AU96" s="1695">
        <v>-51468621.199998558</v>
      </c>
      <c r="AV96" s="256"/>
      <c r="AW96" s="1695">
        <v>-56860399.590689771</v>
      </c>
      <c r="AX96" s="1695">
        <v>-51468701.287352696</v>
      </c>
      <c r="AY96" s="256"/>
      <c r="AZ96" s="1695">
        <v>-59035776.655969404</v>
      </c>
      <c r="BA96" s="1695">
        <v>-53643925.518777207</v>
      </c>
      <c r="BB96" s="256"/>
      <c r="BC96" s="1695">
        <v>-59035776.655969404</v>
      </c>
      <c r="BD96" s="1695">
        <v>-53643925.518777207</v>
      </c>
      <c r="BE96" s="256"/>
      <c r="BF96" s="1695">
        <v>-59036103.726493515</v>
      </c>
      <c r="BG96" s="1695">
        <v>-53644207.782473624</v>
      </c>
      <c r="BH96" s="256"/>
      <c r="BI96" s="1695">
        <v>-59036422.929892503</v>
      </c>
      <c r="BJ96" s="1695">
        <v>-53644483.256796934</v>
      </c>
      <c r="BK96" s="256"/>
      <c r="BL96" s="1695">
        <v>-59036692.73712223</v>
      </c>
      <c r="BM96" s="1695">
        <v>-53644716.101949178</v>
      </c>
      <c r="BN96" s="256"/>
      <c r="BO96" s="1695">
        <v>-59271458.407036386</v>
      </c>
      <c r="BP96" s="1695">
        <v>-53847214.57385961</v>
      </c>
      <c r="BQ96" s="256"/>
      <c r="BR96" s="1695">
        <v>-59273550.459545083</v>
      </c>
      <c r="BS96" s="1695">
        <v>-53849020.021133572</v>
      </c>
      <c r="BT96" s="256"/>
      <c r="BU96" s="1695">
        <v>-67193235.290361568</v>
      </c>
      <c r="BV96" s="1695">
        <v>-60683730.588379465</v>
      </c>
      <c r="BW96" s="256"/>
      <c r="BX96" s="1695">
        <v>-67193104.802287281</v>
      </c>
      <c r="BY96" s="1695">
        <v>-60683617.976799682</v>
      </c>
      <c r="BZ96" s="256"/>
      <c r="CA96" s="1695">
        <v>-67107508.662320152</v>
      </c>
      <c r="CB96" s="1695">
        <v>-60657154.135284588</v>
      </c>
      <c r="CC96" s="256"/>
      <c r="CD96" s="1695">
        <v>-67107508.662320152</v>
      </c>
      <c r="CE96" s="1695">
        <v>-60657154.135284588</v>
      </c>
      <c r="CF96" s="256"/>
      <c r="CG96" s="1695">
        <v>-67107548.58995346</v>
      </c>
      <c r="CH96" s="1695">
        <v>-60657188.633992881</v>
      </c>
      <c r="CI96" s="1684">
        <f t="shared" si="9"/>
        <v>-34.498708292841911</v>
      </c>
      <c r="CJ96" s="1695">
        <v>-67107548.58995346</v>
      </c>
      <c r="CK96" s="1695">
        <v>-60657188.633992881</v>
      </c>
      <c r="CL96" s="256"/>
      <c r="CM96" s="1695">
        <v>-67108259.873502553</v>
      </c>
      <c r="CN96" s="1695">
        <v>-60658343.086870238</v>
      </c>
      <c r="CO96" s="256"/>
      <c r="CP96" s="622">
        <v>-67107887.781686597</v>
      </c>
      <c r="CQ96" s="1695">
        <v>-60658021.583693221</v>
      </c>
      <c r="CR96" s="256"/>
      <c r="CS96" s="622">
        <v>-67108049.04818362</v>
      </c>
      <c r="CT96" s="1695">
        <v>-60658898.187681809</v>
      </c>
      <c r="CU96" s="256"/>
      <c r="CV96" s="1695">
        <v>-65628033.660307489</v>
      </c>
      <c r="CW96" s="1695">
        <v>-59106741.983569153</v>
      </c>
      <c r="CX96" s="256"/>
      <c r="CY96" s="1695"/>
      <c r="CZ96" s="1695"/>
    </row>
    <row r="97" spans="1:104">
      <c r="A97" s="260">
        <f t="shared" si="10"/>
        <v>90</v>
      </c>
      <c r="B97" s="581"/>
      <c r="C97" s="255"/>
      <c r="D97" s="264"/>
      <c r="E97" s="268"/>
      <c r="F97" s="264"/>
      <c r="G97" s="361"/>
      <c r="H97" s="29"/>
      <c r="I97" s="882"/>
      <c r="J97" s="29"/>
      <c r="K97" s="54"/>
      <c r="M97" s="1624"/>
      <c r="N97" s="1113"/>
      <c r="O97" s="1113"/>
      <c r="Q97" s="54"/>
      <c r="R97" s="256"/>
      <c r="S97" s="54"/>
      <c r="T97" s="1694"/>
      <c r="U97" s="256"/>
      <c r="V97" s="54"/>
      <c r="W97" s="1694"/>
      <c r="X97" s="256"/>
      <c r="Y97" s="54"/>
      <c r="Z97" s="1694"/>
      <c r="AA97" s="256"/>
      <c r="AB97" s="54"/>
      <c r="AC97" s="1694"/>
      <c r="AD97" s="256"/>
      <c r="AE97" s="54"/>
      <c r="AF97" s="1694"/>
      <c r="AG97" s="256"/>
      <c r="AH97" s="54"/>
      <c r="AI97" s="1694"/>
      <c r="AJ97" s="256"/>
      <c r="AK97" s="54"/>
      <c r="AL97" s="1694"/>
      <c r="AM97" s="256"/>
      <c r="AN97" s="54"/>
      <c r="AO97" s="1694"/>
      <c r="AP97" s="256"/>
      <c r="AQ97" s="54"/>
      <c r="AR97" s="1694"/>
      <c r="AS97" s="256"/>
      <c r="AT97" s="54"/>
      <c r="AU97" s="54"/>
      <c r="AV97" s="256"/>
      <c r="AW97" s="54"/>
      <c r="AX97" s="54"/>
      <c r="AY97" s="256"/>
      <c r="AZ97" s="54"/>
      <c r="BA97" s="54"/>
      <c r="BB97" s="256"/>
      <c r="BC97" s="54"/>
      <c r="BD97" s="54"/>
      <c r="BE97" s="256"/>
      <c r="BF97" s="54"/>
      <c r="BG97" s="54"/>
      <c r="BH97" s="256"/>
      <c r="BI97" s="54"/>
      <c r="BJ97" s="54"/>
      <c r="BK97" s="256"/>
      <c r="BL97" s="54"/>
      <c r="BM97" s="54"/>
      <c r="BN97" s="256"/>
      <c r="BO97" s="54"/>
      <c r="BP97" s="54"/>
      <c r="BQ97" s="256"/>
      <c r="BR97" s="54"/>
      <c r="BS97" s="54"/>
      <c r="BT97" s="256"/>
      <c r="BU97" s="54"/>
      <c r="BV97" s="54"/>
      <c r="BW97" s="256"/>
      <c r="BX97" s="54"/>
      <c r="BY97" s="54"/>
      <c r="BZ97" s="256"/>
      <c r="CA97" s="54"/>
      <c r="CB97" s="54"/>
      <c r="CC97" s="256"/>
      <c r="CD97" s="54"/>
      <c r="CE97" s="54"/>
      <c r="CF97" s="256"/>
      <c r="CG97" s="54"/>
      <c r="CH97" s="54"/>
      <c r="CI97" s="1684">
        <f t="shared" si="9"/>
        <v>0</v>
      </c>
      <c r="CJ97" s="54"/>
      <c r="CK97" s="54"/>
      <c r="CL97" s="256"/>
      <c r="CM97" s="54"/>
      <c r="CN97" s="54"/>
      <c r="CO97" s="256"/>
      <c r="CP97" s="54"/>
      <c r="CQ97" s="54"/>
      <c r="CR97" s="256"/>
      <c r="CS97" s="54"/>
      <c r="CT97" s="54"/>
      <c r="CU97" s="256"/>
      <c r="CV97" s="54"/>
      <c r="CW97" s="54"/>
      <c r="CX97" s="256"/>
      <c r="CY97" s="54"/>
      <c r="CZ97" s="54"/>
    </row>
    <row r="98" spans="1:104">
      <c r="A98" s="260">
        <f t="shared" si="10"/>
        <v>91</v>
      </c>
      <c r="B98" s="260"/>
      <c r="C98" s="584" t="s">
        <v>161</v>
      </c>
      <c r="D98" s="290"/>
      <c r="E98" s="589"/>
      <c r="F98" s="290"/>
      <c r="G98" s="743">
        <f ca="1">+G81+G89+G96</f>
        <v>525867609.38193923</v>
      </c>
      <c r="H98" s="319"/>
      <c r="I98" s="320"/>
      <c r="J98" s="319"/>
      <c r="K98" s="313">
        <f ca="1">+K81+K89+K96</f>
        <v>586098201.85827959</v>
      </c>
      <c r="M98" s="1630" t="s">
        <v>1528</v>
      </c>
      <c r="N98" s="1110">
        <f ca="1">+N81+N89+N96</f>
        <v>450132278.01487595</v>
      </c>
      <c r="O98" s="1110">
        <v>504184926.92369127</v>
      </c>
      <c r="Q98" s="313">
        <v>586160478.06823134</v>
      </c>
      <c r="R98" s="256"/>
      <c r="S98" s="313">
        <v>586160207.5636133</v>
      </c>
      <c r="T98" s="1704">
        <v>503631545.76956171</v>
      </c>
      <c r="U98" s="256"/>
      <c r="V98" s="313">
        <v>586160290.12826955</v>
      </c>
      <c r="W98" s="1704">
        <v>503631617.69074732</v>
      </c>
      <c r="X98" s="256"/>
      <c r="Y98" s="313">
        <v>586161707.9501158</v>
      </c>
      <c r="Z98" s="1704">
        <v>503633659.06337595</v>
      </c>
      <c r="AA98" s="256"/>
      <c r="AB98" s="313">
        <v>586162389.23162031</v>
      </c>
      <c r="AC98" s="1704">
        <v>503627456.70066857</v>
      </c>
      <c r="AD98" s="256"/>
      <c r="AE98" s="313">
        <v>586163019.88454056</v>
      </c>
      <c r="AF98" s="1704">
        <v>503628006.4191317</v>
      </c>
      <c r="AG98" s="256"/>
      <c r="AH98" s="313">
        <v>586162024.68772686</v>
      </c>
      <c r="AI98" s="1704">
        <v>503627145.18099606</v>
      </c>
      <c r="AJ98" s="256"/>
      <c r="AK98" s="313">
        <v>586164983.25441694</v>
      </c>
      <c r="AL98" s="1704">
        <v>503628786.77336246</v>
      </c>
      <c r="AM98" s="256"/>
      <c r="AN98" s="313">
        <v>586161243.99603462</v>
      </c>
      <c r="AO98" s="1704">
        <v>503626066.60765743</v>
      </c>
      <c r="AP98" s="256"/>
      <c r="AQ98" s="313">
        <v>586173191.31177068</v>
      </c>
      <c r="AR98" s="1704">
        <v>503636480.6198228</v>
      </c>
      <c r="AS98" s="256"/>
      <c r="AT98" s="313">
        <v>586353527.01501048</v>
      </c>
      <c r="AU98" s="313">
        <v>503792111.34792829</v>
      </c>
      <c r="AV98" s="256"/>
      <c r="AW98" s="313">
        <v>586355075.74529672</v>
      </c>
      <c r="AX98" s="313">
        <v>503793461.31609082</v>
      </c>
      <c r="AY98" s="256"/>
      <c r="AZ98" s="313">
        <v>584180936.75151372</v>
      </c>
      <c r="BA98" s="313">
        <v>501619315.65777957</v>
      </c>
      <c r="BB98" s="256"/>
      <c r="BC98" s="313">
        <v>584180936.75151372</v>
      </c>
      <c r="BD98" s="313">
        <v>501619315.65777957</v>
      </c>
      <c r="BE98" s="256"/>
      <c r="BF98" s="313">
        <v>584186395.05508983</v>
      </c>
      <c r="BG98" s="313">
        <v>501624073.44950211</v>
      </c>
      <c r="BH98" s="256"/>
      <c r="BI98" s="313">
        <v>584191722.1031239</v>
      </c>
      <c r="BJ98" s="313">
        <v>501628716.83083779</v>
      </c>
      <c r="BK98" s="256"/>
      <c r="BL98" s="313">
        <v>584196224.77529871</v>
      </c>
      <c r="BM98" s="313">
        <v>501632641.6356951</v>
      </c>
      <c r="BN98" s="256"/>
      <c r="BO98" s="313">
        <v>584708958.58516836</v>
      </c>
      <c r="BP98" s="313">
        <v>502073518.42919606</v>
      </c>
      <c r="BQ98" s="256"/>
      <c r="BR98" s="313">
        <v>584701418.97837627</v>
      </c>
      <c r="BS98" s="313">
        <v>502066967.22563922</v>
      </c>
      <c r="BT98" s="256"/>
      <c r="BU98" s="313">
        <v>576781704.38418067</v>
      </c>
      <c r="BV98" s="313">
        <v>495232230.72937334</v>
      </c>
      <c r="BW98" s="256"/>
      <c r="BX98" s="313">
        <v>576781651.25146985</v>
      </c>
      <c r="BY98" s="313">
        <v>495232183.37568259</v>
      </c>
      <c r="BZ98" s="256"/>
      <c r="CA98" s="313">
        <v>584659956.56479096</v>
      </c>
      <c r="CB98" s="313">
        <v>502652422.48278922</v>
      </c>
      <c r="CC98" s="256"/>
      <c r="CD98" s="313">
        <v>584659956.56479096</v>
      </c>
      <c r="CE98" s="313">
        <v>502652422.48278922</v>
      </c>
      <c r="CF98" s="256"/>
      <c r="CG98" s="313">
        <v>584660622.83814991</v>
      </c>
      <c r="CH98" s="313">
        <v>502653003.62958616</v>
      </c>
      <c r="CI98" s="1684">
        <f t="shared" si="9"/>
        <v>581.1467969417572</v>
      </c>
      <c r="CJ98" s="313">
        <v>584660622.83814991</v>
      </c>
      <c r="CK98" s="313">
        <v>502653003.62958616</v>
      </c>
      <c r="CL98" s="256"/>
      <c r="CM98" s="313">
        <v>584621385.59830976</v>
      </c>
      <c r="CN98" s="313">
        <v>502625887.51786774</v>
      </c>
      <c r="CO98" s="256"/>
      <c r="CP98" s="313">
        <v>584615176.38402021</v>
      </c>
      <c r="CQ98" s="313">
        <v>502620471.1496129</v>
      </c>
      <c r="CR98" s="256"/>
      <c r="CS98" s="313">
        <v>584617867.50225306</v>
      </c>
      <c r="CT98" s="313">
        <v>502632492.59738082</v>
      </c>
      <c r="CU98" s="256"/>
      <c r="CV98" s="313">
        <v>586098201.85827959</v>
      </c>
      <c r="CW98" s="313">
        <v>504184926.92369127</v>
      </c>
      <c r="CX98" s="256"/>
      <c r="CY98" s="313"/>
      <c r="CZ98" s="313"/>
    </row>
    <row r="99" spans="1:104">
      <c r="A99" s="260">
        <f t="shared" si="10"/>
        <v>92</v>
      </c>
      <c r="B99" s="260"/>
      <c r="D99" s="266"/>
      <c r="E99" s="268"/>
      <c r="F99" s="264"/>
      <c r="G99" s="361"/>
      <c r="H99" s="29"/>
      <c r="I99" s="24"/>
      <c r="J99" s="29"/>
      <c r="K99" s="29"/>
      <c r="M99" s="1624"/>
      <c r="N99" s="1113"/>
      <c r="O99" s="1113"/>
      <c r="Q99" s="29"/>
      <c r="R99" s="256"/>
      <c r="S99" s="29"/>
      <c r="T99" s="1697"/>
      <c r="U99" s="256"/>
      <c r="V99" s="29"/>
      <c r="W99" s="1697"/>
      <c r="X99" s="256"/>
      <c r="Y99" s="29"/>
      <c r="Z99" s="1697"/>
      <c r="AA99" s="256"/>
      <c r="AB99" s="29"/>
      <c r="AC99" s="1697"/>
      <c r="AD99" s="256"/>
      <c r="AE99" s="29"/>
      <c r="AF99" s="1697"/>
      <c r="AG99" s="256"/>
      <c r="AH99" s="29"/>
      <c r="AI99" s="1697"/>
      <c r="AJ99" s="256"/>
      <c r="AK99" s="29"/>
      <c r="AL99" s="1697"/>
      <c r="AM99" s="256"/>
      <c r="AN99" s="29"/>
      <c r="AO99" s="1697"/>
      <c r="AP99" s="256"/>
      <c r="AQ99" s="29"/>
      <c r="AR99" s="1697"/>
      <c r="AS99" s="256"/>
      <c r="AT99" s="29"/>
      <c r="AU99" s="29"/>
      <c r="AV99" s="256"/>
      <c r="AW99" s="29"/>
      <c r="AX99" s="29"/>
      <c r="AY99" s="256"/>
      <c r="AZ99" s="29"/>
      <c r="BA99" s="29"/>
      <c r="BB99" s="256"/>
      <c r="BC99" s="29"/>
      <c r="BD99" s="29"/>
      <c r="BE99" s="256"/>
      <c r="BF99" s="29"/>
      <c r="BG99" s="29"/>
      <c r="BH99" s="256"/>
      <c r="BI99" s="29"/>
      <c r="BJ99" s="29"/>
      <c r="BK99" s="256"/>
      <c r="BL99" s="29"/>
      <c r="BM99" s="29"/>
      <c r="BN99" s="256"/>
      <c r="BO99" s="29"/>
      <c r="BP99" s="29"/>
      <c r="BQ99" s="256"/>
      <c r="BR99" s="29"/>
      <c r="BS99" s="29"/>
      <c r="BT99" s="256"/>
      <c r="BU99" s="29"/>
      <c r="BV99" s="29"/>
      <c r="BW99" s="256"/>
      <c r="BX99" s="29"/>
      <c r="BY99" s="29"/>
      <c r="BZ99" s="256"/>
      <c r="CA99" s="29"/>
      <c r="CB99" s="29"/>
      <c r="CC99" s="256"/>
      <c r="CD99" s="29"/>
      <c r="CE99" s="29"/>
      <c r="CF99" s="256"/>
      <c r="CG99" s="29"/>
      <c r="CH99" s="29"/>
      <c r="CI99" s="1684">
        <f t="shared" si="9"/>
        <v>0</v>
      </c>
      <c r="CJ99" s="29"/>
      <c r="CK99" s="29"/>
      <c r="CL99" s="256"/>
      <c r="CM99" s="29"/>
      <c r="CN99" s="29"/>
      <c r="CO99" s="256"/>
      <c r="CP99" s="29"/>
      <c r="CQ99" s="29"/>
      <c r="CR99" s="256"/>
      <c r="CS99" s="29"/>
      <c r="CT99" s="29"/>
      <c r="CU99" s="256"/>
      <c r="CV99" s="29"/>
      <c r="CW99" s="29"/>
      <c r="CX99" s="256"/>
      <c r="CY99" s="29"/>
      <c r="CZ99" s="29"/>
    </row>
    <row r="100" spans="1:104">
      <c r="A100" s="260">
        <f t="shared" si="10"/>
        <v>93</v>
      </c>
      <c r="B100" s="260"/>
      <c r="C100" s="275" t="s">
        <v>162</v>
      </c>
      <c r="D100" s="266"/>
      <c r="E100" s="268"/>
      <c r="F100" s="264"/>
      <c r="G100" s="361"/>
      <c r="H100" s="29"/>
      <c r="I100" s="24"/>
      <c r="J100" s="29"/>
      <c r="K100" s="29"/>
      <c r="M100" s="1624"/>
      <c r="N100" s="1113"/>
      <c r="O100" s="1113"/>
      <c r="Q100" s="29"/>
      <c r="R100" s="256"/>
      <c r="S100" s="29"/>
      <c r="T100" s="1697"/>
      <c r="U100" s="256"/>
      <c r="V100" s="29"/>
      <c r="W100" s="1697"/>
      <c r="X100" s="256"/>
      <c r="Y100" s="29"/>
      <c r="Z100" s="1697"/>
      <c r="AA100" s="256"/>
      <c r="AB100" s="29"/>
      <c r="AC100" s="1697"/>
      <c r="AD100" s="256"/>
      <c r="AE100" s="29"/>
      <c r="AF100" s="1697"/>
      <c r="AG100" s="256"/>
      <c r="AH100" s="29"/>
      <c r="AI100" s="1697"/>
      <c r="AJ100" s="256"/>
      <c r="AK100" s="29"/>
      <c r="AL100" s="1697"/>
      <c r="AM100" s="256"/>
      <c r="AN100" s="29"/>
      <c r="AO100" s="1697"/>
      <c r="AP100" s="256"/>
      <c r="AQ100" s="29"/>
      <c r="AR100" s="1697"/>
      <c r="AS100" s="256"/>
      <c r="AT100" s="29"/>
      <c r="AU100" s="29"/>
      <c r="AV100" s="256"/>
      <c r="AW100" s="29"/>
      <c r="AX100" s="29"/>
      <c r="AY100" s="256"/>
      <c r="AZ100" s="29"/>
      <c r="BA100" s="29"/>
      <c r="BB100" s="256"/>
      <c r="BC100" s="29"/>
      <c r="BD100" s="29"/>
      <c r="BE100" s="256"/>
      <c r="BF100" s="29"/>
      <c r="BG100" s="29"/>
      <c r="BH100" s="256"/>
      <c r="BI100" s="29"/>
      <c r="BJ100" s="29"/>
      <c r="BK100" s="256"/>
      <c r="BL100" s="29"/>
      <c r="BM100" s="29"/>
      <c r="BN100" s="256"/>
      <c r="BO100" s="29"/>
      <c r="BP100" s="29"/>
      <c r="BQ100" s="256"/>
      <c r="BR100" s="29"/>
      <c r="BS100" s="29"/>
      <c r="BT100" s="256"/>
      <c r="BU100" s="29"/>
      <c r="BV100" s="29"/>
      <c r="BW100" s="256"/>
      <c r="BX100" s="29"/>
      <c r="BY100" s="29"/>
      <c r="BZ100" s="256"/>
      <c r="CA100" s="29"/>
      <c r="CB100" s="29"/>
      <c r="CC100" s="256"/>
      <c r="CD100" s="29"/>
      <c r="CE100" s="29"/>
      <c r="CF100" s="256"/>
      <c r="CG100" s="29"/>
      <c r="CH100" s="29"/>
      <c r="CI100" s="1684">
        <f t="shared" si="9"/>
        <v>0</v>
      </c>
      <c r="CJ100" s="29"/>
      <c r="CK100" s="29"/>
      <c r="CL100" s="256"/>
      <c r="CM100" s="29"/>
      <c r="CN100" s="29"/>
      <c r="CO100" s="256"/>
      <c r="CP100" s="29"/>
      <c r="CQ100" s="29"/>
      <c r="CR100" s="256"/>
      <c r="CS100" s="29"/>
      <c r="CT100" s="29"/>
      <c r="CU100" s="256"/>
      <c r="CV100" s="29"/>
      <c r="CW100" s="29"/>
      <c r="CX100" s="256"/>
      <c r="CY100" s="29"/>
      <c r="CZ100" s="29"/>
    </row>
    <row r="101" spans="1:104">
      <c r="A101" s="260">
        <f t="shared" si="10"/>
        <v>94</v>
      </c>
      <c r="B101" s="260"/>
      <c r="D101" s="266"/>
      <c r="E101" s="268"/>
      <c r="F101" s="264"/>
      <c r="G101" s="361"/>
      <c r="H101" s="29"/>
      <c r="I101" s="24"/>
      <c r="J101" s="29"/>
      <c r="K101" s="29"/>
      <c r="M101" s="1624"/>
      <c r="N101" s="1113"/>
      <c r="O101" s="1113"/>
      <c r="Q101" s="29"/>
      <c r="R101" s="256"/>
      <c r="S101" s="29"/>
      <c r="T101" s="1697"/>
      <c r="U101" s="256"/>
      <c r="V101" s="29"/>
      <c r="W101" s="1697"/>
      <c r="X101" s="256"/>
      <c r="Y101" s="29"/>
      <c r="Z101" s="1697"/>
      <c r="AA101" s="256"/>
      <c r="AB101" s="29"/>
      <c r="AC101" s="1697"/>
      <c r="AD101" s="256"/>
      <c r="AE101" s="29"/>
      <c r="AF101" s="1697"/>
      <c r="AG101" s="256"/>
      <c r="AH101" s="29"/>
      <c r="AI101" s="1697"/>
      <c r="AJ101" s="256"/>
      <c r="AK101" s="29"/>
      <c r="AL101" s="1697"/>
      <c r="AM101" s="256"/>
      <c r="AN101" s="29"/>
      <c r="AO101" s="1697"/>
      <c r="AP101" s="256"/>
      <c r="AQ101" s="29"/>
      <c r="AR101" s="1697"/>
      <c r="AS101" s="256"/>
      <c r="AT101" s="29"/>
      <c r="AU101" s="29"/>
      <c r="AV101" s="256"/>
      <c r="AW101" s="29"/>
      <c r="AX101" s="29"/>
      <c r="AY101" s="256"/>
      <c r="AZ101" s="29"/>
      <c r="BA101" s="29"/>
      <c r="BB101" s="256"/>
      <c r="BC101" s="29"/>
      <c r="BD101" s="29"/>
      <c r="BE101" s="256"/>
      <c r="BF101" s="29"/>
      <c r="BG101" s="29"/>
      <c r="BH101" s="256"/>
      <c r="BI101" s="29"/>
      <c r="BJ101" s="29"/>
      <c r="BK101" s="256"/>
      <c r="BL101" s="29"/>
      <c r="BM101" s="29"/>
      <c r="BN101" s="256"/>
      <c r="BO101" s="29"/>
      <c r="BP101" s="29"/>
      <c r="BQ101" s="256"/>
      <c r="BR101" s="29"/>
      <c r="BS101" s="29"/>
      <c r="BT101" s="256"/>
      <c r="BU101" s="29"/>
      <c r="BV101" s="29"/>
      <c r="BW101" s="256"/>
      <c r="BX101" s="29"/>
      <c r="BY101" s="29"/>
      <c r="BZ101" s="256"/>
      <c r="CA101" s="29"/>
      <c r="CB101" s="29"/>
      <c r="CC101" s="256"/>
      <c r="CD101" s="29"/>
      <c r="CE101" s="29"/>
      <c r="CF101" s="256"/>
      <c r="CG101" s="29"/>
      <c r="CH101" s="29"/>
      <c r="CI101" s="1684">
        <f t="shared" si="9"/>
        <v>0</v>
      </c>
      <c r="CJ101" s="29"/>
      <c r="CK101" s="29"/>
      <c r="CL101" s="256"/>
      <c r="CM101" s="29"/>
      <c r="CN101" s="29"/>
      <c r="CO101" s="256"/>
      <c r="CP101" s="29"/>
      <c r="CQ101" s="29"/>
      <c r="CR101" s="256"/>
      <c r="CS101" s="29"/>
      <c r="CT101" s="29"/>
      <c r="CU101" s="256"/>
      <c r="CV101" s="29"/>
      <c r="CW101" s="29"/>
      <c r="CX101" s="256"/>
      <c r="CY101" s="29"/>
      <c r="CZ101" s="29"/>
    </row>
    <row r="102" spans="1:104">
      <c r="A102" s="260">
        <f t="shared" si="10"/>
        <v>95</v>
      </c>
      <c r="B102" s="254"/>
      <c r="C102" s="67" t="s">
        <v>696</v>
      </c>
      <c r="D102" s="266"/>
      <c r="E102" s="268"/>
      <c r="F102" s="264"/>
      <c r="G102" s="361"/>
      <c r="H102" s="29"/>
      <c r="I102" s="738"/>
      <c r="J102" s="29"/>
      <c r="K102" s="29"/>
      <c r="M102" s="1624"/>
      <c r="N102" s="1113"/>
      <c r="O102" s="1113"/>
      <c r="Q102" s="29"/>
      <c r="R102" s="256"/>
      <c r="S102" s="29"/>
      <c r="T102" s="1697"/>
      <c r="U102" s="256"/>
      <c r="V102" s="29"/>
      <c r="W102" s="1697"/>
      <c r="X102" s="256"/>
      <c r="Y102" s="29"/>
      <c r="Z102" s="1697"/>
      <c r="AA102" s="256"/>
      <c r="AB102" s="29"/>
      <c r="AC102" s="1697"/>
      <c r="AD102" s="256"/>
      <c r="AE102" s="29"/>
      <c r="AF102" s="1697"/>
      <c r="AG102" s="256"/>
      <c r="AH102" s="29"/>
      <c r="AI102" s="1697"/>
      <c r="AJ102" s="256"/>
      <c r="AK102" s="29"/>
      <c r="AL102" s="1697"/>
      <c r="AM102" s="256"/>
      <c r="AN102" s="29"/>
      <c r="AO102" s="1697"/>
      <c r="AP102" s="256"/>
      <c r="AQ102" s="29"/>
      <c r="AR102" s="1697"/>
      <c r="AS102" s="256"/>
      <c r="AT102" s="29"/>
      <c r="AU102" s="29"/>
      <c r="AV102" s="256"/>
      <c r="AW102" s="29"/>
      <c r="AX102" s="29"/>
      <c r="AY102" s="256"/>
      <c r="AZ102" s="29"/>
      <c r="BA102" s="29"/>
      <c r="BB102" s="256"/>
      <c r="BC102" s="29"/>
      <c r="BD102" s="29"/>
      <c r="BE102" s="256"/>
      <c r="BF102" s="29"/>
      <c r="BG102" s="29"/>
      <c r="BH102" s="256"/>
      <c r="BI102" s="29"/>
      <c r="BJ102" s="29"/>
      <c r="BK102" s="256"/>
      <c r="BL102" s="29"/>
      <c r="BM102" s="29"/>
      <c r="BN102" s="256"/>
      <c r="BO102" s="29"/>
      <c r="BP102" s="29"/>
      <c r="BQ102" s="256"/>
      <c r="BR102" s="29"/>
      <c r="BS102" s="29"/>
      <c r="BT102" s="256"/>
      <c r="BU102" s="29"/>
      <c r="BV102" s="29"/>
      <c r="BW102" s="256"/>
      <c r="BX102" s="29"/>
      <c r="BY102" s="29"/>
      <c r="BZ102" s="256"/>
      <c r="CA102" s="29"/>
      <c r="CB102" s="29"/>
      <c r="CC102" s="256"/>
      <c r="CD102" s="29"/>
      <c r="CE102" s="29"/>
      <c r="CF102" s="256"/>
      <c r="CG102" s="29"/>
      <c r="CH102" s="29"/>
      <c r="CI102" s="1684">
        <f t="shared" si="9"/>
        <v>0</v>
      </c>
      <c r="CJ102" s="29"/>
      <c r="CK102" s="29"/>
      <c r="CL102" s="256"/>
      <c r="CM102" s="29"/>
      <c r="CN102" s="29"/>
      <c r="CO102" s="256"/>
      <c r="CP102" s="29"/>
      <c r="CQ102" s="29"/>
      <c r="CR102" s="256"/>
      <c r="CS102" s="29"/>
      <c r="CT102" s="29"/>
      <c r="CU102" s="256"/>
      <c r="CV102" s="29"/>
      <c r="CW102" s="29"/>
      <c r="CX102" s="256"/>
      <c r="CY102" s="29"/>
      <c r="CZ102" s="29"/>
    </row>
    <row r="103" spans="1:104" ht="13.5">
      <c r="A103" s="260">
        <f t="shared" si="10"/>
        <v>96</v>
      </c>
      <c r="B103" s="67"/>
      <c r="C103" s="318" t="s">
        <v>163</v>
      </c>
      <c r="D103" s="266"/>
      <c r="E103" s="268"/>
      <c r="F103" s="264"/>
      <c r="G103" s="361"/>
      <c r="H103" s="29"/>
      <c r="I103" s="738"/>
      <c r="J103" s="29"/>
      <c r="K103" s="29"/>
      <c r="M103" s="1624"/>
      <c r="N103" s="1113"/>
      <c r="O103" s="1113"/>
      <c r="Q103" s="29"/>
      <c r="R103" s="256"/>
      <c r="S103" s="29"/>
      <c r="T103" s="1697"/>
      <c r="U103" s="256"/>
      <c r="V103" s="29"/>
      <c r="W103" s="1697"/>
      <c r="X103" s="256"/>
      <c r="Y103" s="29"/>
      <c r="Z103" s="1697"/>
      <c r="AA103" s="256"/>
      <c r="AB103" s="29"/>
      <c r="AC103" s="1697"/>
      <c r="AD103" s="256"/>
      <c r="AE103" s="29"/>
      <c r="AF103" s="1697"/>
      <c r="AG103" s="256"/>
      <c r="AH103" s="29"/>
      <c r="AI103" s="1697"/>
      <c r="AJ103" s="256"/>
      <c r="AK103" s="29"/>
      <c r="AL103" s="1697"/>
      <c r="AM103" s="256"/>
      <c r="AN103" s="29"/>
      <c r="AO103" s="1697"/>
      <c r="AP103" s="256"/>
      <c r="AQ103" s="29"/>
      <c r="AR103" s="1697"/>
      <c r="AS103" s="256"/>
      <c r="AT103" s="29"/>
      <c r="AU103" s="29"/>
      <c r="AV103" s="256"/>
      <c r="AW103" s="29"/>
      <c r="AX103" s="29"/>
      <c r="AY103" s="256"/>
      <c r="AZ103" s="29"/>
      <c r="BA103" s="29"/>
      <c r="BB103" s="256"/>
      <c r="BC103" s="29"/>
      <c r="BD103" s="29"/>
      <c r="BE103" s="256"/>
      <c r="BF103" s="29"/>
      <c r="BG103" s="29"/>
      <c r="BH103" s="256"/>
      <c r="BI103" s="29"/>
      <c r="BJ103" s="29"/>
      <c r="BK103" s="256"/>
      <c r="BL103" s="29"/>
      <c r="BM103" s="29"/>
      <c r="BN103" s="256"/>
      <c r="BO103" s="29"/>
      <c r="BP103" s="29"/>
      <c r="BQ103" s="256"/>
      <c r="BR103" s="29"/>
      <c r="BS103" s="29"/>
      <c r="BT103" s="256"/>
      <c r="BU103" s="29"/>
      <c r="BV103" s="29"/>
      <c r="BW103" s="256"/>
      <c r="BX103" s="29"/>
      <c r="BY103" s="29"/>
      <c r="BZ103" s="256"/>
      <c r="CA103" s="29"/>
      <c r="CB103" s="29"/>
      <c r="CC103" s="256"/>
      <c r="CD103" s="29"/>
      <c r="CE103" s="29"/>
      <c r="CF103" s="256"/>
      <c r="CG103" s="29"/>
      <c r="CH103" s="29"/>
      <c r="CI103" s="1684">
        <f t="shared" si="9"/>
        <v>0</v>
      </c>
      <c r="CJ103" s="29"/>
      <c r="CK103" s="29"/>
      <c r="CL103" s="256"/>
      <c r="CM103" s="29"/>
      <c r="CN103" s="29"/>
      <c r="CO103" s="256"/>
      <c r="CP103" s="29"/>
      <c r="CQ103" s="29"/>
      <c r="CR103" s="256"/>
      <c r="CS103" s="29"/>
      <c r="CT103" s="29"/>
      <c r="CU103" s="256"/>
      <c r="CV103" s="29"/>
      <c r="CW103" s="29"/>
      <c r="CX103" s="256"/>
      <c r="CY103" s="29"/>
      <c r="CZ103" s="29"/>
    </row>
    <row r="104" spans="1:104">
      <c r="A104" s="260">
        <f t="shared" si="10"/>
        <v>97</v>
      </c>
      <c r="B104" s="260">
        <v>750</v>
      </c>
      <c r="C104" s="256" t="str">
        <f>'Stmt H'!D13</f>
        <v>Operation Supervision &amp; Engineering</v>
      </c>
      <c r="D104" s="266"/>
      <c r="E104" s="265" t="s">
        <v>276</v>
      </c>
      <c r="F104" s="264"/>
      <c r="G104" s="361">
        <f>'Stmt H'!F13</f>
        <v>0</v>
      </c>
      <c r="H104" s="29"/>
      <c r="I104" s="268" t="s">
        <v>276</v>
      </c>
      <c r="J104" s="29"/>
      <c r="K104" s="639">
        <f>'Stmt H'!$U13</f>
        <v>0</v>
      </c>
      <c r="M104" s="1624">
        <f t="shared" ref="M104:M113" si="11">IF(ISERROR(O104/K104),0,O104/K104)</f>
        <v>0</v>
      </c>
      <c r="N104" s="1113">
        <f t="shared" ref="N104:N113" si="12">M104*G104</f>
        <v>0</v>
      </c>
      <c r="O104" s="1113"/>
      <c r="Q104" s="1705">
        <v>0</v>
      </c>
      <c r="R104" s="256"/>
      <c r="S104" s="1705">
        <v>0</v>
      </c>
      <c r="T104" s="1706"/>
      <c r="U104" s="256"/>
      <c r="V104" s="1705">
        <v>0</v>
      </c>
      <c r="W104" s="1706"/>
      <c r="X104" s="256"/>
      <c r="Y104" s="1705">
        <v>0</v>
      </c>
      <c r="Z104" s="1706"/>
      <c r="AA104" s="256"/>
      <c r="AB104" s="1705">
        <v>0</v>
      </c>
      <c r="AC104" s="1706"/>
      <c r="AD104" s="256"/>
      <c r="AE104" s="1705">
        <v>0</v>
      </c>
      <c r="AF104" s="1706"/>
      <c r="AG104" s="256"/>
      <c r="AH104" s="1705">
        <v>0</v>
      </c>
      <c r="AI104" s="1706"/>
      <c r="AJ104" s="256"/>
      <c r="AK104" s="1705">
        <v>0</v>
      </c>
      <c r="AL104" s="1706"/>
      <c r="AM104" s="256"/>
      <c r="AN104" s="1705">
        <v>0</v>
      </c>
      <c r="AO104" s="1706"/>
      <c r="AP104" s="256"/>
      <c r="AQ104" s="1705">
        <v>0</v>
      </c>
      <c r="AR104" s="1706"/>
      <c r="AS104" s="256"/>
      <c r="AT104" s="1705">
        <v>0</v>
      </c>
      <c r="AU104" s="1705"/>
      <c r="AV104" s="256"/>
      <c r="AW104" s="1705">
        <v>0</v>
      </c>
      <c r="AX104" s="1705"/>
      <c r="AY104" s="256"/>
      <c r="AZ104" s="1705">
        <v>0</v>
      </c>
      <c r="BA104" s="1705"/>
      <c r="BB104" s="256"/>
      <c r="BC104" s="1705">
        <v>0</v>
      </c>
      <c r="BD104" s="1705"/>
      <c r="BE104" s="256"/>
      <c r="BF104" s="1705">
        <v>0</v>
      </c>
      <c r="BG104" s="1705"/>
      <c r="BH104" s="256"/>
      <c r="BI104" s="1705">
        <v>0</v>
      </c>
      <c r="BJ104" s="1705"/>
      <c r="BK104" s="256"/>
      <c r="BL104" s="1705">
        <v>0</v>
      </c>
      <c r="BM104" s="1705"/>
      <c r="BN104" s="256"/>
      <c r="BO104" s="1705">
        <v>0</v>
      </c>
      <c r="BP104" s="1705"/>
      <c r="BQ104" s="256"/>
      <c r="BR104" s="1705">
        <v>0</v>
      </c>
      <c r="BS104" s="1705"/>
      <c r="BT104" s="256"/>
      <c r="BU104" s="1705">
        <v>0</v>
      </c>
      <c r="BV104" s="1705"/>
      <c r="BW104" s="256"/>
      <c r="BX104" s="1705">
        <v>0</v>
      </c>
      <c r="BY104" s="1705"/>
      <c r="BZ104" s="256"/>
      <c r="CA104" s="1705">
        <v>0</v>
      </c>
      <c r="CB104" s="1705"/>
      <c r="CC104" s="256"/>
      <c r="CD104" s="1705">
        <v>0</v>
      </c>
      <c r="CE104" s="1705"/>
      <c r="CF104" s="256"/>
      <c r="CG104" s="1705">
        <v>0</v>
      </c>
      <c r="CH104" s="1705"/>
      <c r="CI104" s="1684">
        <f t="shared" si="9"/>
        <v>0</v>
      </c>
      <c r="CJ104" s="1705">
        <v>0</v>
      </c>
      <c r="CK104" s="1705"/>
      <c r="CL104" s="256"/>
      <c r="CM104" s="1705">
        <v>0</v>
      </c>
      <c r="CN104" s="1705"/>
      <c r="CO104" s="256"/>
      <c r="CP104" s="639">
        <v>0</v>
      </c>
      <c r="CQ104" s="1705"/>
      <c r="CR104" s="256"/>
      <c r="CS104" s="639">
        <v>0</v>
      </c>
      <c r="CT104" s="1705"/>
      <c r="CU104" s="256"/>
      <c r="CV104" s="1705">
        <v>0</v>
      </c>
      <c r="CW104" s="1705"/>
      <c r="CX104" s="256"/>
      <c r="CY104" s="1705"/>
      <c r="CZ104" s="1705"/>
    </row>
    <row r="105" spans="1:104">
      <c r="A105" s="260">
        <f t="shared" si="10"/>
        <v>98</v>
      </c>
      <c r="B105" s="260">
        <v>752</v>
      </c>
      <c r="C105" s="256" t="str">
        <f>'Stmt H'!D14</f>
        <v>Gas Wells Expense</v>
      </c>
      <c r="D105" s="266"/>
      <c r="E105" s="265" t="s">
        <v>276</v>
      </c>
      <c r="F105" s="264"/>
      <c r="G105" s="209">
        <f>'Stmt H'!F14</f>
        <v>0</v>
      </c>
      <c r="H105" s="29"/>
      <c r="I105" s="268" t="s">
        <v>276</v>
      </c>
      <c r="J105" s="29"/>
      <c r="K105" s="209">
        <f>'Stmt H'!$U14</f>
        <v>0</v>
      </c>
      <c r="M105" s="1624">
        <f t="shared" si="11"/>
        <v>0</v>
      </c>
      <c r="N105" s="1628">
        <f t="shared" si="12"/>
        <v>0</v>
      </c>
      <c r="O105" s="1628"/>
      <c r="Q105" s="1066">
        <v>0</v>
      </c>
      <c r="R105" s="256"/>
      <c r="S105" s="1066">
        <v>0</v>
      </c>
      <c r="T105" s="1698"/>
      <c r="U105" s="256"/>
      <c r="V105" s="1066">
        <v>0</v>
      </c>
      <c r="W105" s="1698"/>
      <c r="X105" s="256"/>
      <c r="Y105" s="1066">
        <v>0</v>
      </c>
      <c r="Z105" s="1698"/>
      <c r="AA105" s="256"/>
      <c r="AB105" s="1066">
        <v>0</v>
      </c>
      <c r="AC105" s="1698"/>
      <c r="AD105" s="256"/>
      <c r="AE105" s="1066">
        <v>0</v>
      </c>
      <c r="AF105" s="1698"/>
      <c r="AG105" s="256"/>
      <c r="AH105" s="1066">
        <v>0</v>
      </c>
      <c r="AI105" s="1698"/>
      <c r="AJ105" s="256"/>
      <c r="AK105" s="1066">
        <v>0</v>
      </c>
      <c r="AL105" s="1698"/>
      <c r="AM105" s="256"/>
      <c r="AN105" s="1066">
        <v>0</v>
      </c>
      <c r="AO105" s="1698"/>
      <c r="AP105" s="256"/>
      <c r="AQ105" s="1066">
        <v>0</v>
      </c>
      <c r="AR105" s="1698"/>
      <c r="AS105" s="256"/>
      <c r="AT105" s="1066">
        <v>0</v>
      </c>
      <c r="AU105" s="1066"/>
      <c r="AV105" s="256"/>
      <c r="AW105" s="1066">
        <v>0</v>
      </c>
      <c r="AX105" s="1066"/>
      <c r="AY105" s="256"/>
      <c r="AZ105" s="1066">
        <v>0</v>
      </c>
      <c r="BA105" s="1066"/>
      <c r="BB105" s="256"/>
      <c r="BC105" s="1066">
        <v>0</v>
      </c>
      <c r="BD105" s="1066"/>
      <c r="BE105" s="256"/>
      <c r="BF105" s="1066">
        <v>0</v>
      </c>
      <c r="BG105" s="1066"/>
      <c r="BH105" s="256"/>
      <c r="BI105" s="1066">
        <v>0</v>
      </c>
      <c r="BJ105" s="1066"/>
      <c r="BK105" s="256"/>
      <c r="BL105" s="1066">
        <v>0</v>
      </c>
      <c r="BM105" s="1066"/>
      <c r="BN105" s="256"/>
      <c r="BO105" s="1066">
        <v>0</v>
      </c>
      <c r="BP105" s="1066"/>
      <c r="BQ105" s="256"/>
      <c r="BR105" s="1066">
        <v>0</v>
      </c>
      <c r="BS105" s="1066"/>
      <c r="BT105" s="256"/>
      <c r="BU105" s="1066">
        <v>0</v>
      </c>
      <c r="BV105" s="1066"/>
      <c r="BW105" s="256"/>
      <c r="BX105" s="1066">
        <v>0</v>
      </c>
      <c r="BY105" s="1066"/>
      <c r="BZ105" s="256"/>
      <c r="CA105" s="1066">
        <v>0</v>
      </c>
      <c r="CB105" s="1066"/>
      <c r="CC105" s="256"/>
      <c r="CD105" s="1066">
        <v>0</v>
      </c>
      <c r="CE105" s="1066"/>
      <c r="CF105" s="256"/>
      <c r="CG105" s="1066">
        <v>0</v>
      </c>
      <c r="CH105" s="1066"/>
      <c r="CI105" s="1684">
        <f t="shared" si="9"/>
        <v>0</v>
      </c>
      <c r="CJ105" s="1066">
        <v>0</v>
      </c>
      <c r="CK105" s="1066"/>
      <c r="CL105" s="256"/>
      <c r="CM105" s="1066">
        <v>0</v>
      </c>
      <c r="CN105" s="1066"/>
      <c r="CO105" s="256"/>
      <c r="CP105" s="209">
        <v>0</v>
      </c>
      <c r="CQ105" s="1066"/>
      <c r="CR105" s="256"/>
      <c r="CS105" s="209">
        <v>0</v>
      </c>
      <c r="CT105" s="1066"/>
      <c r="CU105" s="256"/>
      <c r="CV105" s="1066">
        <v>0</v>
      </c>
      <c r="CW105" s="1066"/>
      <c r="CX105" s="256"/>
      <c r="CY105" s="1066"/>
      <c r="CZ105" s="1066"/>
    </row>
    <row r="106" spans="1:104">
      <c r="A106" s="260">
        <f t="shared" si="10"/>
        <v>99</v>
      </c>
      <c r="B106" s="260">
        <v>753</v>
      </c>
      <c r="C106" s="256" t="str">
        <f>'Stmt H'!D15</f>
        <v>Field Line Expense</v>
      </c>
      <c r="D106" s="266"/>
      <c r="E106" s="265" t="s">
        <v>276</v>
      </c>
      <c r="F106" s="264"/>
      <c r="G106" s="209">
        <f>'Stmt H'!F15</f>
        <v>0</v>
      </c>
      <c r="H106" s="29"/>
      <c r="I106" s="268" t="s">
        <v>276</v>
      </c>
      <c r="J106" s="29"/>
      <c r="K106" s="209">
        <f>'Stmt H'!$U15</f>
        <v>0</v>
      </c>
      <c r="M106" s="1624">
        <f t="shared" si="11"/>
        <v>0</v>
      </c>
      <c r="N106" s="1628">
        <f t="shared" si="12"/>
        <v>0</v>
      </c>
      <c r="O106" s="1628"/>
      <c r="Q106" s="1066">
        <v>0</v>
      </c>
      <c r="R106" s="256"/>
      <c r="S106" s="1066">
        <v>0</v>
      </c>
      <c r="T106" s="1698"/>
      <c r="U106" s="256"/>
      <c r="V106" s="1066">
        <v>0</v>
      </c>
      <c r="W106" s="1698"/>
      <c r="X106" s="256"/>
      <c r="Y106" s="1066">
        <v>0</v>
      </c>
      <c r="Z106" s="1698"/>
      <c r="AA106" s="256"/>
      <c r="AB106" s="1066">
        <v>0</v>
      </c>
      <c r="AC106" s="1698"/>
      <c r="AD106" s="256"/>
      <c r="AE106" s="1066">
        <v>0</v>
      </c>
      <c r="AF106" s="1698"/>
      <c r="AG106" s="256"/>
      <c r="AH106" s="1066">
        <v>0</v>
      </c>
      <c r="AI106" s="1698"/>
      <c r="AJ106" s="256"/>
      <c r="AK106" s="1066">
        <v>0</v>
      </c>
      <c r="AL106" s="1698"/>
      <c r="AM106" s="256"/>
      <c r="AN106" s="1066">
        <v>0</v>
      </c>
      <c r="AO106" s="1698"/>
      <c r="AP106" s="256"/>
      <c r="AQ106" s="1066">
        <v>0</v>
      </c>
      <c r="AR106" s="1698"/>
      <c r="AS106" s="256"/>
      <c r="AT106" s="1066">
        <v>0</v>
      </c>
      <c r="AU106" s="1066"/>
      <c r="AV106" s="256"/>
      <c r="AW106" s="1066">
        <v>0</v>
      </c>
      <c r="AX106" s="1066"/>
      <c r="AY106" s="256"/>
      <c r="AZ106" s="1066">
        <v>0</v>
      </c>
      <c r="BA106" s="1066"/>
      <c r="BB106" s="256"/>
      <c r="BC106" s="1066">
        <v>0</v>
      </c>
      <c r="BD106" s="1066"/>
      <c r="BE106" s="256"/>
      <c r="BF106" s="1066">
        <v>0</v>
      </c>
      <c r="BG106" s="1066"/>
      <c r="BH106" s="256"/>
      <c r="BI106" s="1066">
        <v>0</v>
      </c>
      <c r="BJ106" s="1066"/>
      <c r="BK106" s="256"/>
      <c r="BL106" s="1066">
        <v>0</v>
      </c>
      <c r="BM106" s="1066"/>
      <c r="BN106" s="256"/>
      <c r="BO106" s="1066">
        <v>0</v>
      </c>
      <c r="BP106" s="1066"/>
      <c r="BQ106" s="256"/>
      <c r="BR106" s="1066">
        <v>0</v>
      </c>
      <c r="BS106" s="1066"/>
      <c r="BT106" s="256"/>
      <c r="BU106" s="1066">
        <v>0</v>
      </c>
      <c r="BV106" s="1066"/>
      <c r="BW106" s="256"/>
      <c r="BX106" s="1066">
        <v>0</v>
      </c>
      <c r="BY106" s="1066"/>
      <c r="BZ106" s="256"/>
      <c r="CA106" s="1066">
        <v>0</v>
      </c>
      <c r="CB106" s="1066"/>
      <c r="CC106" s="256"/>
      <c r="CD106" s="1066">
        <v>0</v>
      </c>
      <c r="CE106" s="1066"/>
      <c r="CF106" s="256"/>
      <c r="CG106" s="1066">
        <v>0</v>
      </c>
      <c r="CH106" s="1066"/>
      <c r="CI106" s="1684">
        <f t="shared" si="9"/>
        <v>0</v>
      </c>
      <c r="CJ106" s="1066">
        <v>0</v>
      </c>
      <c r="CK106" s="1066"/>
      <c r="CL106" s="256"/>
      <c r="CM106" s="1066">
        <v>0</v>
      </c>
      <c r="CN106" s="1066"/>
      <c r="CO106" s="256"/>
      <c r="CP106" s="209">
        <v>0</v>
      </c>
      <c r="CQ106" s="1066"/>
      <c r="CR106" s="256"/>
      <c r="CS106" s="209">
        <v>0</v>
      </c>
      <c r="CT106" s="1066"/>
      <c r="CU106" s="256"/>
      <c r="CV106" s="1066">
        <v>0</v>
      </c>
      <c r="CW106" s="1066"/>
      <c r="CX106" s="256"/>
      <c r="CY106" s="1066"/>
      <c r="CZ106" s="1066"/>
    </row>
    <row r="107" spans="1:104">
      <c r="A107" s="260">
        <f t="shared" si="10"/>
        <v>100</v>
      </c>
      <c r="B107" s="260">
        <v>754</v>
      </c>
      <c r="C107" s="256" t="str">
        <f>'Stmt H'!D16</f>
        <v>Field Compressor Station Expense</v>
      </c>
      <c r="D107" s="266"/>
      <c r="E107" s="265" t="s">
        <v>276</v>
      </c>
      <c r="F107" s="264"/>
      <c r="G107" s="209">
        <f>'Stmt H'!F16</f>
        <v>0</v>
      </c>
      <c r="H107" s="29"/>
      <c r="I107" s="268" t="s">
        <v>276</v>
      </c>
      <c r="J107" s="29"/>
      <c r="K107" s="209">
        <f>'Stmt H'!$U16</f>
        <v>0</v>
      </c>
      <c r="M107" s="1624">
        <f t="shared" si="11"/>
        <v>0</v>
      </c>
      <c r="N107" s="1628">
        <f t="shared" si="12"/>
        <v>0</v>
      </c>
      <c r="O107" s="1628"/>
      <c r="Q107" s="1066">
        <v>0</v>
      </c>
      <c r="R107" s="256"/>
      <c r="S107" s="1066">
        <v>0</v>
      </c>
      <c r="T107" s="1698"/>
      <c r="U107" s="256"/>
      <c r="V107" s="1066">
        <v>0</v>
      </c>
      <c r="W107" s="1698"/>
      <c r="X107" s="256"/>
      <c r="Y107" s="1066">
        <v>0</v>
      </c>
      <c r="Z107" s="1698"/>
      <c r="AA107" s="256"/>
      <c r="AB107" s="1066">
        <v>0</v>
      </c>
      <c r="AC107" s="1698"/>
      <c r="AD107" s="256"/>
      <c r="AE107" s="1066">
        <v>0</v>
      </c>
      <c r="AF107" s="1698"/>
      <c r="AG107" s="256"/>
      <c r="AH107" s="1066">
        <v>0</v>
      </c>
      <c r="AI107" s="1698"/>
      <c r="AJ107" s="256"/>
      <c r="AK107" s="1066">
        <v>0</v>
      </c>
      <c r="AL107" s="1698"/>
      <c r="AM107" s="256"/>
      <c r="AN107" s="1066">
        <v>0</v>
      </c>
      <c r="AO107" s="1698"/>
      <c r="AP107" s="256"/>
      <c r="AQ107" s="1066">
        <v>0</v>
      </c>
      <c r="AR107" s="1698"/>
      <c r="AS107" s="256"/>
      <c r="AT107" s="1066">
        <v>0</v>
      </c>
      <c r="AU107" s="1066"/>
      <c r="AV107" s="256"/>
      <c r="AW107" s="1066">
        <v>0</v>
      </c>
      <c r="AX107" s="1066"/>
      <c r="AY107" s="256"/>
      <c r="AZ107" s="1066">
        <v>0</v>
      </c>
      <c r="BA107" s="1066"/>
      <c r="BB107" s="256"/>
      <c r="BC107" s="1066">
        <v>0</v>
      </c>
      <c r="BD107" s="1066"/>
      <c r="BE107" s="256"/>
      <c r="BF107" s="1066">
        <v>0</v>
      </c>
      <c r="BG107" s="1066"/>
      <c r="BH107" s="256"/>
      <c r="BI107" s="1066">
        <v>0</v>
      </c>
      <c r="BJ107" s="1066"/>
      <c r="BK107" s="256"/>
      <c r="BL107" s="1066">
        <v>0</v>
      </c>
      <c r="BM107" s="1066"/>
      <c r="BN107" s="256"/>
      <c r="BO107" s="1066">
        <v>0</v>
      </c>
      <c r="BP107" s="1066"/>
      <c r="BQ107" s="256"/>
      <c r="BR107" s="1066">
        <v>0</v>
      </c>
      <c r="BS107" s="1066"/>
      <c r="BT107" s="256"/>
      <c r="BU107" s="1066">
        <v>0</v>
      </c>
      <c r="BV107" s="1066"/>
      <c r="BW107" s="256"/>
      <c r="BX107" s="1066">
        <v>0</v>
      </c>
      <c r="BY107" s="1066"/>
      <c r="BZ107" s="256"/>
      <c r="CA107" s="1066">
        <v>0</v>
      </c>
      <c r="CB107" s="1066"/>
      <c r="CC107" s="256"/>
      <c r="CD107" s="1066">
        <v>0</v>
      </c>
      <c r="CE107" s="1066"/>
      <c r="CF107" s="256"/>
      <c r="CG107" s="1066">
        <v>0</v>
      </c>
      <c r="CH107" s="1066"/>
      <c r="CI107" s="1684">
        <f t="shared" si="9"/>
        <v>0</v>
      </c>
      <c r="CJ107" s="1066">
        <v>0</v>
      </c>
      <c r="CK107" s="1066"/>
      <c r="CL107" s="256"/>
      <c r="CM107" s="1066">
        <v>0</v>
      </c>
      <c r="CN107" s="1066"/>
      <c r="CO107" s="256"/>
      <c r="CP107" s="209">
        <v>0</v>
      </c>
      <c r="CQ107" s="1066"/>
      <c r="CR107" s="256"/>
      <c r="CS107" s="209">
        <v>0</v>
      </c>
      <c r="CT107" s="1066"/>
      <c r="CU107" s="256"/>
      <c r="CV107" s="1066">
        <v>0</v>
      </c>
      <c r="CW107" s="1066"/>
      <c r="CX107" s="256"/>
      <c r="CY107" s="1066"/>
      <c r="CZ107" s="1066"/>
    </row>
    <row r="108" spans="1:104">
      <c r="A108" s="260">
        <f t="shared" si="10"/>
        <v>101</v>
      </c>
      <c r="B108" s="260">
        <v>755</v>
      </c>
      <c r="C108" s="256" t="str">
        <f>'Stmt H'!D17</f>
        <v>Field Compressor Station Fuel and Power</v>
      </c>
      <c r="D108" s="266"/>
      <c r="E108" s="265" t="s">
        <v>276</v>
      </c>
      <c r="F108" s="264"/>
      <c r="G108" s="209">
        <f>'Stmt H'!F17</f>
        <v>0</v>
      </c>
      <c r="H108" s="29"/>
      <c r="I108" s="268" t="s">
        <v>276</v>
      </c>
      <c r="J108" s="29"/>
      <c r="K108" s="209">
        <f>'Stmt H'!$U17</f>
        <v>0</v>
      </c>
      <c r="M108" s="1624">
        <f t="shared" si="11"/>
        <v>0</v>
      </c>
      <c r="N108" s="1628">
        <f t="shared" si="12"/>
        <v>0</v>
      </c>
      <c r="O108" s="1628"/>
      <c r="Q108" s="1066">
        <v>0</v>
      </c>
      <c r="R108" s="256"/>
      <c r="S108" s="1066">
        <v>0</v>
      </c>
      <c r="T108" s="1698"/>
      <c r="U108" s="256"/>
      <c r="V108" s="1066">
        <v>0</v>
      </c>
      <c r="W108" s="1698"/>
      <c r="X108" s="256"/>
      <c r="Y108" s="1066">
        <v>0</v>
      </c>
      <c r="Z108" s="1698"/>
      <c r="AA108" s="256"/>
      <c r="AB108" s="1066">
        <v>0</v>
      </c>
      <c r="AC108" s="1698"/>
      <c r="AD108" s="256"/>
      <c r="AE108" s="1066">
        <v>0</v>
      </c>
      <c r="AF108" s="1698"/>
      <c r="AG108" s="256"/>
      <c r="AH108" s="1066">
        <v>0</v>
      </c>
      <c r="AI108" s="1698"/>
      <c r="AJ108" s="256"/>
      <c r="AK108" s="1066">
        <v>0</v>
      </c>
      <c r="AL108" s="1698"/>
      <c r="AM108" s="256"/>
      <c r="AN108" s="1066">
        <v>0</v>
      </c>
      <c r="AO108" s="1698"/>
      <c r="AP108" s="256"/>
      <c r="AQ108" s="1066">
        <v>0</v>
      </c>
      <c r="AR108" s="1698"/>
      <c r="AS108" s="256"/>
      <c r="AT108" s="1066">
        <v>0</v>
      </c>
      <c r="AU108" s="1066"/>
      <c r="AV108" s="256"/>
      <c r="AW108" s="1066">
        <v>0</v>
      </c>
      <c r="AX108" s="1066"/>
      <c r="AY108" s="256"/>
      <c r="AZ108" s="1066">
        <v>0</v>
      </c>
      <c r="BA108" s="1066"/>
      <c r="BB108" s="256"/>
      <c r="BC108" s="1066">
        <v>0</v>
      </c>
      <c r="BD108" s="1066"/>
      <c r="BE108" s="256"/>
      <c r="BF108" s="1066">
        <v>0</v>
      </c>
      <c r="BG108" s="1066"/>
      <c r="BH108" s="256"/>
      <c r="BI108" s="1066">
        <v>0</v>
      </c>
      <c r="BJ108" s="1066"/>
      <c r="BK108" s="256"/>
      <c r="BL108" s="1066">
        <v>0</v>
      </c>
      <c r="BM108" s="1066"/>
      <c r="BN108" s="256"/>
      <c r="BO108" s="1066">
        <v>0</v>
      </c>
      <c r="BP108" s="1066"/>
      <c r="BQ108" s="256"/>
      <c r="BR108" s="1066">
        <v>0</v>
      </c>
      <c r="BS108" s="1066"/>
      <c r="BT108" s="256"/>
      <c r="BU108" s="1066">
        <v>0</v>
      </c>
      <c r="BV108" s="1066"/>
      <c r="BW108" s="256"/>
      <c r="BX108" s="1066">
        <v>0</v>
      </c>
      <c r="BY108" s="1066"/>
      <c r="BZ108" s="256"/>
      <c r="CA108" s="1066">
        <v>0</v>
      </c>
      <c r="CB108" s="1066"/>
      <c r="CC108" s="256"/>
      <c r="CD108" s="1066">
        <v>0</v>
      </c>
      <c r="CE108" s="1066"/>
      <c r="CF108" s="256"/>
      <c r="CG108" s="1066">
        <v>0</v>
      </c>
      <c r="CH108" s="1066"/>
      <c r="CI108" s="1684">
        <f t="shared" si="9"/>
        <v>0</v>
      </c>
      <c r="CJ108" s="1066">
        <v>0</v>
      </c>
      <c r="CK108" s="1066"/>
      <c r="CL108" s="256"/>
      <c r="CM108" s="1066">
        <v>0</v>
      </c>
      <c r="CN108" s="1066"/>
      <c r="CO108" s="256"/>
      <c r="CP108" s="209">
        <v>0</v>
      </c>
      <c r="CQ108" s="1066"/>
      <c r="CR108" s="256"/>
      <c r="CS108" s="209">
        <v>0</v>
      </c>
      <c r="CT108" s="1066"/>
      <c r="CU108" s="256"/>
      <c r="CV108" s="1066">
        <v>0</v>
      </c>
      <c r="CW108" s="1066"/>
      <c r="CX108" s="256"/>
      <c r="CY108" s="1066"/>
      <c r="CZ108" s="1066"/>
    </row>
    <row r="109" spans="1:104">
      <c r="A109" s="260">
        <f t="shared" si="10"/>
        <v>102</v>
      </c>
      <c r="B109" s="260">
        <v>756</v>
      </c>
      <c r="C109" s="256" t="str">
        <f>'Stmt H'!D18</f>
        <v>Field Measuring &amp; Regulating Station Expense</v>
      </c>
      <c r="D109" s="266"/>
      <c r="E109" s="265" t="s">
        <v>276</v>
      </c>
      <c r="F109" s="264"/>
      <c r="G109" s="209">
        <f>'Stmt H'!F18</f>
        <v>0</v>
      </c>
      <c r="H109" s="29"/>
      <c r="I109" s="268" t="s">
        <v>276</v>
      </c>
      <c r="J109" s="29"/>
      <c r="K109" s="209">
        <f>'Stmt H'!$U18</f>
        <v>0</v>
      </c>
      <c r="M109" s="1624">
        <f t="shared" si="11"/>
        <v>0</v>
      </c>
      <c r="N109" s="1628">
        <f t="shared" si="12"/>
        <v>0</v>
      </c>
      <c r="O109" s="1628"/>
      <c r="Q109" s="1066">
        <v>0</v>
      </c>
      <c r="R109" s="256"/>
      <c r="S109" s="1066">
        <v>0</v>
      </c>
      <c r="T109" s="1698"/>
      <c r="U109" s="256"/>
      <c r="V109" s="1066">
        <v>0</v>
      </c>
      <c r="W109" s="1698"/>
      <c r="X109" s="256"/>
      <c r="Y109" s="1066">
        <v>0</v>
      </c>
      <c r="Z109" s="1698"/>
      <c r="AA109" s="256"/>
      <c r="AB109" s="1066">
        <v>0</v>
      </c>
      <c r="AC109" s="1698"/>
      <c r="AD109" s="256"/>
      <c r="AE109" s="1066">
        <v>0</v>
      </c>
      <c r="AF109" s="1698"/>
      <c r="AG109" s="256"/>
      <c r="AH109" s="1066">
        <v>0</v>
      </c>
      <c r="AI109" s="1698"/>
      <c r="AJ109" s="256"/>
      <c r="AK109" s="1066">
        <v>0</v>
      </c>
      <c r="AL109" s="1698"/>
      <c r="AM109" s="256"/>
      <c r="AN109" s="1066">
        <v>0</v>
      </c>
      <c r="AO109" s="1698"/>
      <c r="AP109" s="256"/>
      <c r="AQ109" s="1066">
        <v>0</v>
      </c>
      <c r="AR109" s="1698"/>
      <c r="AS109" s="256"/>
      <c r="AT109" s="1066">
        <v>0</v>
      </c>
      <c r="AU109" s="1066"/>
      <c r="AV109" s="256"/>
      <c r="AW109" s="1066">
        <v>0</v>
      </c>
      <c r="AX109" s="1066"/>
      <c r="AY109" s="256"/>
      <c r="AZ109" s="1066">
        <v>0</v>
      </c>
      <c r="BA109" s="1066"/>
      <c r="BB109" s="256"/>
      <c r="BC109" s="1066">
        <v>0</v>
      </c>
      <c r="BD109" s="1066"/>
      <c r="BE109" s="256"/>
      <c r="BF109" s="1066">
        <v>0</v>
      </c>
      <c r="BG109" s="1066"/>
      <c r="BH109" s="256"/>
      <c r="BI109" s="1066">
        <v>0</v>
      </c>
      <c r="BJ109" s="1066"/>
      <c r="BK109" s="256"/>
      <c r="BL109" s="1066">
        <v>0</v>
      </c>
      <c r="BM109" s="1066"/>
      <c r="BN109" s="256"/>
      <c r="BO109" s="1066">
        <v>0</v>
      </c>
      <c r="BP109" s="1066"/>
      <c r="BQ109" s="256"/>
      <c r="BR109" s="1066">
        <v>0</v>
      </c>
      <c r="BS109" s="1066"/>
      <c r="BT109" s="256"/>
      <c r="BU109" s="1066">
        <v>0</v>
      </c>
      <c r="BV109" s="1066"/>
      <c r="BW109" s="256"/>
      <c r="BX109" s="1066">
        <v>0</v>
      </c>
      <c r="BY109" s="1066"/>
      <c r="BZ109" s="256"/>
      <c r="CA109" s="1066">
        <v>0</v>
      </c>
      <c r="CB109" s="1066"/>
      <c r="CC109" s="256"/>
      <c r="CD109" s="1066">
        <v>0</v>
      </c>
      <c r="CE109" s="1066"/>
      <c r="CF109" s="256"/>
      <c r="CG109" s="1066">
        <v>0</v>
      </c>
      <c r="CH109" s="1066"/>
      <c r="CI109" s="1684">
        <f t="shared" si="9"/>
        <v>0</v>
      </c>
      <c r="CJ109" s="1066">
        <v>0</v>
      </c>
      <c r="CK109" s="1066"/>
      <c r="CL109" s="256"/>
      <c r="CM109" s="1066">
        <v>0</v>
      </c>
      <c r="CN109" s="1066"/>
      <c r="CO109" s="256"/>
      <c r="CP109" s="209">
        <v>0</v>
      </c>
      <c r="CQ109" s="1066"/>
      <c r="CR109" s="256"/>
      <c r="CS109" s="209">
        <v>0</v>
      </c>
      <c r="CT109" s="1066"/>
      <c r="CU109" s="256"/>
      <c r="CV109" s="1066">
        <v>0</v>
      </c>
      <c r="CW109" s="1066"/>
      <c r="CX109" s="256"/>
      <c r="CY109" s="1066"/>
      <c r="CZ109" s="1066"/>
    </row>
    <row r="110" spans="1:104">
      <c r="A110" s="260">
        <f t="shared" si="10"/>
        <v>103</v>
      </c>
      <c r="B110" s="260">
        <v>757</v>
      </c>
      <c r="C110" s="256" t="str">
        <f>'Stmt H'!D19</f>
        <v>Purification Expense</v>
      </c>
      <c r="D110" s="266"/>
      <c r="E110" s="265" t="s">
        <v>276</v>
      </c>
      <c r="F110" s="264"/>
      <c r="G110" s="209">
        <f>'Stmt H'!F19</f>
        <v>0</v>
      </c>
      <c r="H110" s="29"/>
      <c r="I110" s="268" t="s">
        <v>276</v>
      </c>
      <c r="J110" s="29"/>
      <c r="K110" s="209">
        <f>'Stmt H'!$U19</f>
        <v>0</v>
      </c>
      <c r="M110" s="1624">
        <f t="shared" si="11"/>
        <v>0</v>
      </c>
      <c r="N110" s="1628">
        <f t="shared" si="12"/>
        <v>0</v>
      </c>
      <c r="O110" s="1628"/>
      <c r="Q110" s="1066">
        <v>0</v>
      </c>
      <c r="R110" s="256"/>
      <c r="S110" s="1066">
        <v>0</v>
      </c>
      <c r="T110" s="1698"/>
      <c r="U110" s="256"/>
      <c r="V110" s="1066">
        <v>0</v>
      </c>
      <c r="W110" s="1698"/>
      <c r="X110" s="256"/>
      <c r="Y110" s="1066">
        <v>0</v>
      </c>
      <c r="Z110" s="1698"/>
      <c r="AA110" s="256"/>
      <c r="AB110" s="1066">
        <v>0</v>
      </c>
      <c r="AC110" s="1698"/>
      <c r="AD110" s="256"/>
      <c r="AE110" s="1066">
        <v>0</v>
      </c>
      <c r="AF110" s="1698"/>
      <c r="AG110" s="256"/>
      <c r="AH110" s="1066">
        <v>0</v>
      </c>
      <c r="AI110" s="1698"/>
      <c r="AJ110" s="256"/>
      <c r="AK110" s="1066">
        <v>0</v>
      </c>
      <c r="AL110" s="1698"/>
      <c r="AM110" s="256"/>
      <c r="AN110" s="1066">
        <v>0</v>
      </c>
      <c r="AO110" s="1698"/>
      <c r="AP110" s="256"/>
      <c r="AQ110" s="1066">
        <v>0</v>
      </c>
      <c r="AR110" s="1698"/>
      <c r="AS110" s="256"/>
      <c r="AT110" s="1066">
        <v>0</v>
      </c>
      <c r="AU110" s="1066"/>
      <c r="AV110" s="256"/>
      <c r="AW110" s="1066">
        <v>0</v>
      </c>
      <c r="AX110" s="1066"/>
      <c r="AY110" s="256"/>
      <c r="AZ110" s="1066">
        <v>0</v>
      </c>
      <c r="BA110" s="1066"/>
      <c r="BB110" s="256"/>
      <c r="BC110" s="1066">
        <v>0</v>
      </c>
      <c r="BD110" s="1066"/>
      <c r="BE110" s="256"/>
      <c r="BF110" s="1066">
        <v>0</v>
      </c>
      <c r="BG110" s="1066"/>
      <c r="BH110" s="256"/>
      <c r="BI110" s="1066">
        <v>0</v>
      </c>
      <c r="BJ110" s="1066"/>
      <c r="BK110" s="256"/>
      <c r="BL110" s="1066">
        <v>0</v>
      </c>
      <c r="BM110" s="1066"/>
      <c r="BN110" s="256"/>
      <c r="BO110" s="1066">
        <v>0</v>
      </c>
      <c r="BP110" s="1066"/>
      <c r="BQ110" s="256"/>
      <c r="BR110" s="1066">
        <v>0</v>
      </c>
      <c r="BS110" s="1066"/>
      <c r="BT110" s="256"/>
      <c r="BU110" s="1066">
        <v>0</v>
      </c>
      <c r="BV110" s="1066"/>
      <c r="BW110" s="256"/>
      <c r="BX110" s="1066">
        <v>0</v>
      </c>
      <c r="BY110" s="1066"/>
      <c r="BZ110" s="256"/>
      <c r="CA110" s="1066">
        <v>0</v>
      </c>
      <c r="CB110" s="1066"/>
      <c r="CC110" s="256"/>
      <c r="CD110" s="1066">
        <v>0</v>
      </c>
      <c r="CE110" s="1066"/>
      <c r="CF110" s="256"/>
      <c r="CG110" s="1066">
        <v>0</v>
      </c>
      <c r="CH110" s="1066"/>
      <c r="CI110" s="1684">
        <f t="shared" si="9"/>
        <v>0</v>
      </c>
      <c r="CJ110" s="1066">
        <v>0</v>
      </c>
      <c r="CK110" s="1066"/>
      <c r="CL110" s="256"/>
      <c r="CM110" s="1066">
        <v>0</v>
      </c>
      <c r="CN110" s="1066"/>
      <c r="CO110" s="256"/>
      <c r="CP110" s="209">
        <v>0</v>
      </c>
      <c r="CQ110" s="1066"/>
      <c r="CR110" s="256"/>
      <c r="CS110" s="209">
        <v>0</v>
      </c>
      <c r="CT110" s="1066"/>
      <c r="CU110" s="256"/>
      <c r="CV110" s="1066">
        <v>0</v>
      </c>
      <c r="CW110" s="1066"/>
      <c r="CX110" s="256"/>
      <c r="CY110" s="1066"/>
      <c r="CZ110" s="1066"/>
    </row>
    <row r="111" spans="1:104">
      <c r="A111" s="260">
        <f t="shared" si="10"/>
        <v>104</v>
      </c>
      <c r="B111" s="260">
        <v>758</v>
      </c>
      <c r="C111" s="256" t="str">
        <f>'Stmt H'!D20</f>
        <v>Gas Well Royalties</v>
      </c>
      <c r="D111" s="266"/>
      <c r="E111" s="265" t="s">
        <v>276</v>
      </c>
      <c r="F111" s="264"/>
      <c r="G111" s="209">
        <f>'Stmt H'!F20</f>
        <v>0</v>
      </c>
      <c r="H111" s="29"/>
      <c r="I111" s="268" t="s">
        <v>276</v>
      </c>
      <c r="J111" s="29"/>
      <c r="K111" s="209">
        <f>'Stmt H'!$U20</f>
        <v>0</v>
      </c>
      <c r="M111" s="1624">
        <f t="shared" si="11"/>
        <v>0</v>
      </c>
      <c r="N111" s="1628">
        <f t="shared" si="12"/>
        <v>0</v>
      </c>
      <c r="O111" s="1628"/>
      <c r="Q111" s="1066">
        <v>0</v>
      </c>
      <c r="R111" s="256"/>
      <c r="S111" s="1066">
        <v>0</v>
      </c>
      <c r="T111" s="1698"/>
      <c r="U111" s="256"/>
      <c r="V111" s="1066">
        <v>0</v>
      </c>
      <c r="W111" s="1698"/>
      <c r="X111" s="256"/>
      <c r="Y111" s="1066">
        <v>0</v>
      </c>
      <c r="Z111" s="1698"/>
      <c r="AA111" s="256"/>
      <c r="AB111" s="1066">
        <v>0</v>
      </c>
      <c r="AC111" s="1698"/>
      <c r="AD111" s="256"/>
      <c r="AE111" s="1066">
        <v>0</v>
      </c>
      <c r="AF111" s="1698"/>
      <c r="AG111" s="256"/>
      <c r="AH111" s="1066">
        <v>0</v>
      </c>
      <c r="AI111" s="1698"/>
      <c r="AJ111" s="256"/>
      <c r="AK111" s="1066">
        <v>0</v>
      </c>
      <c r="AL111" s="1698"/>
      <c r="AM111" s="256"/>
      <c r="AN111" s="1066">
        <v>0</v>
      </c>
      <c r="AO111" s="1698"/>
      <c r="AP111" s="256"/>
      <c r="AQ111" s="1066">
        <v>0</v>
      </c>
      <c r="AR111" s="1698"/>
      <c r="AS111" s="256"/>
      <c r="AT111" s="1066">
        <v>0</v>
      </c>
      <c r="AU111" s="1066"/>
      <c r="AV111" s="256"/>
      <c r="AW111" s="1066">
        <v>0</v>
      </c>
      <c r="AX111" s="1066"/>
      <c r="AY111" s="256"/>
      <c r="AZ111" s="1066">
        <v>0</v>
      </c>
      <c r="BA111" s="1066"/>
      <c r="BB111" s="256"/>
      <c r="BC111" s="1066">
        <v>0</v>
      </c>
      <c r="BD111" s="1066"/>
      <c r="BE111" s="256"/>
      <c r="BF111" s="1066">
        <v>0</v>
      </c>
      <c r="BG111" s="1066"/>
      <c r="BH111" s="256"/>
      <c r="BI111" s="1066">
        <v>0</v>
      </c>
      <c r="BJ111" s="1066"/>
      <c r="BK111" s="256"/>
      <c r="BL111" s="1066">
        <v>0</v>
      </c>
      <c r="BM111" s="1066"/>
      <c r="BN111" s="256"/>
      <c r="BO111" s="1066">
        <v>0</v>
      </c>
      <c r="BP111" s="1066"/>
      <c r="BQ111" s="256"/>
      <c r="BR111" s="1066">
        <v>0</v>
      </c>
      <c r="BS111" s="1066"/>
      <c r="BT111" s="256"/>
      <c r="BU111" s="1066">
        <v>0</v>
      </c>
      <c r="BV111" s="1066"/>
      <c r="BW111" s="256"/>
      <c r="BX111" s="1066">
        <v>0</v>
      </c>
      <c r="BY111" s="1066"/>
      <c r="BZ111" s="256"/>
      <c r="CA111" s="1066">
        <v>0</v>
      </c>
      <c r="CB111" s="1066"/>
      <c r="CC111" s="256"/>
      <c r="CD111" s="1066">
        <v>0</v>
      </c>
      <c r="CE111" s="1066"/>
      <c r="CF111" s="256"/>
      <c r="CG111" s="1066">
        <v>0</v>
      </c>
      <c r="CH111" s="1066"/>
      <c r="CI111" s="1684">
        <f t="shared" si="9"/>
        <v>0</v>
      </c>
      <c r="CJ111" s="1066">
        <v>0</v>
      </c>
      <c r="CK111" s="1066"/>
      <c r="CL111" s="256"/>
      <c r="CM111" s="1066">
        <v>0</v>
      </c>
      <c r="CN111" s="1066"/>
      <c r="CO111" s="256"/>
      <c r="CP111" s="209">
        <v>0</v>
      </c>
      <c r="CQ111" s="1066"/>
      <c r="CR111" s="256"/>
      <c r="CS111" s="209">
        <v>0</v>
      </c>
      <c r="CT111" s="1066"/>
      <c r="CU111" s="256"/>
      <c r="CV111" s="1066">
        <v>0</v>
      </c>
      <c r="CW111" s="1066"/>
      <c r="CX111" s="256"/>
      <c r="CY111" s="1066"/>
      <c r="CZ111" s="1066"/>
    </row>
    <row r="112" spans="1:104">
      <c r="A112" s="260">
        <f t="shared" si="10"/>
        <v>105</v>
      </c>
      <c r="B112" s="260">
        <v>759</v>
      </c>
      <c r="C112" s="256" t="str">
        <f>'Stmt H'!D21</f>
        <v>Other Expenses</v>
      </c>
      <c r="D112" s="266"/>
      <c r="E112" s="265" t="s">
        <v>276</v>
      </c>
      <c r="F112" s="264"/>
      <c r="G112" s="209">
        <f>'Stmt H'!F21</f>
        <v>0</v>
      </c>
      <c r="H112" s="29"/>
      <c r="I112" s="268" t="s">
        <v>276</v>
      </c>
      <c r="J112" s="29"/>
      <c r="K112" s="209">
        <f>'Stmt H'!$U21</f>
        <v>0</v>
      </c>
      <c r="M112" s="1624">
        <f t="shared" si="11"/>
        <v>0</v>
      </c>
      <c r="N112" s="1628">
        <f t="shared" si="12"/>
        <v>0</v>
      </c>
      <c r="O112" s="1628"/>
      <c r="Q112" s="1066">
        <v>0</v>
      </c>
      <c r="R112" s="256"/>
      <c r="S112" s="1066">
        <v>0</v>
      </c>
      <c r="T112" s="1698"/>
      <c r="U112" s="256"/>
      <c r="V112" s="1066">
        <v>0</v>
      </c>
      <c r="W112" s="1698"/>
      <c r="X112" s="256"/>
      <c r="Y112" s="1066">
        <v>0</v>
      </c>
      <c r="Z112" s="1698"/>
      <c r="AA112" s="256"/>
      <c r="AB112" s="1066">
        <v>0</v>
      </c>
      <c r="AC112" s="1698"/>
      <c r="AD112" s="256"/>
      <c r="AE112" s="1066">
        <v>0</v>
      </c>
      <c r="AF112" s="1698"/>
      <c r="AG112" s="256"/>
      <c r="AH112" s="1066">
        <v>0</v>
      </c>
      <c r="AI112" s="1698"/>
      <c r="AJ112" s="256"/>
      <c r="AK112" s="1066">
        <v>0</v>
      </c>
      <c r="AL112" s="1698"/>
      <c r="AM112" s="256"/>
      <c r="AN112" s="1066">
        <v>0</v>
      </c>
      <c r="AO112" s="1698"/>
      <c r="AP112" s="256"/>
      <c r="AQ112" s="1066">
        <v>0</v>
      </c>
      <c r="AR112" s="1698"/>
      <c r="AS112" s="256"/>
      <c r="AT112" s="1066">
        <v>0</v>
      </c>
      <c r="AU112" s="1066"/>
      <c r="AV112" s="256"/>
      <c r="AW112" s="1066">
        <v>0</v>
      </c>
      <c r="AX112" s="1066"/>
      <c r="AY112" s="256"/>
      <c r="AZ112" s="1066">
        <v>0</v>
      </c>
      <c r="BA112" s="1066"/>
      <c r="BB112" s="256"/>
      <c r="BC112" s="1066">
        <v>0</v>
      </c>
      <c r="BD112" s="1066"/>
      <c r="BE112" s="256"/>
      <c r="BF112" s="1066">
        <v>0</v>
      </c>
      <c r="BG112" s="1066"/>
      <c r="BH112" s="256"/>
      <c r="BI112" s="1066">
        <v>0</v>
      </c>
      <c r="BJ112" s="1066"/>
      <c r="BK112" s="256"/>
      <c r="BL112" s="1066">
        <v>0</v>
      </c>
      <c r="BM112" s="1066"/>
      <c r="BN112" s="256"/>
      <c r="BO112" s="1066">
        <v>0</v>
      </c>
      <c r="BP112" s="1066"/>
      <c r="BQ112" s="256"/>
      <c r="BR112" s="1066">
        <v>0</v>
      </c>
      <c r="BS112" s="1066"/>
      <c r="BT112" s="256"/>
      <c r="BU112" s="1066">
        <v>0</v>
      </c>
      <c r="BV112" s="1066"/>
      <c r="BW112" s="256"/>
      <c r="BX112" s="1066">
        <v>0</v>
      </c>
      <c r="BY112" s="1066"/>
      <c r="BZ112" s="256"/>
      <c r="CA112" s="1066">
        <v>0</v>
      </c>
      <c r="CB112" s="1066"/>
      <c r="CC112" s="256"/>
      <c r="CD112" s="1066">
        <v>0</v>
      </c>
      <c r="CE112" s="1066"/>
      <c r="CF112" s="256"/>
      <c r="CG112" s="1066">
        <v>0</v>
      </c>
      <c r="CH112" s="1066"/>
      <c r="CI112" s="1684">
        <f t="shared" si="9"/>
        <v>0</v>
      </c>
      <c r="CJ112" s="1066">
        <v>0</v>
      </c>
      <c r="CK112" s="1066"/>
      <c r="CL112" s="256"/>
      <c r="CM112" s="1066">
        <v>0</v>
      </c>
      <c r="CN112" s="1066"/>
      <c r="CO112" s="256"/>
      <c r="CP112" s="209">
        <v>0</v>
      </c>
      <c r="CQ112" s="1066"/>
      <c r="CR112" s="256"/>
      <c r="CS112" s="209">
        <v>0</v>
      </c>
      <c r="CT112" s="1066"/>
      <c r="CU112" s="256"/>
      <c r="CV112" s="1066">
        <v>0</v>
      </c>
      <c r="CW112" s="1066"/>
      <c r="CX112" s="256"/>
      <c r="CY112" s="1066"/>
      <c r="CZ112" s="1066"/>
    </row>
    <row r="113" spans="1:104">
      <c r="A113" s="260">
        <f t="shared" si="10"/>
        <v>106</v>
      </c>
      <c r="B113" s="260">
        <v>760</v>
      </c>
      <c r="C113" s="256" t="str">
        <f>'Stmt H'!D22</f>
        <v>Rents</v>
      </c>
      <c r="D113" s="266"/>
      <c r="E113" s="265" t="s">
        <v>276</v>
      </c>
      <c r="F113" s="264"/>
      <c r="G113" s="787">
        <f>'Stmt H'!F22</f>
        <v>0</v>
      </c>
      <c r="H113" s="29"/>
      <c r="I113" s="268" t="s">
        <v>276</v>
      </c>
      <c r="J113" s="29"/>
      <c r="K113" s="787">
        <f>'Stmt H'!$U22</f>
        <v>0</v>
      </c>
      <c r="M113" s="1624">
        <f t="shared" si="11"/>
        <v>0</v>
      </c>
      <c r="N113" s="1626">
        <f t="shared" si="12"/>
        <v>0</v>
      </c>
      <c r="O113" s="1626"/>
      <c r="Q113" s="1687">
        <v>0</v>
      </c>
      <c r="R113" s="256"/>
      <c r="S113" s="1687">
        <v>0</v>
      </c>
      <c r="T113" s="1688"/>
      <c r="U113" s="256"/>
      <c r="V113" s="1687">
        <v>0</v>
      </c>
      <c r="W113" s="1688"/>
      <c r="X113" s="256"/>
      <c r="Y113" s="1687">
        <v>0</v>
      </c>
      <c r="Z113" s="1688"/>
      <c r="AA113" s="256"/>
      <c r="AB113" s="1687">
        <v>0</v>
      </c>
      <c r="AC113" s="1688"/>
      <c r="AD113" s="256"/>
      <c r="AE113" s="1687">
        <v>0</v>
      </c>
      <c r="AF113" s="1688"/>
      <c r="AG113" s="256"/>
      <c r="AH113" s="1687">
        <v>0</v>
      </c>
      <c r="AI113" s="1688"/>
      <c r="AJ113" s="256"/>
      <c r="AK113" s="1687">
        <v>0</v>
      </c>
      <c r="AL113" s="1688"/>
      <c r="AM113" s="256"/>
      <c r="AN113" s="1687">
        <v>0</v>
      </c>
      <c r="AO113" s="1688"/>
      <c r="AP113" s="256"/>
      <c r="AQ113" s="1687">
        <v>0</v>
      </c>
      <c r="AR113" s="1688"/>
      <c r="AS113" s="256"/>
      <c r="AT113" s="1687">
        <v>0</v>
      </c>
      <c r="AU113" s="1687"/>
      <c r="AV113" s="256"/>
      <c r="AW113" s="1687">
        <v>0</v>
      </c>
      <c r="AX113" s="1687"/>
      <c r="AY113" s="256"/>
      <c r="AZ113" s="1687">
        <v>0</v>
      </c>
      <c r="BA113" s="1687"/>
      <c r="BB113" s="256"/>
      <c r="BC113" s="1687">
        <v>0</v>
      </c>
      <c r="BD113" s="1687"/>
      <c r="BE113" s="256"/>
      <c r="BF113" s="1687">
        <v>0</v>
      </c>
      <c r="BG113" s="1687"/>
      <c r="BH113" s="256"/>
      <c r="BI113" s="1687">
        <v>0</v>
      </c>
      <c r="BJ113" s="1687"/>
      <c r="BK113" s="256"/>
      <c r="BL113" s="1687">
        <v>0</v>
      </c>
      <c r="BM113" s="1687"/>
      <c r="BN113" s="256"/>
      <c r="BO113" s="1687">
        <v>0</v>
      </c>
      <c r="BP113" s="1687"/>
      <c r="BQ113" s="256"/>
      <c r="BR113" s="1687">
        <v>0</v>
      </c>
      <c r="BS113" s="1687"/>
      <c r="BT113" s="256"/>
      <c r="BU113" s="1687">
        <v>0</v>
      </c>
      <c r="BV113" s="1687"/>
      <c r="BW113" s="256"/>
      <c r="BX113" s="1687">
        <v>0</v>
      </c>
      <c r="BY113" s="1687"/>
      <c r="BZ113" s="256"/>
      <c r="CA113" s="1687">
        <v>0</v>
      </c>
      <c r="CB113" s="1687"/>
      <c r="CC113" s="256"/>
      <c r="CD113" s="1687">
        <v>0</v>
      </c>
      <c r="CE113" s="1687"/>
      <c r="CF113" s="256"/>
      <c r="CG113" s="1687">
        <v>0</v>
      </c>
      <c r="CH113" s="1687"/>
      <c r="CI113" s="1684">
        <f t="shared" si="9"/>
        <v>0</v>
      </c>
      <c r="CJ113" s="1687">
        <v>0</v>
      </c>
      <c r="CK113" s="1687"/>
      <c r="CL113" s="256"/>
      <c r="CM113" s="1687">
        <v>0</v>
      </c>
      <c r="CN113" s="1687"/>
      <c r="CO113" s="256"/>
      <c r="CP113" s="787">
        <v>0</v>
      </c>
      <c r="CQ113" s="1687"/>
      <c r="CR113" s="256"/>
      <c r="CS113" s="787">
        <v>0</v>
      </c>
      <c r="CT113" s="1687"/>
      <c r="CU113" s="256"/>
      <c r="CV113" s="1687">
        <v>0</v>
      </c>
      <c r="CW113" s="1687"/>
      <c r="CX113" s="256"/>
      <c r="CY113" s="1687"/>
      <c r="CZ113" s="1687"/>
    </row>
    <row r="114" spans="1:104">
      <c r="A114" s="260">
        <f t="shared" si="10"/>
        <v>107</v>
      </c>
      <c r="B114" s="260"/>
      <c r="C114" s="67" t="s">
        <v>697</v>
      </c>
      <c r="D114" s="266"/>
      <c r="E114" s="265" t="s">
        <v>276</v>
      </c>
      <c r="F114" s="264"/>
      <c r="G114" s="361">
        <f>'Stmt H'!F23</f>
        <v>0</v>
      </c>
      <c r="H114" s="29"/>
      <c r="I114" s="268" t="s">
        <v>276</v>
      </c>
      <c r="J114" s="29"/>
      <c r="K114" s="639">
        <f>'Stmt H'!$U23</f>
        <v>0</v>
      </c>
      <c r="M114" s="1630" t="s">
        <v>1528</v>
      </c>
      <c r="N114" s="1614">
        <f>SUM(N104:N113)</f>
        <v>0</v>
      </c>
      <c r="O114" s="1614">
        <v>0</v>
      </c>
      <c r="Q114" s="1705">
        <v>0</v>
      </c>
      <c r="R114" s="256"/>
      <c r="S114" s="1705">
        <v>0</v>
      </c>
      <c r="T114" s="1706">
        <v>0</v>
      </c>
      <c r="U114" s="256"/>
      <c r="V114" s="1705">
        <v>0</v>
      </c>
      <c r="W114" s="1706">
        <v>0</v>
      </c>
      <c r="X114" s="256"/>
      <c r="Y114" s="1705">
        <v>0</v>
      </c>
      <c r="Z114" s="1706">
        <v>0</v>
      </c>
      <c r="AA114" s="256"/>
      <c r="AB114" s="1705">
        <v>0</v>
      </c>
      <c r="AC114" s="1706">
        <v>0</v>
      </c>
      <c r="AD114" s="256"/>
      <c r="AE114" s="1705">
        <v>0</v>
      </c>
      <c r="AF114" s="1706">
        <v>0</v>
      </c>
      <c r="AG114" s="256"/>
      <c r="AH114" s="1705">
        <v>0</v>
      </c>
      <c r="AI114" s="1706">
        <v>0</v>
      </c>
      <c r="AJ114" s="256"/>
      <c r="AK114" s="1705">
        <v>0</v>
      </c>
      <c r="AL114" s="1706">
        <v>0</v>
      </c>
      <c r="AM114" s="256"/>
      <c r="AN114" s="1705">
        <v>0</v>
      </c>
      <c r="AO114" s="1706">
        <v>0</v>
      </c>
      <c r="AP114" s="256"/>
      <c r="AQ114" s="1705">
        <v>0</v>
      </c>
      <c r="AR114" s="1706">
        <v>0</v>
      </c>
      <c r="AS114" s="256"/>
      <c r="AT114" s="1705">
        <v>0</v>
      </c>
      <c r="AU114" s="1705">
        <v>0</v>
      </c>
      <c r="AV114" s="256"/>
      <c r="AW114" s="1705">
        <v>0</v>
      </c>
      <c r="AX114" s="1705">
        <v>0</v>
      </c>
      <c r="AY114" s="256"/>
      <c r="AZ114" s="1705">
        <v>0</v>
      </c>
      <c r="BA114" s="1705">
        <v>0</v>
      </c>
      <c r="BB114" s="256"/>
      <c r="BC114" s="1705">
        <v>0</v>
      </c>
      <c r="BD114" s="1705">
        <v>0</v>
      </c>
      <c r="BE114" s="256"/>
      <c r="BF114" s="1705">
        <v>0</v>
      </c>
      <c r="BG114" s="1705">
        <v>0</v>
      </c>
      <c r="BH114" s="256"/>
      <c r="BI114" s="1705">
        <v>0</v>
      </c>
      <c r="BJ114" s="1705">
        <v>0</v>
      </c>
      <c r="BK114" s="256"/>
      <c r="BL114" s="1705">
        <v>0</v>
      </c>
      <c r="BM114" s="1705">
        <v>0</v>
      </c>
      <c r="BN114" s="256"/>
      <c r="BO114" s="1705">
        <v>0</v>
      </c>
      <c r="BP114" s="1705">
        <v>0</v>
      </c>
      <c r="BQ114" s="256"/>
      <c r="BR114" s="1705">
        <v>0</v>
      </c>
      <c r="BS114" s="1705">
        <v>0</v>
      </c>
      <c r="BT114" s="256"/>
      <c r="BU114" s="1705">
        <v>0</v>
      </c>
      <c r="BV114" s="1705">
        <v>0</v>
      </c>
      <c r="BW114" s="256"/>
      <c r="BX114" s="1705">
        <v>0</v>
      </c>
      <c r="BY114" s="1705">
        <v>0</v>
      </c>
      <c r="BZ114" s="256"/>
      <c r="CA114" s="1705">
        <v>0</v>
      </c>
      <c r="CB114" s="1705">
        <v>0</v>
      </c>
      <c r="CC114" s="256"/>
      <c r="CD114" s="1705">
        <v>0</v>
      </c>
      <c r="CE114" s="1705">
        <v>0</v>
      </c>
      <c r="CF114" s="256"/>
      <c r="CG114" s="1705">
        <v>0</v>
      </c>
      <c r="CH114" s="1705">
        <v>0</v>
      </c>
      <c r="CI114" s="1684">
        <f t="shared" si="9"/>
        <v>0</v>
      </c>
      <c r="CJ114" s="1705">
        <v>0</v>
      </c>
      <c r="CK114" s="1705">
        <v>0</v>
      </c>
      <c r="CL114" s="256"/>
      <c r="CM114" s="1705">
        <v>0</v>
      </c>
      <c r="CN114" s="1705">
        <v>0</v>
      </c>
      <c r="CO114" s="256"/>
      <c r="CP114" s="639">
        <v>0</v>
      </c>
      <c r="CQ114" s="1705">
        <v>0</v>
      </c>
      <c r="CR114" s="256"/>
      <c r="CS114" s="639">
        <v>0</v>
      </c>
      <c r="CT114" s="1705">
        <v>0</v>
      </c>
      <c r="CU114" s="256"/>
      <c r="CV114" s="1705">
        <v>0</v>
      </c>
      <c r="CW114" s="1705">
        <v>0</v>
      </c>
      <c r="CX114" s="256"/>
      <c r="CY114" s="1705"/>
      <c r="CZ114" s="1705"/>
    </row>
    <row r="115" spans="1:104">
      <c r="A115" s="260">
        <f t="shared" si="10"/>
        <v>108</v>
      </c>
      <c r="B115" s="260"/>
      <c r="D115" s="266"/>
      <c r="E115" s="268"/>
      <c r="F115" s="264"/>
      <c r="G115" s="361"/>
      <c r="H115" s="29"/>
      <c r="I115" s="738"/>
      <c r="J115" s="29"/>
      <c r="K115" s="29"/>
      <c r="M115" s="1624"/>
      <c r="N115" s="1113"/>
      <c r="O115" s="1113"/>
      <c r="Q115" s="29"/>
      <c r="R115" s="256"/>
      <c r="S115" s="29"/>
      <c r="T115" s="1697"/>
      <c r="U115" s="256"/>
      <c r="V115" s="29"/>
      <c r="W115" s="1697"/>
      <c r="X115" s="256"/>
      <c r="Y115" s="29"/>
      <c r="Z115" s="1697"/>
      <c r="AA115" s="256"/>
      <c r="AB115" s="29"/>
      <c r="AC115" s="1697"/>
      <c r="AD115" s="256"/>
      <c r="AE115" s="29"/>
      <c r="AF115" s="1697"/>
      <c r="AG115" s="256"/>
      <c r="AH115" s="29"/>
      <c r="AI115" s="1697"/>
      <c r="AJ115" s="256"/>
      <c r="AK115" s="29"/>
      <c r="AL115" s="1697"/>
      <c r="AM115" s="256"/>
      <c r="AN115" s="29"/>
      <c r="AO115" s="1697"/>
      <c r="AP115" s="256"/>
      <c r="AQ115" s="29"/>
      <c r="AR115" s="1697"/>
      <c r="AS115" s="256"/>
      <c r="AT115" s="29"/>
      <c r="AU115" s="29"/>
      <c r="AV115" s="256"/>
      <c r="AW115" s="29"/>
      <c r="AX115" s="29"/>
      <c r="AY115" s="256"/>
      <c r="AZ115" s="29"/>
      <c r="BA115" s="29"/>
      <c r="BB115" s="256"/>
      <c r="BC115" s="29"/>
      <c r="BD115" s="29"/>
      <c r="BE115" s="256"/>
      <c r="BF115" s="29"/>
      <c r="BG115" s="29"/>
      <c r="BH115" s="256"/>
      <c r="BI115" s="29"/>
      <c r="BJ115" s="29"/>
      <c r="BK115" s="256"/>
      <c r="BL115" s="29"/>
      <c r="BM115" s="29"/>
      <c r="BN115" s="256"/>
      <c r="BO115" s="29"/>
      <c r="BP115" s="29"/>
      <c r="BQ115" s="256"/>
      <c r="BR115" s="29"/>
      <c r="BS115" s="29"/>
      <c r="BT115" s="256"/>
      <c r="BU115" s="29"/>
      <c r="BV115" s="29"/>
      <c r="BW115" s="256"/>
      <c r="BX115" s="29"/>
      <c r="BY115" s="29"/>
      <c r="BZ115" s="256"/>
      <c r="CA115" s="29"/>
      <c r="CB115" s="29"/>
      <c r="CC115" s="256"/>
      <c r="CD115" s="29"/>
      <c r="CE115" s="29"/>
      <c r="CF115" s="256"/>
      <c r="CG115" s="29"/>
      <c r="CH115" s="29"/>
      <c r="CI115" s="1684">
        <f t="shared" si="9"/>
        <v>0</v>
      </c>
      <c r="CJ115" s="29"/>
      <c r="CK115" s="29"/>
      <c r="CL115" s="256"/>
      <c r="CM115" s="29"/>
      <c r="CN115" s="29"/>
      <c r="CO115" s="256"/>
      <c r="CP115" s="29"/>
      <c r="CQ115" s="29"/>
      <c r="CR115" s="256"/>
      <c r="CS115" s="29"/>
      <c r="CT115" s="29"/>
      <c r="CU115" s="256"/>
      <c r="CV115" s="29"/>
      <c r="CW115" s="29"/>
      <c r="CX115" s="256"/>
      <c r="CY115" s="29"/>
      <c r="CZ115" s="29"/>
    </row>
    <row r="116" spans="1:104">
      <c r="A116" s="260">
        <f t="shared" si="10"/>
        <v>109</v>
      </c>
      <c r="B116" s="260"/>
      <c r="C116" s="735" t="s">
        <v>166</v>
      </c>
      <c r="D116" s="266"/>
      <c r="E116" s="268"/>
      <c r="F116" s="264"/>
      <c r="G116" s="361"/>
      <c r="H116" s="29"/>
      <c r="I116" s="738"/>
      <c r="J116" s="29"/>
      <c r="K116" s="29"/>
      <c r="M116" s="1624"/>
      <c r="N116" s="1113"/>
      <c r="O116" s="1113"/>
      <c r="Q116" s="29"/>
      <c r="R116" s="256"/>
      <c r="S116" s="29"/>
      <c r="T116" s="1697"/>
      <c r="U116" s="256"/>
      <c r="V116" s="29"/>
      <c r="W116" s="1697"/>
      <c r="X116" s="256"/>
      <c r="Y116" s="29"/>
      <c r="Z116" s="1697"/>
      <c r="AA116" s="256"/>
      <c r="AB116" s="29"/>
      <c r="AC116" s="1697"/>
      <c r="AD116" s="256"/>
      <c r="AE116" s="29"/>
      <c r="AF116" s="1697"/>
      <c r="AG116" s="256"/>
      <c r="AH116" s="29"/>
      <c r="AI116" s="1697"/>
      <c r="AJ116" s="256"/>
      <c r="AK116" s="29"/>
      <c r="AL116" s="1697"/>
      <c r="AM116" s="256"/>
      <c r="AN116" s="29"/>
      <c r="AO116" s="1697"/>
      <c r="AP116" s="256"/>
      <c r="AQ116" s="29"/>
      <c r="AR116" s="1697"/>
      <c r="AS116" s="256"/>
      <c r="AT116" s="29"/>
      <c r="AU116" s="29"/>
      <c r="AV116" s="256"/>
      <c r="AW116" s="29"/>
      <c r="AX116" s="29"/>
      <c r="AY116" s="256"/>
      <c r="AZ116" s="29"/>
      <c r="BA116" s="29"/>
      <c r="BB116" s="256"/>
      <c r="BC116" s="29"/>
      <c r="BD116" s="29"/>
      <c r="BE116" s="256"/>
      <c r="BF116" s="29"/>
      <c r="BG116" s="29"/>
      <c r="BH116" s="256"/>
      <c r="BI116" s="29"/>
      <c r="BJ116" s="29"/>
      <c r="BK116" s="256"/>
      <c r="BL116" s="29"/>
      <c r="BM116" s="29"/>
      <c r="BN116" s="256"/>
      <c r="BO116" s="29"/>
      <c r="BP116" s="29"/>
      <c r="BQ116" s="256"/>
      <c r="BR116" s="29"/>
      <c r="BS116" s="29"/>
      <c r="BT116" s="256"/>
      <c r="BU116" s="29"/>
      <c r="BV116" s="29"/>
      <c r="BW116" s="256"/>
      <c r="BX116" s="29"/>
      <c r="BY116" s="29"/>
      <c r="BZ116" s="256"/>
      <c r="CA116" s="29"/>
      <c r="CB116" s="29"/>
      <c r="CC116" s="256"/>
      <c r="CD116" s="29"/>
      <c r="CE116" s="29"/>
      <c r="CF116" s="256"/>
      <c r="CG116" s="29"/>
      <c r="CH116" s="29"/>
      <c r="CI116" s="1684">
        <f t="shared" si="9"/>
        <v>0</v>
      </c>
      <c r="CJ116" s="29"/>
      <c r="CK116" s="29"/>
      <c r="CL116" s="256"/>
      <c r="CM116" s="29"/>
      <c r="CN116" s="29"/>
      <c r="CO116" s="256"/>
      <c r="CP116" s="29"/>
      <c r="CQ116" s="29"/>
      <c r="CR116" s="256"/>
      <c r="CS116" s="29"/>
      <c r="CT116" s="29"/>
      <c r="CU116" s="256"/>
      <c r="CV116" s="29"/>
      <c r="CW116" s="29"/>
      <c r="CX116" s="256"/>
      <c r="CY116" s="29"/>
      <c r="CZ116" s="29"/>
    </row>
    <row r="117" spans="1:104">
      <c r="A117" s="260">
        <f t="shared" si="10"/>
        <v>110</v>
      </c>
      <c r="B117" s="260">
        <v>761</v>
      </c>
      <c r="C117" s="256" t="str">
        <f>'Stmt H'!D26</f>
        <v xml:space="preserve">Maintenance Supervision &amp; Engineering </v>
      </c>
      <c r="D117" s="266"/>
      <c r="E117" s="265" t="s">
        <v>276</v>
      </c>
      <c r="F117" s="264"/>
      <c r="G117" s="361">
        <f>'Stmt H'!F26</f>
        <v>0</v>
      </c>
      <c r="H117" s="29"/>
      <c r="I117" s="268" t="s">
        <v>276</v>
      </c>
      <c r="J117" s="29"/>
      <c r="K117" s="639">
        <f>'Stmt H'!$U26</f>
        <v>0</v>
      </c>
      <c r="M117" s="1624">
        <f t="shared" ref="M117:M123" si="13">IF(ISERROR(O117/K117),0,O117/K117)</f>
        <v>0</v>
      </c>
      <c r="N117" s="1113">
        <f t="shared" ref="N117:N123" si="14">M117*G117</f>
        <v>0</v>
      </c>
      <c r="O117" s="1113"/>
      <c r="Q117" s="1705">
        <v>0</v>
      </c>
      <c r="R117" s="256"/>
      <c r="S117" s="1705">
        <v>0</v>
      </c>
      <c r="T117" s="1706"/>
      <c r="U117" s="256"/>
      <c r="V117" s="1705">
        <v>0</v>
      </c>
      <c r="W117" s="1706"/>
      <c r="X117" s="256"/>
      <c r="Y117" s="1705">
        <v>0</v>
      </c>
      <c r="Z117" s="1706"/>
      <c r="AA117" s="256"/>
      <c r="AB117" s="1705">
        <v>0</v>
      </c>
      <c r="AC117" s="1706"/>
      <c r="AD117" s="256"/>
      <c r="AE117" s="1705">
        <v>0</v>
      </c>
      <c r="AF117" s="1706"/>
      <c r="AG117" s="256"/>
      <c r="AH117" s="1705">
        <v>0</v>
      </c>
      <c r="AI117" s="1706"/>
      <c r="AJ117" s="256"/>
      <c r="AK117" s="1705">
        <v>0</v>
      </c>
      <c r="AL117" s="1706"/>
      <c r="AM117" s="256"/>
      <c r="AN117" s="1705">
        <v>0</v>
      </c>
      <c r="AO117" s="1706"/>
      <c r="AP117" s="256"/>
      <c r="AQ117" s="1705">
        <v>0</v>
      </c>
      <c r="AR117" s="1706"/>
      <c r="AS117" s="256"/>
      <c r="AT117" s="1705">
        <v>0</v>
      </c>
      <c r="AU117" s="1705"/>
      <c r="AV117" s="256"/>
      <c r="AW117" s="1705">
        <v>0</v>
      </c>
      <c r="AX117" s="1705"/>
      <c r="AY117" s="256"/>
      <c r="AZ117" s="1705">
        <v>0</v>
      </c>
      <c r="BA117" s="1705"/>
      <c r="BB117" s="256"/>
      <c r="BC117" s="1705">
        <v>0</v>
      </c>
      <c r="BD117" s="1705"/>
      <c r="BE117" s="256"/>
      <c r="BF117" s="1705">
        <v>0</v>
      </c>
      <c r="BG117" s="1705"/>
      <c r="BH117" s="256"/>
      <c r="BI117" s="1705">
        <v>0</v>
      </c>
      <c r="BJ117" s="1705"/>
      <c r="BK117" s="256"/>
      <c r="BL117" s="1705">
        <v>0</v>
      </c>
      <c r="BM117" s="1705"/>
      <c r="BN117" s="256"/>
      <c r="BO117" s="1705">
        <v>0</v>
      </c>
      <c r="BP117" s="1705"/>
      <c r="BQ117" s="256"/>
      <c r="BR117" s="1705">
        <v>0</v>
      </c>
      <c r="BS117" s="1705"/>
      <c r="BT117" s="256"/>
      <c r="BU117" s="1705">
        <v>0</v>
      </c>
      <c r="BV117" s="1705"/>
      <c r="BW117" s="256"/>
      <c r="BX117" s="1705">
        <v>0</v>
      </c>
      <c r="BY117" s="1705"/>
      <c r="BZ117" s="256"/>
      <c r="CA117" s="1705">
        <v>0</v>
      </c>
      <c r="CB117" s="1705"/>
      <c r="CC117" s="256"/>
      <c r="CD117" s="1705">
        <v>0</v>
      </c>
      <c r="CE117" s="1705"/>
      <c r="CF117" s="256"/>
      <c r="CG117" s="1705">
        <v>0</v>
      </c>
      <c r="CH117" s="1705"/>
      <c r="CI117" s="1684">
        <f t="shared" si="9"/>
        <v>0</v>
      </c>
      <c r="CJ117" s="1705">
        <v>0</v>
      </c>
      <c r="CK117" s="1705"/>
      <c r="CL117" s="256"/>
      <c r="CM117" s="1705">
        <v>0</v>
      </c>
      <c r="CN117" s="1705"/>
      <c r="CO117" s="256"/>
      <c r="CP117" s="639">
        <v>0</v>
      </c>
      <c r="CQ117" s="1705"/>
      <c r="CR117" s="256"/>
      <c r="CS117" s="639">
        <v>0</v>
      </c>
      <c r="CT117" s="1705"/>
      <c r="CU117" s="256"/>
      <c r="CV117" s="1705">
        <v>0</v>
      </c>
      <c r="CW117" s="1705"/>
      <c r="CX117" s="256"/>
      <c r="CY117" s="1705"/>
      <c r="CZ117" s="1705"/>
    </row>
    <row r="118" spans="1:104">
      <c r="A118" s="260">
        <f t="shared" si="10"/>
        <v>111</v>
      </c>
      <c r="B118" s="260">
        <v>762</v>
      </c>
      <c r="C118" s="256" t="str">
        <f>'Stmt H'!D27</f>
        <v>Maintenance of Structures &amp; Improvements</v>
      </c>
      <c r="D118" s="266"/>
      <c r="E118" s="265" t="s">
        <v>276</v>
      </c>
      <c r="F118" s="264"/>
      <c r="G118" s="209">
        <f>'Stmt H'!F27</f>
        <v>0</v>
      </c>
      <c r="H118" s="29"/>
      <c r="I118" s="268" t="s">
        <v>276</v>
      </c>
      <c r="J118" s="29"/>
      <c r="K118" s="209">
        <f>'Stmt H'!$U27</f>
        <v>0</v>
      </c>
      <c r="M118" s="1624">
        <f t="shared" si="13"/>
        <v>0</v>
      </c>
      <c r="N118" s="1628">
        <f t="shared" si="14"/>
        <v>0</v>
      </c>
      <c r="O118" s="1628"/>
      <c r="Q118" s="1066">
        <v>0</v>
      </c>
      <c r="R118" s="256"/>
      <c r="S118" s="1066">
        <v>0</v>
      </c>
      <c r="T118" s="1698"/>
      <c r="U118" s="256"/>
      <c r="V118" s="1066">
        <v>0</v>
      </c>
      <c r="W118" s="1698"/>
      <c r="X118" s="256"/>
      <c r="Y118" s="1066">
        <v>0</v>
      </c>
      <c r="Z118" s="1698"/>
      <c r="AA118" s="256"/>
      <c r="AB118" s="1066">
        <v>0</v>
      </c>
      <c r="AC118" s="1698"/>
      <c r="AD118" s="256"/>
      <c r="AE118" s="1066">
        <v>0</v>
      </c>
      <c r="AF118" s="1698"/>
      <c r="AG118" s="256"/>
      <c r="AH118" s="1066">
        <v>0</v>
      </c>
      <c r="AI118" s="1698"/>
      <c r="AJ118" s="256"/>
      <c r="AK118" s="1066">
        <v>0</v>
      </c>
      <c r="AL118" s="1698"/>
      <c r="AM118" s="256"/>
      <c r="AN118" s="1066">
        <v>0</v>
      </c>
      <c r="AO118" s="1698"/>
      <c r="AP118" s="256"/>
      <c r="AQ118" s="1066">
        <v>0</v>
      </c>
      <c r="AR118" s="1698"/>
      <c r="AS118" s="256"/>
      <c r="AT118" s="1066">
        <v>0</v>
      </c>
      <c r="AU118" s="1066"/>
      <c r="AV118" s="256"/>
      <c r="AW118" s="1066">
        <v>0</v>
      </c>
      <c r="AX118" s="1066"/>
      <c r="AY118" s="256"/>
      <c r="AZ118" s="1066">
        <v>0</v>
      </c>
      <c r="BA118" s="1066"/>
      <c r="BB118" s="256"/>
      <c r="BC118" s="1066">
        <v>0</v>
      </c>
      <c r="BD118" s="1066"/>
      <c r="BE118" s="256"/>
      <c r="BF118" s="1066">
        <v>0</v>
      </c>
      <c r="BG118" s="1066"/>
      <c r="BH118" s="256"/>
      <c r="BI118" s="1066">
        <v>0</v>
      </c>
      <c r="BJ118" s="1066"/>
      <c r="BK118" s="256"/>
      <c r="BL118" s="1066">
        <v>0</v>
      </c>
      <c r="BM118" s="1066"/>
      <c r="BN118" s="256"/>
      <c r="BO118" s="1066">
        <v>0</v>
      </c>
      <c r="BP118" s="1066"/>
      <c r="BQ118" s="256"/>
      <c r="BR118" s="1066">
        <v>0</v>
      </c>
      <c r="BS118" s="1066"/>
      <c r="BT118" s="256"/>
      <c r="BU118" s="1066">
        <v>0</v>
      </c>
      <c r="BV118" s="1066"/>
      <c r="BW118" s="256"/>
      <c r="BX118" s="1066">
        <v>0</v>
      </c>
      <c r="BY118" s="1066"/>
      <c r="BZ118" s="256"/>
      <c r="CA118" s="1066">
        <v>0</v>
      </c>
      <c r="CB118" s="1066"/>
      <c r="CC118" s="256"/>
      <c r="CD118" s="1066">
        <v>0</v>
      </c>
      <c r="CE118" s="1066"/>
      <c r="CF118" s="256"/>
      <c r="CG118" s="1066">
        <v>0</v>
      </c>
      <c r="CH118" s="1066"/>
      <c r="CI118" s="1684">
        <f t="shared" si="9"/>
        <v>0</v>
      </c>
      <c r="CJ118" s="1066">
        <v>0</v>
      </c>
      <c r="CK118" s="1066"/>
      <c r="CL118" s="256"/>
      <c r="CM118" s="1066">
        <v>0</v>
      </c>
      <c r="CN118" s="1066"/>
      <c r="CO118" s="256"/>
      <c r="CP118" s="209">
        <v>0</v>
      </c>
      <c r="CQ118" s="1066"/>
      <c r="CR118" s="256"/>
      <c r="CS118" s="209">
        <v>0</v>
      </c>
      <c r="CT118" s="1066"/>
      <c r="CU118" s="256"/>
      <c r="CV118" s="1066">
        <v>0</v>
      </c>
      <c r="CW118" s="1066"/>
      <c r="CX118" s="256"/>
      <c r="CY118" s="1066"/>
      <c r="CZ118" s="1066"/>
    </row>
    <row r="119" spans="1:104">
      <c r="A119" s="260">
        <f t="shared" si="10"/>
        <v>112</v>
      </c>
      <c r="B119" s="260">
        <v>763</v>
      </c>
      <c r="C119" s="256" t="str">
        <f>'Stmt H'!D28</f>
        <v>Maintenance of Producing Gas Wells</v>
      </c>
      <c r="D119" s="266"/>
      <c r="E119" s="265" t="s">
        <v>276</v>
      </c>
      <c r="F119" s="264"/>
      <c r="G119" s="209">
        <f>'Stmt H'!F28</f>
        <v>0</v>
      </c>
      <c r="H119" s="29"/>
      <c r="I119" s="268" t="s">
        <v>276</v>
      </c>
      <c r="J119" s="29"/>
      <c r="K119" s="209">
        <f>'Stmt H'!$U28</f>
        <v>0</v>
      </c>
      <c r="M119" s="1624">
        <f t="shared" si="13"/>
        <v>0</v>
      </c>
      <c r="N119" s="1628">
        <f t="shared" si="14"/>
        <v>0</v>
      </c>
      <c r="O119" s="1628"/>
      <c r="Q119" s="1066">
        <v>0</v>
      </c>
      <c r="R119" s="256"/>
      <c r="S119" s="1066">
        <v>0</v>
      </c>
      <c r="T119" s="1698"/>
      <c r="U119" s="256"/>
      <c r="V119" s="1066">
        <v>0</v>
      </c>
      <c r="W119" s="1698"/>
      <c r="X119" s="256"/>
      <c r="Y119" s="1066">
        <v>0</v>
      </c>
      <c r="Z119" s="1698"/>
      <c r="AA119" s="256"/>
      <c r="AB119" s="1066">
        <v>0</v>
      </c>
      <c r="AC119" s="1698"/>
      <c r="AD119" s="256"/>
      <c r="AE119" s="1066">
        <v>0</v>
      </c>
      <c r="AF119" s="1698"/>
      <c r="AG119" s="256"/>
      <c r="AH119" s="1066">
        <v>0</v>
      </c>
      <c r="AI119" s="1698"/>
      <c r="AJ119" s="256"/>
      <c r="AK119" s="1066">
        <v>0</v>
      </c>
      <c r="AL119" s="1698"/>
      <c r="AM119" s="256"/>
      <c r="AN119" s="1066">
        <v>0</v>
      </c>
      <c r="AO119" s="1698"/>
      <c r="AP119" s="256"/>
      <c r="AQ119" s="1066">
        <v>0</v>
      </c>
      <c r="AR119" s="1698"/>
      <c r="AS119" s="256"/>
      <c r="AT119" s="1066">
        <v>0</v>
      </c>
      <c r="AU119" s="1066"/>
      <c r="AV119" s="256"/>
      <c r="AW119" s="1066">
        <v>0</v>
      </c>
      <c r="AX119" s="1066"/>
      <c r="AY119" s="256"/>
      <c r="AZ119" s="1066">
        <v>0</v>
      </c>
      <c r="BA119" s="1066"/>
      <c r="BB119" s="256"/>
      <c r="BC119" s="1066">
        <v>0</v>
      </c>
      <c r="BD119" s="1066"/>
      <c r="BE119" s="256"/>
      <c r="BF119" s="1066">
        <v>0</v>
      </c>
      <c r="BG119" s="1066"/>
      <c r="BH119" s="256"/>
      <c r="BI119" s="1066">
        <v>0</v>
      </c>
      <c r="BJ119" s="1066"/>
      <c r="BK119" s="256"/>
      <c r="BL119" s="1066">
        <v>0</v>
      </c>
      <c r="BM119" s="1066"/>
      <c r="BN119" s="256"/>
      <c r="BO119" s="1066">
        <v>0</v>
      </c>
      <c r="BP119" s="1066"/>
      <c r="BQ119" s="256"/>
      <c r="BR119" s="1066">
        <v>0</v>
      </c>
      <c r="BS119" s="1066"/>
      <c r="BT119" s="256"/>
      <c r="BU119" s="1066">
        <v>0</v>
      </c>
      <c r="BV119" s="1066"/>
      <c r="BW119" s="256"/>
      <c r="BX119" s="1066">
        <v>0</v>
      </c>
      <c r="BY119" s="1066"/>
      <c r="BZ119" s="256"/>
      <c r="CA119" s="1066">
        <v>0</v>
      </c>
      <c r="CB119" s="1066"/>
      <c r="CC119" s="256"/>
      <c r="CD119" s="1066">
        <v>0</v>
      </c>
      <c r="CE119" s="1066"/>
      <c r="CF119" s="256"/>
      <c r="CG119" s="1066">
        <v>0</v>
      </c>
      <c r="CH119" s="1066"/>
      <c r="CI119" s="1684">
        <f t="shared" si="9"/>
        <v>0</v>
      </c>
      <c r="CJ119" s="1066">
        <v>0</v>
      </c>
      <c r="CK119" s="1066"/>
      <c r="CL119" s="256"/>
      <c r="CM119" s="1066">
        <v>0</v>
      </c>
      <c r="CN119" s="1066"/>
      <c r="CO119" s="256"/>
      <c r="CP119" s="209">
        <v>0</v>
      </c>
      <c r="CQ119" s="1066"/>
      <c r="CR119" s="256"/>
      <c r="CS119" s="209">
        <v>0</v>
      </c>
      <c r="CT119" s="1066"/>
      <c r="CU119" s="256"/>
      <c r="CV119" s="1066">
        <v>0</v>
      </c>
      <c r="CW119" s="1066"/>
      <c r="CX119" s="256"/>
      <c r="CY119" s="1066"/>
      <c r="CZ119" s="1066"/>
    </row>
    <row r="120" spans="1:104">
      <c r="A120" s="260">
        <f t="shared" si="10"/>
        <v>113</v>
      </c>
      <c r="B120" s="260">
        <v>764</v>
      </c>
      <c r="C120" s="256" t="str">
        <f>'Stmt H'!D29</f>
        <v>Maintenance of Field Lines</v>
      </c>
      <c r="D120" s="266"/>
      <c r="E120" s="265" t="s">
        <v>276</v>
      </c>
      <c r="F120" s="264"/>
      <c r="G120" s="209">
        <f>'Stmt H'!F29</f>
        <v>0</v>
      </c>
      <c r="H120" s="29"/>
      <c r="I120" s="268" t="s">
        <v>276</v>
      </c>
      <c r="J120" s="29"/>
      <c r="K120" s="209">
        <f>'Stmt H'!$U29</f>
        <v>0</v>
      </c>
      <c r="M120" s="1624">
        <f t="shared" si="13"/>
        <v>0</v>
      </c>
      <c r="N120" s="1628">
        <f t="shared" si="14"/>
        <v>0</v>
      </c>
      <c r="O120" s="1628"/>
      <c r="Q120" s="1066">
        <v>0</v>
      </c>
      <c r="R120" s="256"/>
      <c r="S120" s="1066">
        <v>0</v>
      </c>
      <c r="T120" s="1698"/>
      <c r="U120" s="256"/>
      <c r="V120" s="1066">
        <v>0</v>
      </c>
      <c r="W120" s="1698"/>
      <c r="X120" s="256"/>
      <c r="Y120" s="1066">
        <v>0</v>
      </c>
      <c r="Z120" s="1698"/>
      <c r="AA120" s="256"/>
      <c r="AB120" s="1066">
        <v>0</v>
      </c>
      <c r="AC120" s="1698"/>
      <c r="AD120" s="256"/>
      <c r="AE120" s="1066">
        <v>0</v>
      </c>
      <c r="AF120" s="1698"/>
      <c r="AG120" s="256"/>
      <c r="AH120" s="1066">
        <v>0</v>
      </c>
      <c r="AI120" s="1698"/>
      <c r="AJ120" s="256"/>
      <c r="AK120" s="1066">
        <v>0</v>
      </c>
      <c r="AL120" s="1698"/>
      <c r="AM120" s="256"/>
      <c r="AN120" s="1066">
        <v>0</v>
      </c>
      <c r="AO120" s="1698"/>
      <c r="AP120" s="256"/>
      <c r="AQ120" s="1066">
        <v>0</v>
      </c>
      <c r="AR120" s="1698"/>
      <c r="AS120" s="256"/>
      <c r="AT120" s="1066">
        <v>0</v>
      </c>
      <c r="AU120" s="1066"/>
      <c r="AV120" s="256"/>
      <c r="AW120" s="1066">
        <v>0</v>
      </c>
      <c r="AX120" s="1066"/>
      <c r="AY120" s="256"/>
      <c r="AZ120" s="1066">
        <v>0</v>
      </c>
      <c r="BA120" s="1066"/>
      <c r="BB120" s="256"/>
      <c r="BC120" s="1066">
        <v>0</v>
      </c>
      <c r="BD120" s="1066"/>
      <c r="BE120" s="256"/>
      <c r="BF120" s="1066">
        <v>0</v>
      </c>
      <c r="BG120" s="1066"/>
      <c r="BH120" s="256"/>
      <c r="BI120" s="1066">
        <v>0</v>
      </c>
      <c r="BJ120" s="1066"/>
      <c r="BK120" s="256"/>
      <c r="BL120" s="1066">
        <v>0</v>
      </c>
      <c r="BM120" s="1066"/>
      <c r="BN120" s="256"/>
      <c r="BO120" s="1066">
        <v>0</v>
      </c>
      <c r="BP120" s="1066"/>
      <c r="BQ120" s="256"/>
      <c r="BR120" s="1066">
        <v>0</v>
      </c>
      <c r="BS120" s="1066"/>
      <c r="BT120" s="256"/>
      <c r="BU120" s="1066">
        <v>0</v>
      </c>
      <c r="BV120" s="1066"/>
      <c r="BW120" s="256"/>
      <c r="BX120" s="1066">
        <v>0</v>
      </c>
      <c r="BY120" s="1066"/>
      <c r="BZ120" s="256"/>
      <c r="CA120" s="1066">
        <v>0</v>
      </c>
      <c r="CB120" s="1066"/>
      <c r="CC120" s="256"/>
      <c r="CD120" s="1066">
        <v>0</v>
      </c>
      <c r="CE120" s="1066"/>
      <c r="CF120" s="256"/>
      <c r="CG120" s="1066">
        <v>0</v>
      </c>
      <c r="CH120" s="1066"/>
      <c r="CI120" s="1684">
        <f t="shared" si="9"/>
        <v>0</v>
      </c>
      <c r="CJ120" s="1066">
        <v>0</v>
      </c>
      <c r="CK120" s="1066"/>
      <c r="CL120" s="256"/>
      <c r="CM120" s="1066">
        <v>0</v>
      </c>
      <c r="CN120" s="1066"/>
      <c r="CO120" s="256"/>
      <c r="CP120" s="209">
        <v>0</v>
      </c>
      <c r="CQ120" s="1066"/>
      <c r="CR120" s="256"/>
      <c r="CS120" s="209">
        <v>0</v>
      </c>
      <c r="CT120" s="1066"/>
      <c r="CU120" s="256"/>
      <c r="CV120" s="1066">
        <v>0</v>
      </c>
      <c r="CW120" s="1066"/>
      <c r="CX120" s="256"/>
      <c r="CY120" s="1066"/>
      <c r="CZ120" s="1066"/>
    </row>
    <row r="121" spans="1:104">
      <c r="A121" s="260">
        <f t="shared" si="10"/>
        <v>114</v>
      </c>
      <c r="B121" s="260">
        <v>765</v>
      </c>
      <c r="C121" s="256" t="str">
        <f>'Stmt H'!D30</f>
        <v>Maintenance of Field Compressor Station Equipment</v>
      </c>
      <c r="D121" s="266"/>
      <c r="E121" s="265" t="s">
        <v>276</v>
      </c>
      <c r="F121" s="264"/>
      <c r="G121" s="209">
        <f>'Stmt H'!F30</f>
        <v>0</v>
      </c>
      <c r="H121" s="29"/>
      <c r="I121" s="268" t="s">
        <v>276</v>
      </c>
      <c r="J121" s="29"/>
      <c r="K121" s="209">
        <f>'Stmt H'!$U30</f>
        <v>0</v>
      </c>
      <c r="M121" s="1624">
        <f t="shared" si="13"/>
        <v>0</v>
      </c>
      <c r="N121" s="1628">
        <f t="shared" si="14"/>
        <v>0</v>
      </c>
      <c r="O121" s="1628"/>
      <c r="Q121" s="1066">
        <v>0</v>
      </c>
      <c r="R121" s="256"/>
      <c r="S121" s="1066">
        <v>0</v>
      </c>
      <c r="T121" s="1698"/>
      <c r="U121" s="256"/>
      <c r="V121" s="1066">
        <v>0</v>
      </c>
      <c r="W121" s="1698"/>
      <c r="X121" s="256"/>
      <c r="Y121" s="1066">
        <v>0</v>
      </c>
      <c r="Z121" s="1698"/>
      <c r="AA121" s="256"/>
      <c r="AB121" s="1066">
        <v>0</v>
      </c>
      <c r="AC121" s="1698"/>
      <c r="AD121" s="256"/>
      <c r="AE121" s="1066">
        <v>0</v>
      </c>
      <c r="AF121" s="1698"/>
      <c r="AG121" s="256"/>
      <c r="AH121" s="1066">
        <v>0</v>
      </c>
      <c r="AI121" s="1698"/>
      <c r="AJ121" s="256"/>
      <c r="AK121" s="1066">
        <v>0</v>
      </c>
      <c r="AL121" s="1698"/>
      <c r="AM121" s="256"/>
      <c r="AN121" s="1066">
        <v>0</v>
      </c>
      <c r="AO121" s="1698"/>
      <c r="AP121" s="256"/>
      <c r="AQ121" s="1066">
        <v>0</v>
      </c>
      <c r="AR121" s="1698"/>
      <c r="AS121" s="256"/>
      <c r="AT121" s="1066">
        <v>0</v>
      </c>
      <c r="AU121" s="1066"/>
      <c r="AV121" s="256"/>
      <c r="AW121" s="1066">
        <v>0</v>
      </c>
      <c r="AX121" s="1066"/>
      <c r="AY121" s="256"/>
      <c r="AZ121" s="1066">
        <v>0</v>
      </c>
      <c r="BA121" s="1066"/>
      <c r="BB121" s="256"/>
      <c r="BC121" s="1066">
        <v>0</v>
      </c>
      <c r="BD121" s="1066"/>
      <c r="BE121" s="256"/>
      <c r="BF121" s="1066">
        <v>0</v>
      </c>
      <c r="BG121" s="1066"/>
      <c r="BH121" s="256"/>
      <c r="BI121" s="1066">
        <v>0</v>
      </c>
      <c r="BJ121" s="1066"/>
      <c r="BK121" s="256"/>
      <c r="BL121" s="1066">
        <v>0</v>
      </c>
      <c r="BM121" s="1066"/>
      <c r="BN121" s="256"/>
      <c r="BO121" s="1066">
        <v>0</v>
      </c>
      <c r="BP121" s="1066"/>
      <c r="BQ121" s="256"/>
      <c r="BR121" s="1066">
        <v>0</v>
      </c>
      <c r="BS121" s="1066"/>
      <c r="BT121" s="256"/>
      <c r="BU121" s="1066">
        <v>0</v>
      </c>
      <c r="BV121" s="1066"/>
      <c r="BW121" s="256"/>
      <c r="BX121" s="1066">
        <v>0</v>
      </c>
      <c r="BY121" s="1066"/>
      <c r="BZ121" s="256"/>
      <c r="CA121" s="1066">
        <v>0</v>
      </c>
      <c r="CB121" s="1066"/>
      <c r="CC121" s="256"/>
      <c r="CD121" s="1066">
        <v>0</v>
      </c>
      <c r="CE121" s="1066"/>
      <c r="CF121" s="256"/>
      <c r="CG121" s="1066">
        <v>0</v>
      </c>
      <c r="CH121" s="1066"/>
      <c r="CI121" s="1684">
        <f t="shared" si="9"/>
        <v>0</v>
      </c>
      <c r="CJ121" s="1066">
        <v>0</v>
      </c>
      <c r="CK121" s="1066"/>
      <c r="CL121" s="256"/>
      <c r="CM121" s="1066">
        <v>0</v>
      </c>
      <c r="CN121" s="1066"/>
      <c r="CO121" s="256"/>
      <c r="CP121" s="209">
        <v>0</v>
      </c>
      <c r="CQ121" s="1066"/>
      <c r="CR121" s="256"/>
      <c r="CS121" s="209">
        <v>0</v>
      </c>
      <c r="CT121" s="1066"/>
      <c r="CU121" s="256"/>
      <c r="CV121" s="1066">
        <v>0</v>
      </c>
      <c r="CW121" s="1066"/>
      <c r="CX121" s="256"/>
      <c r="CY121" s="1066"/>
      <c r="CZ121" s="1066"/>
    </row>
    <row r="122" spans="1:104">
      <c r="A122" s="260">
        <f t="shared" si="10"/>
        <v>115</v>
      </c>
      <c r="B122" s="260">
        <v>766</v>
      </c>
      <c r="C122" s="256" t="str">
        <f>'Stmt H'!D31</f>
        <v>Maintenance of Field Measuring &amp; Regulating Station Equipment</v>
      </c>
      <c r="D122" s="266"/>
      <c r="E122" s="265" t="s">
        <v>276</v>
      </c>
      <c r="F122" s="264"/>
      <c r="G122" s="209">
        <f>'Stmt H'!F31</f>
        <v>0</v>
      </c>
      <c r="H122" s="29"/>
      <c r="I122" s="268" t="s">
        <v>276</v>
      </c>
      <c r="J122" s="29"/>
      <c r="K122" s="209">
        <f>'Stmt H'!$U31</f>
        <v>0</v>
      </c>
      <c r="M122" s="1624">
        <f t="shared" si="13"/>
        <v>0</v>
      </c>
      <c r="N122" s="1628">
        <f t="shared" si="14"/>
        <v>0</v>
      </c>
      <c r="O122" s="1628"/>
      <c r="Q122" s="1066">
        <v>0</v>
      </c>
      <c r="R122" s="256"/>
      <c r="S122" s="1066">
        <v>0</v>
      </c>
      <c r="T122" s="1698"/>
      <c r="U122" s="256"/>
      <c r="V122" s="1066">
        <v>0</v>
      </c>
      <c r="W122" s="1698"/>
      <c r="X122" s="256"/>
      <c r="Y122" s="1066">
        <v>0</v>
      </c>
      <c r="Z122" s="1698"/>
      <c r="AA122" s="256"/>
      <c r="AB122" s="1066">
        <v>0</v>
      </c>
      <c r="AC122" s="1698"/>
      <c r="AD122" s="256"/>
      <c r="AE122" s="1066">
        <v>0</v>
      </c>
      <c r="AF122" s="1698"/>
      <c r="AG122" s="256"/>
      <c r="AH122" s="1066">
        <v>0</v>
      </c>
      <c r="AI122" s="1698"/>
      <c r="AJ122" s="256"/>
      <c r="AK122" s="1066">
        <v>0</v>
      </c>
      <c r="AL122" s="1698"/>
      <c r="AM122" s="256"/>
      <c r="AN122" s="1066">
        <v>0</v>
      </c>
      <c r="AO122" s="1698"/>
      <c r="AP122" s="256"/>
      <c r="AQ122" s="1066">
        <v>0</v>
      </c>
      <c r="AR122" s="1698"/>
      <c r="AS122" s="256"/>
      <c r="AT122" s="1066">
        <v>0</v>
      </c>
      <c r="AU122" s="1066"/>
      <c r="AV122" s="256"/>
      <c r="AW122" s="1066">
        <v>0</v>
      </c>
      <c r="AX122" s="1066"/>
      <c r="AY122" s="256"/>
      <c r="AZ122" s="1066">
        <v>0</v>
      </c>
      <c r="BA122" s="1066"/>
      <c r="BB122" s="256"/>
      <c r="BC122" s="1066">
        <v>0</v>
      </c>
      <c r="BD122" s="1066"/>
      <c r="BE122" s="256"/>
      <c r="BF122" s="1066">
        <v>0</v>
      </c>
      <c r="BG122" s="1066"/>
      <c r="BH122" s="256"/>
      <c r="BI122" s="1066">
        <v>0</v>
      </c>
      <c r="BJ122" s="1066"/>
      <c r="BK122" s="256"/>
      <c r="BL122" s="1066">
        <v>0</v>
      </c>
      <c r="BM122" s="1066"/>
      <c r="BN122" s="256"/>
      <c r="BO122" s="1066">
        <v>0</v>
      </c>
      <c r="BP122" s="1066"/>
      <c r="BQ122" s="256"/>
      <c r="BR122" s="1066">
        <v>0</v>
      </c>
      <c r="BS122" s="1066"/>
      <c r="BT122" s="256"/>
      <c r="BU122" s="1066">
        <v>0</v>
      </c>
      <c r="BV122" s="1066"/>
      <c r="BW122" s="256"/>
      <c r="BX122" s="1066">
        <v>0</v>
      </c>
      <c r="BY122" s="1066"/>
      <c r="BZ122" s="256"/>
      <c r="CA122" s="1066">
        <v>0</v>
      </c>
      <c r="CB122" s="1066"/>
      <c r="CC122" s="256"/>
      <c r="CD122" s="1066">
        <v>0</v>
      </c>
      <c r="CE122" s="1066"/>
      <c r="CF122" s="256"/>
      <c r="CG122" s="1066">
        <v>0</v>
      </c>
      <c r="CH122" s="1066"/>
      <c r="CI122" s="1684">
        <f t="shared" si="9"/>
        <v>0</v>
      </c>
      <c r="CJ122" s="1066">
        <v>0</v>
      </c>
      <c r="CK122" s="1066"/>
      <c r="CL122" s="256"/>
      <c r="CM122" s="1066">
        <v>0</v>
      </c>
      <c r="CN122" s="1066"/>
      <c r="CO122" s="256"/>
      <c r="CP122" s="209">
        <v>0</v>
      </c>
      <c r="CQ122" s="1066"/>
      <c r="CR122" s="256"/>
      <c r="CS122" s="209">
        <v>0</v>
      </c>
      <c r="CT122" s="1066"/>
      <c r="CU122" s="256"/>
      <c r="CV122" s="1066">
        <v>0</v>
      </c>
      <c r="CW122" s="1066"/>
      <c r="CX122" s="256"/>
      <c r="CY122" s="1066"/>
      <c r="CZ122" s="1066"/>
    </row>
    <row r="123" spans="1:104">
      <c r="A123" s="260">
        <f t="shared" si="10"/>
        <v>116</v>
      </c>
      <c r="B123" s="260">
        <v>767</v>
      </c>
      <c r="C123" s="256" t="str">
        <f>'Stmt H'!D32</f>
        <v>Maintenance of Purification Equipment</v>
      </c>
      <c r="D123" s="266"/>
      <c r="E123" s="265" t="s">
        <v>276</v>
      </c>
      <c r="F123" s="264"/>
      <c r="G123" s="787">
        <f>'Stmt H'!F32</f>
        <v>0</v>
      </c>
      <c r="H123" s="29"/>
      <c r="I123" s="268" t="s">
        <v>276</v>
      </c>
      <c r="J123" s="29"/>
      <c r="K123" s="787">
        <f>'Stmt H'!$U32</f>
        <v>0</v>
      </c>
      <c r="M123" s="1624">
        <f t="shared" si="13"/>
        <v>0</v>
      </c>
      <c r="N123" s="1626">
        <f t="shared" si="14"/>
        <v>0</v>
      </c>
      <c r="O123" s="1626"/>
      <c r="Q123" s="1687">
        <v>0</v>
      </c>
      <c r="R123" s="256"/>
      <c r="S123" s="1687">
        <v>0</v>
      </c>
      <c r="T123" s="1688"/>
      <c r="U123" s="256"/>
      <c r="V123" s="1687">
        <v>0</v>
      </c>
      <c r="W123" s="1688"/>
      <c r="X123" s="256"/>
      <c r="Y123" s="1687">
        <v>0</v>
      </c>
      <c r="Z123" s="1688"/>
      <c r="AA123" s="256"/>
      <c r="AB123" s="1687">
        <v>0</v>
      </c>
      <c r="AC123" s="1688"/>
      <c r="AD123" s="256"/>
      <c r="AE123" s="1687">
        <v>0</v>
      </c>
      <c r="AF123" s="1688"/>
      <c r="AG123" s="256"/>
      <c r="AH123" s="1687">
        <v>0</v>
      </c>
      <c r="AI123" s="1688"/>
      <c r="AJ123" s="256"/>
      <c r="AK123" s="1687">
        <v>0</v>
      </c>
      <c r="AL123" s="1688"/>
      <c r="AM123" s="256"/>
      <c r="AN123" s="1687">
        <v>0</v>
      </c>
      <c r="AO123" s="1688"/>
      <c r="AP123" s="256"/>
      <c r="AQ123" s="1687">
        <v>0</v>
      </c>
      <c r="AR123" s="1688"/>
      <c r="AS123" s="256"/>
      <c r="AT123" s="1687">
        <v>0</v>
      </c>
      <c r="AU123" s="1687"/>
      <c r="AV123" s="256"/>
      <c r="AW123" s="1687">
        <v>0</v>
      </c>
      <c r="AX123" s="1687"/>
      <c r="AY123" s="256"/>
      <c r="AZ123" s="1687">
        <v>0</v>
      </c>
      <c r="BA123" s="1687"/>
      <c r="BB123" s="256"/>
      <c r="BC123" s="1687">
        <v>0</v>
      </c>
      <c r="BD123" s="1687"/>
      <c r="BE123" s="256"/>
      <c r="BF123" s="1687">
        <v>0</v>
      </c>
      <c r="BG123" s="1687"/>
      <c r="BH123" s="256"/>
      <c r="BI123" s="1687">
        <v>0</v>
      </c>
      <c r="BJ123" s="1687"/>
      <c r="BK123" s="256"/>
      <c r="BL123" s="1687">
        <v>0</v>
      </c>
      <c r="BM123" s="1687"/>
      <c r="BN123" s="256"/>
      <c r="BO123" s="1687">
        <v>0</v>
      </c>
      <c r="BP123" s="1687"/>
      <c r="BQ123" s="256"/>
      <c r="BR123" s="1687">
        <v>0</v>
      </c>
      <c r="BS123" s="1687"/>
      <c r="BT123" s="256"/>
      <c r="BU123" s="1687">
        <v>0</v>
      </c>
      <c r="BV123" s="1687"/>
      <c r="BW123" s="256"/>
      <c r="BX123" s="1687">
        <v>0</v>
      </c>
      <c r="BY123" s="1687"/>
      <c r="BZ123" s="256"/>
      <c r="CA123" s="1687">
        <v>0</v>
      </c>
      <c r="CB123" s="1687"/>
      <c r="CC123" s="256"/>
      <c r="CD123" s="1687">
        <v>0</v>
      </c>
      <c r="CE123" s="1687"/>
      <c r="CF123" s="256"/>
      <c r="CG123" s="1687">
        <v>0</v>
      </c>
      <c r="CH123" s="1687"/>
      <c r="CI123" s="1684">
        <f t="shared" si="9"/>
        <v>0</v>
      </c>
      <c r="CJ123" s="1687">
        <v>0</v>
      </c>
      <c r="CK123" s="1687"/>
      <c r="CL123" s="256"/>
      <c r="CM123" s="1687">
        <v>0</v>
      </c>
      <c r="CN123" s="1687"/>
      <c r="CO123" s="256"/>
      <c r="CP123" s="787">
        <v>0</v>
      </c>
      <c r="CQ123" s="1687"/>
      <c r="CR123" s="256"/>
      <c r="CS123" s="787">
        <v>0</v>
      </c>
      <c r="CT123" s="1687"/>
      <c r="CU123" s="256"/>
      <c r="CV123" s="1687">
        <v>0</v>
      </c>
      <c r="CW123" s="1687"/>
      <c r="CX123" s="256"/>
      <c r="CY123" s="1687"/>
      <c r="CZ123" s="1687"/>
    </row>
    <row r="124" spans="1:104">
      <c r="A124" s="260">
        <f t="shared" si="10"/>
        <v>117</v>
      </c>
      <c r="B124" s="260"/>
      <c r="C124" s="735" t="s">
        <v>698</v>
      </c>
      <c r="D124" s="266"/>
      <c r="E124" s="265" t="s">
        <v>276</v>
      </c>
      <c r="F124" s="264"/>
      <c r="G124" s="361">
        <f>'Stmt H'!F33</f>
        <v>0</v>
      </c>
      <c r="H124" s="29"/>
      <c r="I124" s="268" t="s">
        <v>276</v>
      </c>
      <c r="J124" s="29"/>
      <c r="K124" s="639">
        <f>'Stmt H'!$U33</f>
        <v>0</v>
      </c>
      <c r="M124" s="1630" t="s">
        <v>1528</v>
      </c>
      <c r="N124" s="1614">
        <f>SUM(N117:N123)</f>
        <v>0</v>
      </c>
      <c r="O124" s="1614">
        <v>0</v>
      </c>
      <c r="Q124" s="1705">
        <v>0</v>
      </c>
      <c r="R124" s="256"/>
      <c r="S124" s="1705">
        <v>0</v>
      </c>
      <c r="T124" s="1706">
        <v>0</v>
      </c>
      <c r="U124" s="256"/>
      <c r="V124" s="1705">
        <v>0</v>
      </c>
      <c r="W124" s="1706">
        <v>0</v>
      </c>
      <c r="X124" s="256"/>
      <c r="Y124" s="1705">
        <v>0</v>
      </c>
      <c r="Z124" s="1706">
        <v>0</v>
      </c>
      <c r="AA124" s="256"/>
      <c r="AB124" s="1705">
        <v>0</v>
      </c>
      <c r="AC124" s="1706">
        <v>0</v>
      </c>
      <c r="AD124" s="256"/>
      <c r="AE124" s="1705">
        <v>0</v>
      </c>
      <c r="AF124" s="1706">
        <v>0</v>
      </c>
      <c r="AG124" s="256"/>
      <c r="AH124" s="1705">
        <v>0</v>
      </c>
      <c r="AI124" s="1706">
        <v>0</v>
      </c>
      <c r="AJ124" s="256"/>
      <c r="AK124" s="1705">
        <v>0</v>
      </c>
      <c r="AL124" s="1706">
        <v>0</v>
      </c>
      <c r="AM124" s="256"/>
      <c r="AN124" s="1705">
        <v>0</v>
      </c>
      <c r="AO124" s="1706">
        <v>0</v>
      </c>
      <c r="AP124" s="256"/>
      <c r="AQ124" s="1705">
        <v>0</v>
      </c>
      <c r="AR124" s="1706">
        <v>0</v>
      </c>
      <c r="AS124" s="256"/>
      <c r="AT124" s="1705">
        <v>0</v>
      </c>
      <c r="AU124" s="1705">
        <v>0</v>
      </c>
      <c r="AV124" s="256"/>
      <c r="AW124" s="1705">
        <v>0</v>
      </c>
      <c r="AX124" s="1705">
        <v>0</v>
      </c>
      <c r="AY124" s="256"/>
      <c r="AZ124" s="1705">
        <v>0</v>
      </c>
      <c r="BA124" s="1705">
        <v>0</v>
      </c>
      <c r="BB124" s="256"/>
      <c r="BC124" s="1705">
        <v>0</v>
      </c>
      <c r="BD124" s="1705">
        <v>0</v>
      </c>
      <c r="BE124" s="256"/>
      <c r="BF124" s="1705">
        <v>0</v>
      </c>
      <c r="BG124" s="1705">
        <v>0</v>
      </c>
      <c r="BH124" s="256"/>
      <c r="BI124" s="1705">
        <v>0</v>
      </c>
      <c r="BJ124" s="1705">
        <v>0</v>
      </c>
      <c r="BK124" s="256"/>
      <c r="BL124" s="1705">
        <v>0</v>
      </c>
      <c r="BM124" s="1705">
        <v>0</v>
      </c>
      <c r="BN124" s="256"/>
      <c r="BO124" s="1705">
        <v>0</v>
      </c>
      <c r="BP124" s="1705">
        <v>0</v>
      </c>
      <c r="BQ124" s="256"/>
      <c r="BR124" s="1705">
        <v>0</v>
      </c>
      <c r="BS124" s="1705">
        <v>0</v>
      </c>
      <c r="BT124" s="256"/>
      <c r="BU124" s="1705">
        <v>0</v>
      </c>
      <c r="BV124" s="1705">
        <v>0</v>
      </c>
      <c r="BW124" s="256"/>
      <c r="BX124" s="1705">
        <v>0</v>
      </c>
      <c r="BY124" s="1705">
        <v>0</v>
      </c>
      <c r="BZ124" s="256"/>
      <c r="CA124" s="1705">
        <v>0</v>
      </c>
      <c r="CB124" s="1705">
        <v>0</v>
      </c>
      <c r="CC124" s="256"/>
      <c r="CD124" s="1705">
        <v>0</v>
      </c>
      <c r="CE124" s="1705">
        <v>0</v>
      </c>
      <c r="CF124" s="256"/>
      <c r="CG124" s="1705">
        <v>0</v>
      </c>
      <c r="CH124" s="1705">
        <v>0</v>
      </c>
      <c r="CI124" s="1684">
        <f t="shared" si="9"/>
        <v>0</v>
      </c>
      <c r="CJ124" s="1705">
        <v>0</v>
      </c>
      <c r="CK124" s="1705">
        <v>0</v>
      </c>
      <c r="CL124" s="256"/>
      <c r="CM124" s="1705">
        <v>0</v>
      </c>
      <c r="CN124" s="1705">
        <v>0</v>
      </c>
      <c r="CO124" s="256"/>
      <c r="CP124" s="639">
        <v>0</v>
      </c>
      <c r="CQ124" s="1705">
        <v>0</v>
      </c>
      <c r="CR124" s="256"/>
      <c r="CS124" s="639">
        <v>0</v>
      </c>
      <c r="CT124" s="1705">
        <v>0</v>
      </c>
      <c r="CU124" s="256"/>
      <c r="CV124" s="1705">
        <v>0</v>
      </c>
      <c r="CW124" s="1705">
        <v>0</v>
      </c>
      <c r="CX124" s="256"/>
      <c r="CY124" s="1705"/>
      <c r="CZ124" s="1705"/>
    </row>
    <row r="125" spans="1:104">
      <c r="A125" s="260">
        <f t="shared" si="10"/>
        <v>118</v>
      </c>
      <c r="B125" s="260"/>
      <c r="D125" s="266"/>
      <c r="E125" s="268"/>
      <c r="F125" s="264"/>
      <c r="G125" s="361"/>
      <c r="H125" s="29"/>
      <c r="I125" s="1229"/>
      <c r="J125" s="29"/>
      <c r="K125" s="29"/>
      <c r="M125" s="1624"/>
      <c r="N125" s="1113"/>
      <c r="O125" s="1113"/>
      <c r="Q125" s="29"/>
      <c r="R125" s="256"/>
      <c r="S125" s="29"/>
      <c r="T125" s="1697"/>
      <c r="U125" s="256"/>
      <c r="V125" s="29"/>
      <c r="W125" s="1697"/>
      <c r="X125" s="256"/>
      <c r="Y125" s="29"/>
      <c r="Z125" s="1697"/>
      <c r="AA125" s="256"/>
      <c r="AB125" s="29"/>
      <c r="AC125" s="1697"/>
      <c r="AD125" s="256"/>
      <c r="AE125" s="29"/>
      <c r="AF125" s="1697"/>
      <c r="AG125" s="256"/>
      <c r="AH125" s="29"/>
      <c r="AI125" s="1697"/>
      <c r="AJ125" s="256"/>
      <c r="AK125" s="29"/>
      <c r="AL125" s="1697"/>
      <c r="AM125" s="256"/>
      <c r="AN125" s="29"/>
      <c r="AO125" s="1697"/>
      <c r="AP125" s="256"/>
      <c r="AQ125" s="29"/>
      <c r="AR125" s="1697"/>
      <c r="AS125" s="256"/>
      <c r="AT125" s="29"/>
      <c r="AU125" s="29"/>
      <c r="AV125" s="256"/>
      <c r="AW125" s="29"/>
      <c r="AX125" s="29"/>
      <c r="AY125" s="256"/>
      <c r="AZ125" s="29"/>
      <c r="BA125" s="29"/>
      <c r="BB125" s="256"/>
      <c r="BC125" s="29"/>
      <c r="BD125" s="29"/>
      <c r="BE125" s="256"/>
      <c r="BF125" s="29"/>
      <c r="BG125" s="29"/>
      <c r="BH125" s="256"/>
      <c r="BI125" s="29"/>
      <c r="BJ125" s="29"/>
      <c r="BK125" s="256"/>
      <c r="BL125" s="29"/>
      <c r="BM125" s="29"/>
      <c r="BN125" s="256"/>
      <c r="BO125" s="29"/>
      <c r="BP125" s="29"/>
      <c r="BQ125" s="256"/>
      <c r="BR125" s="29"/>
      <c r="BS125" s="29"/>
      <c r="BT125" s="256"/>
      <c r="BU125" s="29"/>
      <c r="BV125" s="29"/>
      <c r="BW125" s="256"/>
      <c r="BX125" s="29"/>
      <c r="BY125" s="29"/>
      <c r="BZ125" s="256"/>
      <c r="CA125" s="29"/>
      <c r="CB125" s="29"/>
      <c r="CC125" s="256"/>
      <c r="CD125" s="29"/>
      <c r="CE125" s="29"/>
      <c r="CF125" s="256"/>
      <c r="CG125" s="29"/>
      <c r="CH125" s="29"/>
      <c r="CI125" s="1684">
        <f t="shared" si="9"/>
        <v>0</v>
      </c>
      <c r="CJ125" s="29"/>
      <c r="CK125" s="29"/>
      <c r="CL125" s="256"/>
      <c r="CM125" s="29"/>
      <c r="CN125" s="29"/>
      <c r="CO125" s="256"/>
      <c r="CP125" s="29"/>
      <c r="CQ125" s="29"/>
      <c r="CR125" s="256"/>
      <c r="CS125" s="29"/>
      <c r="CT125" s="29"/>
      <c r="CU125" s="256"/>
      <c r="CV125" s="29"/>
      <c r="CW125" s="29"/>
      <c r="CX125" s="256"/>
      <c r="CY125" s="29"/>
      <c r="CZ125" s="29"/>
    </row>
    <row r="126" spans="1:104">
      <c r="A126" s="260">
        <f t="shared" si="10"/>
        <v>119</v>
      </c>
      <c r="B126" s="260"/>
      <c r="C126" s="67" t="s">
        <v>383</v>
      </c>
      <c r="D126" s="266"/>
      <c r="E126" s="265"/>
      <c r="F126" s="264"/>
      <c r="G126" s="622"/>
      <c r="H126" s="29"/>
      <c r="I126" s="1229"/>
      <c r="J126" s="29"/>
      <c r="K126" s="50"/>
      <c r="M126" s="1624"/>
      <c r="N126" s="1108"/>
      <c r="O126" s="1108"/>
      <c r="Q126" s="50"/>
      <c r="R126" s="256"/>
      <c r="S126" s="50"/>
      <c r="T126" s="1703"/>
      <c r="U126" s="256"/>
      <c r="V126" s="50"/>
      <c r="W126" s="1703"/>
      <c r="X126" s="256"/>
      <c r="Y126" s="50"/>
      <c r="Z126" s="1703"/>
      <c r="AA126" s="256"/>
      <c r="AB126" s="50"/>
      <c r="AC126" s="1703"/>
      <c r="AD126" s="256"/>
      <c r="AE126" s="50"/>
      <c r="AF126" s="1703"/>
      <c r="AG126" s="256"/>
      <c r="AH126" s="50"/>
      <c r="AI126" s="1703"/>
      <c r="AJ126" s="256"/>
      <c r="AK126" s="50"/>
      <c r="AL126" s="1703"/>
      <c r="AM126" s="256"/>
      <c r="AN126" s="50"/>
      <c r="AO126" s="1703"/>
      <c r="AP126" s="256"/>
      <c r="AQ126" s="50"/>
      <c r="AR126" s="1703"/>
      <c r="AS126" s="256"/>
      <c r="AT126" s="50"/>
      <c r="AU126" s="50"/>
      <c r="AV126" s="256"/>
      <c r="AW126" s="50"/>
      <c r="AX126" s="50"/>
      <c r="AY126" s="256"/>
      <c r="AZ126" s="50"/>
      <c r="BA126" s="50"/>
      <c r="BB126" s="256"/>
      <c r="BC126" s="50"/>
      <c r="BD126" s="50"/>
      <c r="BE126" s="256"/>
      <c r="BF126" s="50"/>
      <c r="BG126" s="50"/>
      <c r="BH126" s="256"/>
      <c r="BI126" s="50"/>
      <c r="BJ126" s="50"/>
      <c r="BK126" s="256"/>
      <c r="BL126" s="50"/>
      <c r="BM126" s="50"/>
      <c r="BN126" s="256"/>
      <c r="BO126" s="50"/>
      <c r="BP126" s="50"/>
      <c r="BQ126" s="256"/>
      <c r="BR126" s="50"/>
      <c r="BS126" s="50"/>
      <c r="BT126" s="256"/>
      <c r="BU126" s="50"/>
      <c r="BV126" s="50"/>
      <c r="BW126" s="256"/>
      <c r="BX126" s="50"/>
      <c r="BY126" s="50"/>
      <c r="BZ126" s="256"/>
      <c r="CA126" s="50"/>
      <c r="CB126" s="50"/>
      <c r="CC126" s="256"/>
      <c r="CD126" s="50"/>
      <c r="CE126" s="50"/>
      <c r="CF126" s="256"/>
      <c r="CG126" s="50"/>
      <c r="CH126" s="50"/>
      <c r="CI126" s="1684">
        <f t="shared" si="9"/>
        <v>0</v>
      </c>
      <c r="CJ126" s="50"/>
      <c r="CK126" s="50"/>
      <c r="CL126" s="256"/>
      <c r="CM126" s="50"/>
      <c r="CN126" s="50"/>
      <c r="CO126" s="256"/>
      <c r="CP126" s="50"/>
      <c r="CQ126" s="50"/>
      <c r="CR126" s="256"/>
      <c r="CS126" s="50"/>
      <c r="CT126" s="50"/>
      <c r="CU126" s="256"/>
      <c r="CV126" s="50"/>
      <c r="CW126" s="50"/>
      <c r="CX126" s="256"/>
      <c r="CY126" s="50"/>
      <c r="CZ126" s="50"/>
    </row>
    <row r="127" spans="1:104" ht="13.5">
      <c r="A127" s="260">
        <f t="shared" si="10"/>
        <v>120</v>
      </c>
      <c r="B127" s="260"/>
      <c r="C127" s="318" t="s">
        <v>476</v>
      </c>
      <c r="D127" s="266"/>
      <c r="E127" s="265"/>
      <c r="F127" s="264"/>
      <c r="G127" s="622"/>
      <c r="H127" s="29"/>
      <c r="I127" s="1229"/>
      <c r="J127" s="29"/>
      <c r="K127" s="50"/>
      <c r="M127" s="1624"/>
      <c r="N127" s="1108"/>
      <c r="O127" s="1108"/>
      <c r="Q127" s="50"/>
      <c r="R127" s="256"/>
      <c r="S127" s="50"/>
      <c r="T127" s="1703"/>
      <c r="U127" s="256"/>
      <c r="V127" s="50"/>
      <c r="W127" s="1703"/>
      <c r="X127" s="256"/>
      <c r="Y127" s="50"/>
      <c r="Z127" s="1703"/>
      <c r="AA127" s="256"/>
      <c r="AB127" s="50"/>
      <c r="AC127" s="1703"/>
      <c r="AD127" s="256"/>
      <c r="AE127" s="50"/>
      <c r="AF127" s="1703"/>
      <c r="AG127" s="256"/>
      <c r="AH127" s="50"/>
      <c r="AI127" s="1703"/>
      <c r="AJ127" s="256"/>
      <c r="AK127" s="50"/>
      <c r="AL127" s="1703"/>
      <c r="AM127" s="256"/>
      <c r="AN127" s="50"/>
      <c r="AO127" s="1703"/>
      <c r="AP127" s="256"/>
      <c r="AQ127" s="50"/>
      <c r="AR127" s="1703"/>
      <c r="AS127" s="256"/>
      <c r="AT127" s="50"/>
      <c r="AU127" s="50"/>
      <c r="AV127" s="256"/>
      <c r="AW127" s="50"/>
      <c r="AX127" s="50"/>
      <c r="AY127" s="256"/>
      <c r="AZ127" s="50"/>
      <c r="BA127" s="50"/>
      <c r="BB127" s="256"/>
      <c r="BC127" s="50"/>
      <c r="BD127" s="50"/>
      <c r="BE127" s="256"/>
      <c r="BF127" s="50"/>
      <c r="BG127" s="50"/>
      <c r="BH127" s="256"/>
      <c r="BI127" s="50"/>
      <c r="BJ127" s="50"/>
      <c r="BK127" s="256"/>
      <c r="BL127" s="50"/>
      <c r="BM127" s="50"/>
      <c r="BN127" s="256"/>
      <c r="BO127" s="50"/>
      <c r="BP127" s="50"/>
      <c r="BQ127" s="256"/>
      <c r="BR127" s="50"/>
      <c r="BS127" s="50"/>
      <c r="BT127" s="256"/>
      <c r="BU127" s="50"/>
      <c r="BV127" s="50"/>
      <c r="BW127" s="256"/>
      <c r="BX127" s="50"/>
      <c r="BY127" s="50"/>
      <c r="BZ127" s="256"/>
      <c r="CA127" s="50"/>
      <c r="CB127" s="50"/>
      <c r="CC127" s="256"/>
      <c r="CD127" s="50"/>
      <c r="CE127" s="50"/>
      <c r="CF127" s="256"/>
      <c r="CG127" s="50"/>
      <c r="CH127" s="50"/>
      <c r="CI127" s="1684">
        <f t="shared" si="9"/>
        <v>0</v>
      </c>
      <c r="CJ127" s="50"/>
      <c r="CK127" s="50"/>
      <c r="CL127" s="256"/>
      <c r="CM127" s="50"/>
      <c r="CN127" s="50"/>
      <c r="CO127" s="256"/>
      <c r="CP127" s="50"/>
      <c r="CQ127" s="50"/>
      <c r="CR127" s="256"/>
      <c r="CS127" s="50"/>
      <c r="CT127" s="50"/>
      <c r="CU127" s="256"/>
      <c r="CV127" s="50"/>
      <c r="CW127" s="50"/>
      <c r="CX127" s="256"/>
      <c r="CY127" s="50"/>
      <c r="CZ127" s="50"/>
    </row>
    <row r="128" spans="1:104">
      <c r="A128" s="260">
        <f t="shared" si="10"/>
        <v>121</v>
      </c>
      <c r="B128" s="495">
        <f>'Stmt H'!B38</f>
        <v>804</v>
      </c>
      <c r="C128" s="98" t="s">
        <v>480</v>
      </c>
      <c r="D128" s="266"/>
      <c r="E128" s="265" t="s">
        <v>276</v>
      </c>
      <c r="F128" s="264"/>
      <c r="G128" s="361">
        <f>'Stmt H'!F38</f>
        <v>70953809.859999999</v>
      </c>
      <c r="H128" s="29"/>
      <c r="I128" s="268" t="s">
        <v>276</v>
      </c>
      <c r="J128" s="29"/>
      <c r="K128" s="639">
        <f>'Stmt H'!$U38</f>
        <v>0</v>
      </c>
      <c r="M128" s="1624">
        <f t="shared" ref="M128:M136" si="15">IF(ISERROR(O128/K128),0,O128/K128)</f>
        <v>0</v>
      </c>
      <c r="N128" s="1113">
        <f t="shared" ref="N128:N136" si="16">M128*G128</f>
        <v>0</v>
      </c>
      <c r="O128" s="1113"/>
      <c r="Q128" s="1705">
        <v>0</v>
      </c>
      <c r="R128" s="256"/>
      <c r="S128" s="1705">
        <v>0</v>
      </c>
      <c r="T128" s="1706"/>
      <c r="U128" s="256"/>
      <c r="V128" s="1705">
        <v>0</v>
      </c>
      <c r="W128" s="1706"/>
      <c r="X128" s="256"/>
      <c r="Y128" s="1705">
        <v>0</v>
      </c>
      <c r="Z128" s="1706"/>
      <c r="AA128" s="256"/>
      <c r="AB128" s="1705">
        <v>0</v>
      </c>
      <c r="AC128" s="1706"/>
      <c r="AD128" s="256"/>
      <c r="AE128" s="1705">
        <v>0</v>
      </c>
      <c r="AF128" s="1706"/>
      <c r="AG128" s="256"/>
      <c r="AH128" s="1705">
        <v>0</v>
      </c>
      <c r="AI128" s="1706"/>
      <c r="AJ128" s="256"/>
      <c r="AK128" s="1705">
        <v>0</v>
      </c>
      <c r="AL128" s="1706"/>
      <c r="AM128" s="256"/>
      <c r="AN128" s="1705">
        <v>0</v>
      </c>
      <c r="AO128" s="1706"/>
      <c r="AP128" s="256"/>
      <c r="AQ128" s="1705">
        <v>0</v>
      </c>
      <c r="AR128" s="1706"/>
      <c r="AS128" s="256"/>
      <c r="AT128" s="1705">
        <v>0</v>
      </c>
      <c r="AU128" s="1705"/>
      <c r="AV128" s="256"/>
      <c r="AW128" s="1705">
        <v>0</v>
      </c>
      <c r="AX128" s="1705"/>
      <c r="AY128" s="256"/>
      <c r="AZ128" s="1705">
        <v>0</v>
      </c>
      <c r="BA128" s="1705"/>
      <c r="BB128" s="256"/>
      <c r="BC128" s="1705">
        <v>0</v>
      </c>
      <c r="BD128" s="1705"/>
      <c r="BE128" s="256"/>
      <c r="BF128" s="1705">
        <v>0</v>
      </c>
      <c r="BG128" s="1705"/>
      <c r="BH128" s="256"/>
      <c r="BI128" s="1705">
        <v>0</v>
      </c>
      <c r="BJ128" s="1705"/>
      <c r="BK128" s="256"/>
      <c r="BL128" s="1705">
        <v>0</v>
      </c>
      <c r="BM128" s="1705"/>
      <c r="BN128" s="256"/>
      <c r="BO128" s="1705">
        <v>0</v>
      </c>
      <c r="BP128" s="1705"/>
      <c r="BQ128" s="256"/>
      <c r="BR128" s="1705">
        <v>0</v>
      </c>
      <c r="BS128" s="1705"/>
      <c r="BT128" s="256"/>
      <c r="BU128" s="1705">
        <v>0</v>
      </c>
      <c r="BV128" s="1705"/>
      <c r="BW128" s="256"/>
      <c r="BX128" s="1705">
        <v>0</v>
      </c>
      <c r="BY128" s="1705"/>
      <c r="BZ128" s="256"/>
      <c r="CA128" s="1705">
        <v>0</v>
      </c>
      <c r="CB128" s="1705"/>
      <c r="CC128" s="256"/>
      <c r="CD128" s="1705">
        <v>0</v>
      </c>
      <c r="CE128" s="1705"/>
      <c r="CF128" s="256"/>
      <c r="CG128" s="1705">
        <v>0</v>
      </c>
      <c r="CH128" s="1705"/>
      <c r="CI128" s="1684">
        <f t="shared" si="9"/>
        <v>0</v>
      </c>
      <c r="CJ128" s="1705">
        <v>0</v>
      </c>
      <c r="CK128" s="1705"/>
      <c r="CL128" s="256"/>
      <c r="CM128" s="1705">
        <v>0</v>
      </c>
      <c r="CN128" s="1705"/>
      <c r="CO128" s="256"/>
      <c r="CP128" s="639">
        <v>0</v>
      </c>
      <c r="CQ128" s="1705"/>
      <c r="CR128" s="256"/>
      <c r="CS128" s="639">
        <v>0</v>
      </c>
      <c r="CT128" s="1705"/>
      <c r="CU128" s="256"/>
      <c r="CV128" s="1705">
        <v>0</v>
      </c>
      <c r="CW128" s="1705"/>
      <c r="CX128" s="256"/>
      <c r="CY128" s="1705"/>
      <c r="CZ128" s="1705"/>
    </row>
    <row r="129" spans="1:104">
      <c r="A129" s="260">
        <f t="shared" si="10"/>
        <v>122</v>
      </c>
      <c r="B129" s="495">
        <f>'Stmt H'!B39</f>
        <v>805</v>
      </c>
      <c r="C129" s="98" t="s">
        <v>492</v>
      </c>
      <c r="D129" s="266"/>
      <c r="E129" s="265" t="s">
        <v>276</v>
      </c>
      <c r="F129" s="264"/>
      <c r="G129" s="209">
        <f>'Stmt H'!$F39</f>
        <v>-2419037.3400000003</v>
      </c>
      <c r="H129" s="29"/>
      <c r="I129" s="274" t="s">
        <v>276</v>
      </c>
      <c r="J129" s="29"/>
      <c r="K129" s="636">
        <f>'Stmt H'!$U39</f>
        <v>0</v>
      </c>
      <c r="M129" s="1624">
        <f t="shared" si="15"/>
        <v>0</v>
      </c>
      <c r="N129" s="1628">
        <f t="shared" si="16"/>
        <v>0</v>
      </c>
      <c r="O129" s="1628"/>
      <c r="Q129" s="1699">
        <v>0</v>
      </c>
      <c r="R129" s="256"/>
      <c r="S129" s="1699">
        <v>0</v>
      </c>
      <c r="T129" s="1700"/>
      <c r="U129" s="256"/>
      <c r="V129" s="1699">
        <v>0</v>
      </c>
      <c r="W129" s="1700"/>
      <c r="X129" s="256"/>
      <c r="Y129" s="1699">
        <v>0</v>
      </c>
      <c r="Z129" s="1700"/>
      <c r="AA129" s="256"/>
      <c r="AB129" s="1699">
        <v>0</v>
      </c>
      <c r="AC129" s="1700"/>
      <c r="AD129" s="256"/>
      <c r="AE129" s="1699">
        <v>0</v>
      </c>
      <c r="AF129" s="1700"/>
      <c r="AG129" s="256"/>
      <c r="AH129" s="1699">
        <v>0</v>
      </c>
      <c r="AI129" s="1700"/>
      <c r="AJ129" s="256"/>
      <c r="AK129" s="1699">
        <v>0</v>
      </c>
      <c r="AL129" s="1700"/>
      <c r="AM129" s="256"/>
      <c r="AN129" s="1699">
        <v>0</v>
      </c>
      <c r="AO129" s="1700"/>
      <c r="AP129" s="256"/>
      <c r="AQ129" s="1699">
        <v>0</v>
      </c>
      <c r="AR129" s="1700"/>
      <c r="AS129" s="256"/>
      <c r="AT129" s="1699">
        <v>0</v>
      </c>
      <c r="AU129" s="1699"/>
      <c r="AV129" s="256"/>
      <c r="AW129" s="1699">
        <v>0</v>
      </c>
      <c r="AX129" s="1699"/>
      <c r="AY129" s="256"/>
      <c r="AZ129" s="1699">
        <v>0</v>
      </c>
      <c r="BA129" s="1699"/>
      <c r="BB129" s="256"/>
      <c r="BC129" s="1699">
        <v>0</v>
      </c>
      <c r="BD129" s="1699"/>
      <c r="BE129" s="256"/>
      <c r="BF129" s="1699">
        <v>0</v>
      </c>
      <c r="BG129" s="1699"/>
      <c r="BH129" s="256"/>
      <c r="BI129" s="1699">
        <v>0</v>
      </c>
      <c r="BJ129" s="1699"/>
      <c r="BK129" s="256"/>
      <c r="BL129" s="1699">
        <v>0</v>
      </c>
      <c r="BM129" s="1699"/>
      <c r="BN129" s="256"/>
      <c r="BO129" s="1699">
        <v>0</v>
      </c>
      <c r="BP129" s="1699"/>
      <c r="BQ129" s="256"/>
      <c r="BR129" s="1699">
        <v>0</v>
      </c>
      <c r="BS129" s="1699"/>
      <c r="BT129" s="256"/>
      <c r="BU129" s="1699">
        <v>0</v>
      </c>
      <c r="BV129" s="1699"/>
      <c r="BW129" s="256"/>
      <c r="BX129" s="1699">
        <v>0</v>
      </c>
      <c r="BY129" s="1699"/>
      <c r="BZ129" s="256"/>
      <c r="CA129" s="1699">
        <v>0</v>
      </c>
      <c r="CB129" s="1699"/>
      <c r="CC129" s="256"/>
      <c r="CD129" s="1699">
        <v>0</v>
      </c>
      <c r="CE129" s="1699"/>
      <c r="CF129" s="256"/>
      <c r="CG129" s="1699">
        <v>0</v>
      </c>
      <c r="CH129" s="1699"/>
      <c r="CI129" s="1684">
        <f t="shared" si="9"/>
        <v>0</v>
      </c>
      <c r="CJ129" s="1699">
        <v>0</v>
      </c>
      <c r="CK129" s="1699"/>
      <c r="CL129" s="256"/>
      <c r="CM129" s="1699">
        <v>0</v>
      </c>
      <c r="CN129" s="1699"/>
      <c r="CO129" s="256"/>
      <c r="CP129" s="636">
        <v>0</v>
      </c>
      <c r="CQ129" s="1699"/>
      <c r="CR129" s="256"/>
      <c r="CS129" s="636">
        <v>0</v>
      </c>
      <c r="CT129" s="1699"/>
      <c r="CU129" s="256"/>
      <c r="CV129" s="1699">
        <v>0</v>
      </c>
      <c r="CW129" s="1699"/>
      <c r="CX129" s="256"/>
      <c r="CY129" s="1699"/>
      <c r="CZ129" s="1699"/>
    </row>
    <row r="130" spans="1:104">
      <c r="A130" s="260">
        <f t="shared" si="10"/>
        <v>123</v>
      </c>
      <c r="B130" s="495">
        <f>'Stmt H'!B40</f>
        <v>805.1</v>
      </c>
      <c r="C130" s="98" t="s">
        <v>415</v>
      </c>
      <c r="D130" s="266"/>
      <c r="E130" s="265" t="s">
        <v>276</v>
      </c>
      <c r="F130" s="264"/>
      <c r="G130" s="209">
        <f>'Stmt H'!$F40</f>
        <v>5499379.8300000001</v>
      </c>
      <c r="H130" s="29"/>
      <c r="I130" s="274" t="s">
        <v>276</v>
      </c>
      <c r="J130" s="29"/>
      <c r="K130" s="636">
        <f>'Stmt H'!$U40</f>
        <v>0</v>
      </c>
      <c r="M130" s="1624">
        <f t="shared" si="15"/>
        <v>0</v>
      </c>
      <c r="N130" s="1628">
        <f t="shared" si="16"/>
        <v>0</v>
      </c>
      <c r="O130" s="1628"/>
      <c r="Q130" s="1699">
        <v>0</v>
      </c>
      <c r="R130" s="256"/>
      <c r="S130" s="1699">
        <v>0</v>
      </c>
      <c r="T130" s="1700"/>
      <c r="U130" s="256"/>
      <c r="V130" s="1699">
        <v>0</v>
      </c>
      <c r="W130" s="1700"/>
      <c r="X130" s="256"/>
      <c r="Y130" s="1699">
        <v>0</v>
      </c>
      <c r="Z130" s="1700"/>
      <c r="AA130" s="256"/>
      <c r="AB130" s="1699">
        <v>0</v>
      </c>
      <c r="AC130" s="1700"/>
      <c r="AD130" s="256"/>
      <c r="AE130" s="1699">
        <v>0</v>
      </c>
      <c r="AF130" s="1700"/>
      <c r="AG130" s="256"/>
      <c r="AH130" s="1699">
        <v>0</v>
      </c>
      <c r="AI130" s="1700"/>
      <c r="AJ130" s="256"/>
      <c r="AK130" s="1699">
        <v>0</v>
      </c>
      <c r="AL130" s="1700"/>
      <c r="AM130" s="256"/>
      <c r="AN130" s="1699">
        <v>0</v>
      </c>
      <c r="AO130" s="1700"/>
      <c r="AP130" s="256"/>
      <c r="AQ130" s="1699">
        <v>0</v>
      </c>
      <c r="AR130" s="1700"/>
      <c r="AS130" s="256"/>
      <c r="AT130" s="1699">
        <v>0</v>
      </c>
      <c r="AU130" s="1699"/>
      <c r="AV130" s="256"/>
      <c r="AW130" s="1699">
        <v>0</v>
      </c>
      <c r="AX130" s="1699"/>
      <c r="AY130" s="256"/>
      <c r="AZ130" s="1699">
        <v>0</v>
      </c>
      <c r="BA130" s="1699"/>
      <c r="BB130" s="256"/>
      <c r="BC130" s="1699">
        <v>0</v>
      </c>
      <c r="BD130" s="1699"/>
      <c r="BE130" s="256"/>
      <c r="BF130" s="1699">
        <v>0</v>
      </c>
      <c r="BG130" s="1699"/>
      <c r="BH130" s="256"/>
      <c r="BI130" s="1699">
        <v>0</v>
      </c>
      <c r="BJ130" s="1699"/>
      <c r="BK130" s="256"/>
      <c r="BL130" s="1699">
        <v>0</v>
      </c>
      <c r="BM130" s="1699"/>
      <c r="BN130" s="256"/>
      <c r="BO130" s="1699">
        <v>0</v>
      </c>
      <c r="BP130" s="1699"/>
      <c r="BQ130" s="256"/>
      <c r="BR130" s="1699">
        <v>0</v>
      </c>
      <c r="BS130" s="1699"/>
      <c r="BT130" s="256"/>
      <c r="BU130" s="1699">
        <v>0</v>
      </c>
      <c r="BV130" s="1699"/>
      <c r="BW130" s="256"/>
      <c r="BX130" s="1699">
        <v>0</v>
      </c>
      <c r="BY130" s="1699"/>
      <c r="BZ130" s="256"/>
      <c r="CA130" s="1699">
        <v>0</v>
      </c>
      <c r="CB130" s="1699"/>
      <c r="CC130" s="256"/>
      <c r="CD130" s="1699">
        <v>0</v>
      </c>
      <c r="CE130" s="1699"/>
      <c r="CF130" s="256"/>
      <c r="CG130" s="1699">
        <v>0</v>
      </c>
      <c r="CH130" s="1699"/>
      <c r="CI130" s="1684">
        <f t="shared" si="9"/>
        <v>0</v>
      </c>
      <c r="CJ130" s="1699">
        <v>0</v>
      </c>
      <c r="CK130" s="1699"/>
      <c r="CL130" s="256"/>
      <c r="CM130" s="1699">
        <v>0</v>
      </c>
      <c r="CN130" s="1699"/>
      <c r="CO130" s="256"/>
      <c r="CP130" s="636">
        <v>0</v>
      </c>
      <c r="CQ130" s="1699"/>
      <c r="CR130" s="256"/>
      <c r="CS130" s="636">
        <v>0</v>
      </c>
      <c r="CT130" s="1699"/>
      <c r="CU130" s="256"/>
      <c r="CV130" s="1699">
        <v>0</v>
      </c>
      <c r="CW130" s="1699"/>
      <c r="CX130" s="256"/>
      <c r="CY130" s="1699"/>
      <c r="CZ130" s="1699"/>
    </row>
    <row r="131" spans="1:104">
      <c r="A131" s="260">
        <f t="shared" si="10"/>
        <v>124</v>
      </c>
      <c r="B131" s="495">
        <f>'Stmt H'!B41</f>
        <v>806</v>
      </c>
      <c r="C131" s="98" t="s">
        <v>640</v>
      </c>
      <c r="D131" s="266"/>
      <c r="E131" s="265" t="s">
        <v>276</v>
      </c>
      <c r="F131" s="264"/>
      <c r="G131" s="209">
        <f>'Stmt H'!$F41</f>
        <v>0</v>
      </c>
      <c r="H131" s="29"/>
      <c r="I131" s="274" t="s">
        <v>276</v>
      </c>
      <c r="J131" s="29"/>
      <c r="K131" s="636">
        <f>'Stmt H'!$U41</f>
        <v>0</v>
      </c>
      <c r="M131" s="1624">
        <f t="shared" si="15"/>
        <v>0</v>
      </c>
      <c r="N131" s="1628">
        <f t="shared" si="16"/>
        <v>0</v>
      </c>
      <c r="O131" s="1628"/>
      <c r="Q131" s="1699">
        <v>0</v>
      </c>
      <c r="R131" s="256"/>
      <c r="S131" s="1699">
        <v>0</v>
      </c>
      <c r="T131" s="1700"/>
      <c r="U131" s="256"/>
      <c r="V131" s="1699">
        <v>0</v>
      </c>
      <c r="W131" s="1700"/>
      <c r="X131" s="256"/>
      <c r="Y131" s="1699">
        <v>0</v>
      </c>
      <c r="Z131" s="1700"/>
      <c r="AA131" s="256"/>
      <c r="AB131" s="1699">
        <v>0</v>
      </c>
      <c r="AC131" s="1700"/>
      <c r="AD131" s="256"/>
      <c r="AE131" s="1699">
        <v>0</v>
      </c>
      <c r="AF131" s="1700"/>
      <c r="AG131" s="256"/>
      <c r="AH131" s="1699">
        <v>0</v>
      </c>
      <c r="AI131" s="1700"/>
      <c r="AJ131" s="256"/>
      <c r="AK131" s="1699">
        <v>0</v>
      </c>
      <c r="AL131" s="1700"/>
      <c r="AM131" s="256"/>
      <c r="AN131" s="1699">
        <v>0</v>
      </c>
      <c r="AO131" s="1700"/>
      <c r="AP131" s="256"/>
      <c r="AQ131" s="1699">
        <v>0</v>
      </c>
      <c r="AR131" s="1700"/>
      <c r="AS131" s="256"/>
      <c r="AT131" s="1699">
        <v>0</v>
      </c>
      <c r="AU131" s="1699"/>
      <c r="AV131" s="256"/>
      <c r="AW131" s="1699">
        <v>0</v>
      </c>
      <c r="AX131" s="1699"/>
      <c r="AY131" s="256"/>
      <c r="AZ131" s="1699">
        <v>0</v>
      </c>
      <c r="BA131" s="1699"/>
      <c r="BB131" s="256"/>
      <c r="BC131" s="1699">
        <v>0</v>
      </c>
      <c r="BD131" s="1699"/>
      <c r="BE131" s="256"/>
      <c r="BF131" s="1699">
        <v>0</v>
      </c>
      <c r="BG131" s="1699"/>
      <c r="BH131" s="256"/>
      <c r="BI131" s="1699">
        <v>0</v>
      </c>
      <c r="BJ131" s="1699"/>
      <c r="BK131" s="256"/>
      <c r="BL131" s="1699">
        <v>0</v>
      </c>
      <c r="BM131" s="1699"/>
      <c r="BN131" s="256"/>
      <c r="BO131" s="1699">
        <v>0</v>
      </c>
      <c r="BP131" s="1699"/>
      <c r="BQ131" s="256"/>
      <c r="BR131" s="1699">
        <v>0</v>
      </c>
      <c r="BS131" s="1699"/>
      <c r="BT131" s="256"/>
      <c r="BU131" s="1699">
        <v>0</v>
      </c>
      <c r="BV131" s="1699"/>
      <c r="BW131" s="256"/>
      <c r="BX131" s="1699">
        <v>0</v>
      </c>
      <c r="BY131" s="1699"/>
      <c r="BZ131" s="256"/>
      <c r="CA131" s="1699">
        <v>0</v>
      </c>
      <c r="CB131" s="1699"/>
      <c r="CC131" s="256"/>
      <c r="CD131" s="1699">
        <v>0</v>
      </c>
      <c r="CE131" s="1699"/>
      <c r="CF131" s="256"/>
      <c r="CG131" s="1699">
        <v>0</v>
      </c>
      <c r="CH131" s="1699"/>
      <c r="CI131" s="1684">
        <f t="shared" si="9"/>
        <v>0</v>
      </c>
      <c r="CJ131" s="1699">
        <v>0</v>
      </c>
      <c r="CK131" s="1699"/>
      <c r="CL131" s="256"/>
      <c r="CM131" s="1699">
        <v>0</v>
      </c>
      <c r="CN131" s="1699"/>
      <c r="CO131" s="256"/>
      <c r="CP131" s="636">
        <v>0</v>
      </c>
      <c r="CQ131" s="1699"/>
      <c r="CR131" s="256"/>
      <c r="CS131" s="636">
        <v>0</v>
      </c>
      <c r="CT131" s="1699"/>
      <c r="CU131" s="256"/>
      <c r="CV131" s="1699">
        <v>0</v>
      </c>
      <c r="CW131" s="1699"/>
      <c r="CX131" s="256"/>
      <c r="CY131" s="1699"/>
      <c r="CZ131" s="1699"/>
    </row>
    <row r="132" spans="1:104">
      <c r="A132" s="260">
        <f t="shared" si="10"/>
        <v>125</v>
      </c>
      <c r="B132" s="495">
        <f>'Stmt H'!B42</f>
        <v>808</v>
      </c>
      <c r="C132" s="750" t="str">
        <f>'Stmt H'!D42</f>
        <v>Gas Storage-Gas Ops</v>
      </c>
      <c r="D132" s="266"/>
      <c r="E132" s="265" t="s">
        <v>276</v>
      </c>
      <c r="F132" s="264"/>
      <c r="G132" s="209">
        <f>'Stmt H'!$F42</f>
        <v>0</v>
      </c>
      <c r="H132" s="29"/>
      <c r="I132" s="274" t="s">
        <v>276</v>
      </c>
      <c r="J132" s="29"/>
      <c r="K132" s="636">
        <f>'Stmt H'!$U42</f>
        <v>0</v>
      </c>
      <c r="M132" s="1624">
        <f t="shared" si="15"/>
        <v>0</v>
      </c>
      <c r="N132" s="1628">
        <f t="shared" si="16"/>
        <v>0</v>
      </c>
      <c r="O132" s="1628"/>
      <c r="Q132" s="1699">
        <v>0</v>
      </c>
      <c r="R132" s="256"/>
      <c r="S132" s="1699">
        <v>0</v>
      </c>
      <c r="T132" s="1700"/>
      <c r="U132" s="256"/>
      <c r="V132" s="1699">
        <v>0</v>
      </c>
      <c r="W132" s="1700"/>
      <c r="X132" s="256"/>
      <c r="Y132" s="1699">
        <v>0</v>
      </c>
      <c r="Z132" s="1700"/>
      <c r="AA132" s="256"/>
      <c r="AB132" s="1699">
        <v>0</v>
      </c>
      <c r="AC132" s="1700"/>
      <c r="AD132" s="256"/>
      <c r="AE132" s="1699">
        <v>0</v>
      </c>
      <c r="AF132" s="1700"/>
      <c r="AG132" s="256"/>
      <c r="AH132" s="1699">
        <v>0</v>
      </c>
      <c r="AI132" s="1700"/>
      <c r="AJ132" s="256"/>
      <c r="AK132" s="1699">
        <v>0</v>
      </c>
      <c r="AL132" s="1700"/>
      <c r="AM132" s="256"/>
      <c r="AN132" s="1699">
        <v>0</v>
      </c>
      <c r="AO132" s="1700"/>
      <c r="AP132" s="256"/>
      <c r="AQ132" s="1699">
        <v>0</v>
      </c>
      <c r="AR132" s="1700"/>
      <c r="AS132" s="256"/>
      <c r="AT132" s="1699">
        <v>0</v>
      </c>
      <c r="AU132" s="1699"/>
      <c r="AV132" s="256"/>
      <c r="AW132" s="1699">
        <v>0</v>
      </c>
      <c r="AX132" s="1699"/>
      <c r="AY132" s="256"/>
      <c r="AZ132" s="1699">
        <v>0</v>
      </c>
      <c r="BA132" s="1699"/>
      <c r="BB132" s="256"/>
      <c r="BC132" s="1699">
        <v>0</v>
      </c>
      <c r="BD132" s="1699"/>
      <c r="BE132" s="256"/>
      <c r="BF132" s="1699">
        <v>0</v>
      </c>
      <c r="BG132" s="1699"/>
      <c r="BH132" s="256"/>
      <c r="BI132" s="1699">
        <v>0</v>
      </c>
      <c r="BJ132" s="1699"/>
      <c r="BK132" s="256"/>
      <c r="BL132" s="1699">
        <v>0</v>
      </c>
      <c r="BM132" s="1699"/>
      <c r="BN132" s="256"/>
      <c r="BO132" s="1699">
        <v>0</v>
      </c>
      <c r="BP132" s="1699"/>
      <c r="BQ132" s="256"/>
      <c r="BR132" s="1699">
        <v>0</v>
      </c>
      <c r="BS132" s="1699"/>
      <c r="BT132" s="256"/>
      <c r="BU132" s="1699">
        <v>0</v>
      </c>
      <c r="BV132" s="1699"/>
      <c r="BW132" s="256"/>
      <c r="BX132" s="1699">
        <v>0</v>
      </c>
      <c r="BY132" s="1699"/>
      <c r="BZ132" s="256"/>
      <c r="CA132" s="1699">
        <v>0</v>
      </c>
      <c r="CB132" s="1699"/>
      <c r="CC132" s="256"/>
      <c r="CD132" s="1699">
        <v>0</v>
      </c>
      <c r="CE132" s="1699"/>
      <c r="CF132" s="256"/>
      <c r="CG132" s="1699">
        <v>0</v>
      </c>
      <c r="CH132" s="1699"/>
      <c r="CI132" s="1684">
        <f t="shared" si="9"/>
        <v>0</v>
      </c>
      <c r="CJ132" s="1699">
        <v>0</v>
      </c>
      <c r="CK132" s="1699"/>
      <c r="CL132" s="256"/>
      <c r="CM132" s="1699">
        <v>0</v>
      </c>
      <c r="CN132" s="1699"/>
      <c r="CO132" s="256"/>
      <c r="CP132" s="636">
        <v>0</v>
      </c>
      <c r="CQ132" s="1699"/>
      <c r="CR132" s="256"/>
      <c r="CS132" s="636">
        <v>0</v>
      </c>
      <c r="CT132" s="1699"/>
      <c r="CU132" s="256"/>
      <c r="CV132" s="1699">
        <v>0</v>
      </c>
      <c r="CW132" s="1699"/>
      <c r="CX132" s="256"/>
      <c r="CY132" s="1699"/>
      <c r="CZ132" s="1699"/>
    </row>
    <row r="133" spans="1:104">
      <c r="A133" s="260">
        <f t="shared" si="10"/>
        <v>126</v>
      </c>
      <c r="B133" s="495">
        <f>'Stmt H'!B43</f>
        <v>808.1</v>
      </c>
      <c r="C133" s="98" t="s">
        <v>577</v>
      </c>
      <c r="D133" s="266"/>
      <c r="E133" s="265" t="s">
        <v>276</v>
      </c>
      <c r="F133" s="264"/>
      <c r="G133" s="209">
        <f>'Stmt H'!$F43</f>
        <v>10881933.35</v>
      </c>
      <c r="H133" s="29"/>
      <c r="I133" s="274" t="s">
        <v>276</v>
      </c>
      <c r="J133" s="29"/>
      <c r="K133" s="636">
        <f>'Stmt H'!$U43</f>
        <v>0</v>
      </c>
      <c r="M133" s="1624">
        <f t="shared" si="15"/>
        <v>0</v>
      </c>
      <c r="N133" s="1628">
        <f t="shared" si="16"/>
        <v>0</v>
      </c>
      <c r="O133" s="1628"/>
      <c r="Q133" s="1699">
        <v>0</v>
      </c>
      <c r="R133" s="256"/>
      <c r="S133" s="1699">
        <v>0</v>
      </c>
      <c r="T133" s="1700"/>
      <c r="U133" s="256"/>
      <c r="V133" s="1699">
        <v>0</v>
      </c>
      <c r="W133" s="1700"/>
      <c r="X133" s="256"/>
      <c r="Y133" s="1699">
        <v>0</v>
      </c>
      <c r="Z133" s="1700"/>
      <c r="AA133" s="256"/>
      <c r="AB133" s="1699">
        <v>0</v>
      </c>
      <c r="AC133" s="1700"/>
      <c r="AD133" s="256"/>
      <c r="AE133" s="1699">
        <v>0</v>
      </c>
      <c r="AF133" s="1700"/>
      <c r="AG133" s="256"/>
      <c r="AH133" s="1699">
        <v>0</v>
      </c>
      <c r="AI133" s="1700"/>
      <c r="AJ133" s="256"/>
      <c r="AK133" s="1699">
        <v>0</v>
      </c>
      <c r="AL133" s="1700"/>
      <c r="AM133" s="256"/>
      <c r="AN133" s="1699">
        <v>0</v>
      </c>
      <c r="AO133" s="1700"/>
      <c r="AP133" s="256"/>
      <c r="AQ133" s="1699">
        <v>0</v>
      </c>
      <c r="AR133" s="1700"/>
      <c r="AS133" s="256"/>
      <c r="AT133" s="1699">
        <v>0</v>
      </c>
      <c r="AU133" s="1699"/>
      <c r="AV133" s="256"/>
      <c r="AW133" s="1699">
        <v>0</v>
      </c>
      <c r="AX133" s="1699"/>
      <c r="AY133" s="256"/>
      <c r="AZ133" s="1699">
        <v>0</v>
      </c>
      <c r="BA133" s="1699"/>
      <c r="BB133" s="256"/>
      <c r="BC133" s="1699">
        <v>0</v>
      </c>
      <c r="BD133" s="1699"/>
      <c r="BE133" s="256"/>
      <c r="BF133" s="1699">
        <v>0</v>
      </c>
      <c r="BG133" s="1699"/>
      <c r="BH133" s="256"/>
      <c r="BI133" s="1699">
        <v>0</v>
      </c>
      <c r="BJ133" s="1699"/>
      <c r="BK133" s="256"/>
      <c r="BL133" s="1699">
        <v>0</v>
      </c>
      <c r="BM133" s="1699"/>
      <c r="BN133" s="256"/>
      <c r="BO133" s="1699">
        <v>0</v>
      </c>
      <c r="BP133" s="1699"/>
      <c r="BQ133" s="256"/>
      <c r="BR133" s="1699">
        <v>0</v>
      </c>
      <c r="BS133" s="1699"/>
      <c r="BT133" s="256"/>
      <c r="BU133" s="1699">
        <v>0</v>
      </c>
      <c r="BV133" s="1699"/>
      <c r="BW133" s="256"/>
      <c r="BX133" s="1699">
        <v>0</v>
      </c>
      <c r="BY133" s="1699"/>
      <c r="BZ133" s="256"/>
      <c r="CA133" s="1699">
        <v>0</v>
      </c>
      <c r="CB133" s="1699"/>
      <c r="CC133" s="256"/>
      <c r="CD133" s="1699">
        <v>0</v>
      </c>
      <c r="CE133" s="1699"/>
      <c r="CF133" s="256"/>
      <c r="CG133" s="1699">
        <v>0</v>
      </c>
      <c r="CH133" s="1699"/>
      <c r="CI133" s="1684">
        <f t="shared" si="9"/>
        <v>0</v>
      </c>
      <c r="CJ133" s="1699">
        <v>0</v>
      </c>
      <c r="CK133" s="1699"/>
      <c r="CL133" s="256"/>
      <c r="CM133" s="1699">
        <v>0</v>
      </c>
      <c r="CN133" s="1699"/>
      <c r="CO133" s="256"/>
      <c r="CP133" s="636">
        <v>0</v>
      </c>
      <c r="CQ133" s="1699"/>
      <c r="CR133" s="256"/>
      <c r="CS133" s="636">
        <v>0</v>
      </c>
      <c r="CT133" s="1699"/>
      <c r="CU133" s="256"/>
      <c r="CV133" s="1699">
        <v>0</v>
      </c>
      <c r="CW133" s="1699"/>
      <c r="CX133" s="256"/>
      <c r="CY133" s="1699"/>
      <c r="CZ133" s="1699"/>
    </row>
    <row r="134" spans="1:104">
      <c r="A134" s="260">
        <f t="shared" si="10"/>
        <v>127</v>
      </c>
      <c r="B134" s="495">
        <f>'Stmt H'!B44</f>
        <v>808.2</v>
      </c>
      <c r="C134" s="98" t="s">
        <v>578</v>
      </c>
      <c r="D134" s="266"/>
      <c r="E134" s="265" t="s">
        <v>276</v>
      </c>
      <c r="F134" s="264"/>
      <c r="G134" s="209">
        <f>'Stmt H'!$F44</f>
        <v>-9373034.5299999975</v>
      </c>
      <c r="H134" s="29"/>
      <c r="I134" s="274" t="s">
        <v>276</v>
      </c>
      <c r="J134" s="29"/>
      <c r="K134" s="636">
        <f>'Stmt H'!$U44</f>
        <v>0</v>
      </c>
      <c r="M134" s="1624">
        <f t="shared" si="15"/>
        <v>0</v>
      </c>
      <c r="N134" s="1628">
        <f t="shared" si="16"/>
        <v>0</v>
      </c>
      <c r="O134" s="1628"/>
      <c r="Q134" s="1699">
        <v>0</v>
      </c>
      <c r="R134" s="256"/>
      <c r="S134" s="1699">
        <v>0</v>
      </c>
      <c r="T134" s="1700"/>
      <c r="U134" s="256"/>
      <c r="V134" s="1699">
        <v>0</v>
      </c>
      <c r="W134" s="1700"/>
      <c r="X134" s="256"/>
      <c r="Y134" s="1699">
        <v>0</v>
      </c>
      <c r="Z134" s="1700"/>
      <c r="AA134" s="256"/>
      <c r="AB134" s="1699">
        <v>0</v>
      </c>
      <c r="AC134" s="1700"/>
      <c r="AD134" s="256"/>
      <c r="AE134" s="1699">
        <v>0</v>
      </c>
      <c r="AF134" s="1700"/>
      <c r="AG134" s="256"/>
      <c r="AH134" s="1699">
        <v>0</v>
      </c>
      <c r="AI134" s="1700"/>
      <c r="AJ134" s="256"/>
      <c r="AK134" s="1699">
        <v>0</v>
      </c>
      <c r="AL134" s="1700"/>
      <c r="AM134" s="256"/>
      <c r="AN134" s="1699">
        <v>0</v>
      </c>
      <c r="AO134" s="1700"/>
      <c r="AP134" s="256"/>
      <c r="AQ134" s="1699">
        <v>0</v>
      </c>
      <c r="AR134" s="1700"/>
      <c r="AS134" s="256"/>
      <c r="AT134" s="1699">
        <v>0</v>
      </c>
      <c r="AU134" s="1699"/>
      <c r="AV134" s="256"/>
      <c r="AW134" s="1699">
        <v>0</v>
      </c>
      <c r="AX134" s="1699"/>
      <c r="AY134" s="256"/>
      <c r="AZ134" s="1699">
        <v>0</v>
      </c>
      <c r="BA134" s="1699"/>
      <c r="BB134" s="256"/>
      <c r="BC134" s="1699">
        <v>0</v>
      </c>
      <c r="BD134" s="1699"/>
      <c r="BE134" s="256"/>
      <c r="BF134" s="1699">
        <v>0</v>
      </c>
      <c r="BG134" s="1699"/>
      <c r="BH134" s="256"/>
      <c r="BI134" s="1699">
        <v>0</v>
      </c>
      <c r="BJ134" s="1699"/>
      <c r="BK134" s="256"/>
      <c r="BL134" s="1699">
        <v>0</v>
      </c>
      <c r="BM134" s="1699"/>
      <c r="BN134" s="256"/>
      <c r="BO134" s="1699">
        <v>0</v>
      </c>
      <c r="BP134" s="1699"/>
      <c r="BQ134" s="256"/>
      <c r="BR134" s="1699">
        <v>0</v>
      </c>
      <c r="BS134" s="1699"/>
      <c r="BT134" s="256"/>
      <c r="BU134" s="1699">
        <v>0</v>
      </c>
      <c r="BV134" s="1699"/>
      <c r="BW134" s="256"/>
      <c r="BX134" s="1699">
        <v>0</v>
      </c>
      <c r="BY134" s="1699"/>
      <c r="BZ134" s="256"/>
      <c r="CA134" s="1699">
        <v>0</v>
      </c>
      <c r="CB134" s="1699"/>
      <c r="CC134" s="256"/>
      <c r="CD134" s="1699">
        <v>0</v>
      </c>
      <c r="CE134" s="1699"/>
      <c r="CF134" s="256"/>
      <c r="CG134" s="1699">
        <v>0</v>
      </c>
      <c r="CH134" s="1699"/>
      <c r="CI134" s="1684">
        <f t="shared" si="9"/>
        <v>0</v>
      </c>
      <c r="CJ134" s="1699">
        <v>0</v>
      </c>
      <c r="CK134" s="1699"/>
      <c r="CL134" s="256"/>
      <c r="CM134" s="1699">
        <v>0</v>
      </c>
      <c r="CN134" s="1699"/>
      <c r="CO134" s="256"/>
      <c r="CP134" s="636">
        <v>0</v>
      </c>
      <c r="CQ134" s="1699"/>
      <c r="CR134" s="256"/>
      <c r="CS134" s="636">
        <v>0</v>
      </c>
      <c r="CT134" s="1699"/>
      <c r="CU134" s="256"/>
      <c r="CV134" s="1699">
        <v>0</v>
      </c>
      <c r="CW134" s="1699"/>
      <c r="CX134" s="256"/>
      <c r="CY134" s="1699"/>
      <c r="CZ134" s="1699"/>
    </row>
    <row r="135" spans="1:104">
      <c r="A135" s="260">
        <f t="shared" si="10"/>
        <v>128</v>
      </c>
      <c r="B135" s="495">
        <f>'Stmt H'!B45</f>
        <v>812</v>
      </c>
      <c r="C135" s="98" t="s">
        <v>384</v>
      </c>
      <c r="D135" s="266"/>
      <c r="E135" s="265" t="s">
        <v>276</v>
      </c>
      <c r="F135" s="264"/>
      <c r="G135" s="209">
        <f>'Stmt H'!$F45</f>
        <v>-17200.079999999998</v>
      </c>
      <c r="H135" s="29"/>
      <c r="I135" s="274" t="s">
        <v>276</v>
      </c>
      <c r="J135" s="29"/>
      <c r="K135" s="636">
        <f>'Stmt H'!$U45</f>
        <v>0</v>
      </c>
      <c r="M135" s="1624">
        <f t="shared" si="15"/>
        <v>0</v>
      </c>
      <c r="N135" s="1628">
        <f t="shared" si="16"/>
        <v>0</v>
      </c>
      <c r="O135" s="1628"/>
      <c r="Q135" s="1699">
        <v>0</v>
      </c>
      <c r="R135" s="256"/>
      <c r="S135" s="1699">
        <v>0</v>
      </c>
      <c r="T135" s="1700"/>
      <c r="U135" s="256"/>
      <c r="V135" s="1699">
        <v>0</v>
      </c>
      <c r="W135" s="1700"/>
      <c r="X135" s="256"/>
      <c r="Y135" s="1699">
        <v>0</v>
      </c>
      <c r="Z135" s="1700"/>
      <c r="AA135" s="256"/>
      <c r="AB135" s="1699">
        <v>0</v>
      </c>
      <c r="AC135" s="1700"/>
      <c r="AD135" s="256"/>
      <c r="AE135" s="1699">
        <v>0</v>
      </c>
      <c r="AF135" s="1700"/>
      <c r="AG135" s="256"/>
      <c r="AH135" s="1699">
        <v>0</v>
      </c>
      <c r="AI135" s="1700"/>
      <c r="AJ135" s="256"/>
      <c r="AK135" s="1699">
        <v>0</v>
      </c>
      <c r="AL135" s="1700"/>
      <c r="AM135" s="256"/>
      <c r="AN135" s="1699">
        <v>0</v>
      </c>
      <c r="AO135" s="1700"/>
      <c r="AP135" s="256"/>
      <c r="AQ135" s="1699">
        <v>0</v>
      </c>
      <c r="AR135" s="1700"/>
      <c r="AS135" s="256"/>
      <c r="AT135" s="1699">
        <v>0</v>
      </c>
      <c r="AU135" s="1699"/>
      <c r="AV135" s="256"/>
      <c r="AW135" s="1699">
        <v>0</v>
      </c>
      <c r="AX135" s="1699"/>
      <c r="AY135" s="256"/>
      <c r="AZ135" s="1699">
        <v>0</v>
      </c>
      <c r="BA135" s="1699"/>
      <c r="BB135" s="256"/>
      <c r="BC135" s="1699">
        <v>0</v>
      </c>
      <c r="BD135" s="1699"/>
      <c r="BE135" s="256"/>
      <c r="BF135" s="1699">
        <v>0</v>
      </c>
      <c r="BG135" s="1699"/>
      <c r="BH135" s="256"/>
      <c r="BI135" s="1699">
        <v>0</v>
      </c>
      <c r="BJ135" s="1699"/>
      <c r="BK135" s="256"/>
      <c r="BL135" s="1699">
        <v>0</v>
      </c>
      <c r="BM135" s="1699"/>
      <c r="BN135" s="256"/>
      <c r="BO135" s="1699">
        <v>0</v>
      </c>
      <c r="BP135" s="1699"/>
      <c r="BQ135" s="256"/>
      <c r="BR135" s="1699">
        <v>0</v>
      </c>
      <c r="BS135" s="1699"/>
      <c r="BT135" s="256"/>
      <c r="BU135" s="1699">
        <v>0</v>
      </c>
      <c r="BV135" s="1699"/>
      <c r="BW135" s="256"/>
      <c r="BX135" s="1699">
        <v>0</v>
      </c>
      <c r="BY135" s="1699"/>
      <c r="BZ135" s="256"/>
      <c r="CA135" s="1699">
        <v>0</v>
      </c>
      <c r="CB135" s="1699"/>
      <c r="CC135" s="256"/>
      <c r="CD135" s="1699">
        <v>0</v>
      </c>
      <c r="CE135" s="1699"/>
      <c r="CF135" s="256"/>
      <c r="CG135" s="1699">
        <v>0</v>
      </c>
      <c r="CH135" s="1699"/>
      <c r="CI135" s="1684">
        <f t="shared" si="9"/>
        <v>0</v>
      </c>
      <c r="CJ135" s="1699">
        <v>0</v>
      </c>
      <c r="CK135" s="1699"/>
      <c r="CL135" s="256"/>
      <c r="CM135" s="1699">
        <v>0</v>
      </c>
      <c r="CN135" s="1699"/>
      <c r="CO135" s="256"/>
      <c r="CP135" s="636">
        <v>0</v>
      </c>
      <c r="CQ135" s="1699"/>
      <c r="CR135" s="256"/>
      <c r="CS135" s="636">
        <v>0</v>
      </c>
      <c r="CT135" s="1699"/>
      <c r="CU135" s="256"/>
      <c r="CV135" s="1699">
        <v>0</v>
      </c>
      <c r="CW135" s="1699"/>
      <c r="CX135" s="256"/>
      <c r="CY135" s="1699"/>
      <c r="CZ135" s="1699"/>
    </row>
    <row r="136" spans="1:104">
      <c r="A136" s="260">
        <f t="shared" si="10"/>
        <v>129</v>
      </c>
      <c r="B136" s="495">
        <f>'Stmt H'!B46</f>
        <v>813</v>
      </c>
      <c r="C136" s="98" t="s">
        <v>383</v>
      </c>
      <c r="D136" s="266"/>
      <c r="E136" s="265" t="s">
        <v>276</v>
      </c>
      <c r="F136" s="264"/>
      <c r="G136" s="787">
        <f>'Stmt H'!$F46</f>
        <v>0</v>
      </c>
      <c r="H136" s="29"/>
      <c r="I136" s="274" t="s">
        <v>276</v>
      </c>
      <c r="J136" s="29"/>
      <c r="K136" s="636">
        <f>'Stmt H'!$U46</f>
        <v>0</v>
      </c>
      <c r="M136" s="1624">
        <f t="shared" si="15"/>
        <v>0</v>
      </c>
      <c r="N136" s="1626">
        <f t="shared" si="16"/>
        <v>0</v>
      </c>
      <c r="O136" s="1626"/>
      <c r="Q136" s="1699">
        <v>0</v>
      </c>
      <c r="R136" s="256"/>
      <c r="S136" s="1699">
        <v>0</v>
      </c>
      <c r="T136" s="1700"/>
      <c r="U136" s="256"/>
      <c r="V136" s="1699">
        <v>0</v>
      </c>
      <c r="W136" s="1700"/>
      <c r="X136" s="256"/>
      <c r="Y136" s="1699">
        <v>0</v>
      </c>
      <c r="Z136" s="1700"/>
      <c r="AA136" s="256"/>
      <c r="AB136" s="1699">
        <v>0</v>
      </c>
      <c r="AC136" s="1700"/>
      <c r="AD136" s="256"/>
      <c r="AE136" s="1699">
        <v>0</v>
      </c>
      <c r="AF136" s="1700"/>
      <c r="AG136" s="256"/>
      <c r="AH136" s="1699">
        <v>0</v>
      </c>
      <c r="AI136" s="1700"/>
      <c r="AJ136" s="256"/>
      <c r="AK136" s="1699">
        <v>0</v>
      </c>
      <c r="AL136" s="1700"/>
      <c r="AM136" s="256"/>
      <c r="AN136" s="1699">
        <v>0</v>
      </c>
      <c r="AO136" s="1700"/>
      <c r="AP136" s="256"/>
      <c r="AQ136" s="1699">
        <v>0</v>
      </c>
      <c r="AR136" s="1700"/>
      <c r="AS136" s="256"/>
      <c r="AT136" s="1699">
        <v>0</v>
      </c>
      <c r="AU136" s="1699"/>
      <c r="AV136" s="256"/>
      <c r="AW136" s="1699">
        <v>0</v>
      </c>
      <c r="AX136" s="1699"/>
      <c r="AY136" s="256"/>
      <c r="AZ136" s="1699">
        <v>0</v>
      </c>
      <c r="BA136" s="1699"/>
      <c r="BB136" s="256"/>
      <c r="BC136" s="1699">
        <v>0</v>
      </c>
      <c r="BD136" s="1699"/>
      <c r="BE136" s="256"/>
      <c r="BF136" s="1699">
        <v>0</v>
      </c>
      <c r="BG136" s="1699"/>
      <c r="BH136" s="256"/>
      <c r="BI136" s="1699">
        <v>0</v>
      </c>
      <c r="BJ136" s="1699"/>
      <c r="BK136" s="256"/>
      <c r="BL136" s="1699">
        <v>0</v>
      </c>
      <c r="BM136" s="1699"/>
      <c r="BN136" s="256"/>
      <c r="BO136" s="1699">
        <v>0</v>
      </c>
      <c r="BP136" s="1699"/>
      <c r="BQ136" s="256"/>
      <c r="BR136" s="1699">
        <v>0</v>
      </c>
      <c r="BS136" s="1699"/>
      <c r="BT136" s="256"/>
      <c r="BU136" s="1699">
        <v>0</v>
      </c>
      <c r="BV136" s="1699"/>
      <c r="BW136" s="256"/>
      <c r="BX136" s="1699">
        <v>0</v>
      </c>
      <c r="BY136" s="1699"/>
      <c r="BZ136" s="256"/>
      <c r="CA136" s="1699">
        <v>0</v>
      </c>
      <c r="CB136" s="1699"/>
      <c r="CC136" s="256"/>
      <c r="CD136" s="1699">
        <v>0</v>
      </c>
      <c r="CE136" s="1699"/>
      <c r="CF136" s="256"/>
      <c r="CG136" s="1699">
        <v>0</v>
      </c>
      <c r="CH136" s="1699"/>
      <c r="CI136" s="1684">
        <f t="shared" si="9"/>
        <v>0</v>
      </c>
      <c r="CJ136" s="1699">
        <v>0</v>
      </c>
      <c r="CK136" s="1699"/>
      <c r="CL136" s="256"/>
      <c r="CM136" s="1699">
        <v>0</v>
      </c>
      <c r="CN136" s="1699"/>
      <c r="CO136" s="256"/>
      <c r="CP136" s="636">
        <v>0</v>
      </c>
      <c r="CQ136" s="1699"/>
      <c r="CR136" s="256"/>
      <c r="CS136" s="636">
        <v>0</v>
      </c>
      <c r="CT136" s="1699"/>
      <c r="CU136" s="256"/>
      <c r="CV136" s="1699">
        <v>0</v>
      </c>
      <c r="CW136" s="1699"/>
      <c r="CX136" s="256"/>
      <c r="CY136" s="1699"/>
      <c r="CZ136" s="1699"/>
    </row>
    <row r="137" spans="1:104">
      <c r="A137" s="260">
        <f t="shared" si="10"/>
        <v>130</v>
      </c>
      <c r="B137" s="495"/>
      <c r="C137" s="67" t="s">
        <v>381</v>
      </c>
      <c r="D137" s="266"/>
      <c r="E137" s="265"/>
      <c r="F137" s="264"/>
      <c r="G137" s="623">
        <f>SUM(G128:G136)</f>
        <v>75525851.089999989</v>
      </c>
      <c r="H137" s="29"/>
      <c r="I137" s="1229"/>
      <c r="J137" s="29"/>
      <c r="K137" s="884">
        <f>SUM(K128:K136)</f>
        <v>0</v>
      </c>
      <c r="M137" s="1630" t="s">
        <v>1528</v>
      </c>
      <c r="N137" s="1614">
        <f>SUM(N128:N136)</f>
        <v>0</v>
      </c>
      <c r="O137" s="1614">
        <v>0</v>
      </c>
      <c r="Q137" s="1707">
        <v>0</v>
      </c>
      <c r="R137" s="256"/>
      <c r="S137" s="1707">
        <v>0</v>
      </c>
      <c r="T137" s="1708">
        <v>0</v>
      </c>
      <c r="U137" s="256"/>
      <c r="V137" s="1707">
        <v>0</v>
      </c>
      <c r="W137" s="1708">
        <v>0</v>
      </c>
      <c r="X137" s="256"/>
      <c r="Y137" s="1707">
        <v>0</v>
      </c>
      <c r="Z137" s="1708">
        <v>0</v>
      </c>
      <c r="AA137" s="256"/>
      <c r="AB137" s="1707">
        <v>0</v>
      </c>
      <c r="AC137" s="1708">
        <v>0</v>
      </c>
      <c r="AD137" s="256"/>
      <c r="AE137" s="1707">
        <v>0</v>
      </c>
      <c r="AF137" s="1708">
        <v>0</v>
      </c>
      <c r="AG137" s="256"/>
      <c r="AH137" s="1707">
        <v>0</v>
      </c>
      <c r="AI137" s="1708">
        <v>0</v>
      </c>
      <c r="AJ137" s="256"/>
      <c r="AK137" s="1707">
        <v>0</v>
      </c>
      <c r="AL137" s="1708">
        <v>0</v>
      </c>
      <c r="AM137" s="256"/>
      <c r="AN137" s="1707">
        <v>0</v>
      </c>
      <c r="AO137" s="1708">
        <v>0</v>
      </c>
      <c r="AP137" s="256"/>
      <c r="AQ137" s="1707">
        <v>0</v>
      </c>
      <c r="AR137" s="1708">
        <v>0</v>
      </c>
      <c r="AS137" s="256"/>
      <c r="AT137" s="1707">
        <v>0</v>
      </c>
      <c r="AU137" s="1707">
        <v>0</v>
      </c>
      <c r="AV137" s="256"/>
      <c r="AW137" s="1707">
        <v>0</v>
      </c>
      <c r="AX137" s="1707">
        <v>0</v>
      </c>
      <c r="AY137" s="256"/>
      <c r="AZ137" s="1707">
        <v>0</v>
      </c>
      <c r="BA137" s="1707">
        <v>0</v>
      </c>
      <c r="BB137" s="256"/>
      <c r="BC137" s="1707">
        <v>0</v>
      </c>
      <c r="BD137" s="1707">
        <v>0</v>
      </c>
      <c r="BE137" s="256"/>
      <c r="BF137" s="1707">
        <v>0</v>
      </c>
      <c r="BG137" s="1707">
        <v>0</v>
      </c>
      <c r="BH137" s="256"/>
      <c r="BI137" s="1707">
        <v>0</v>
      </c>
      <c r="BJ137" s="1707">
        <v>0</v>
      </c>
      <c r="BK137" s="256"/>
      <c r="BL137" s="1707">
        <v>0</v>
      </c>
      <c r="BM137" s="1707">
        <v>0</v>
      </c>
      <c r="BN137" s="256"/>
      <c r="BO137" s="1707">
        <v>0</v>
      </c>
      <c r="BP137" s="1707">
        <v>0</v>
      </c>
      <c r="BQ137" s="256"/>
      <c r="BR137" s="1707">
        <v>0</v>
      </c>
      <c r="BS137" s="1707">
        <v>0</v>
      </c>
      <c r="BT137" s="256"/>
      <c r="BU137" s="1707">
        <v>0</v>
      </c>
      <c r="BV137" s="1707">
        <v>0</v>
      </c>
      <c r="BW137" s="256"/>
      <c r="BX137" s="1707">
        <v>0</v>
      </c>
      <c r="BY137" s="1707">
        <v>0</v>
      </c>
      <c r="BZ137" s="256"/>
      <c r="CA137" s="1707">
        <v>0</v>
      </c>
      <c r="CB137" s="1707">
        <v>0</v>
      </c>
      <c r="CC137" s="256"/>
      <c r="CD137" s="1707">
        <v>0</v>
      </c>
      <c r="CE137" s="1707">
        <v>0</v>
      </c>
      <c r="CF137" s="256"/>
      <c r="CG137" s="1707">
        <v>0</v>
      </c>
      <c r="CH137" s="1707">
        <v>0</v>
      </c>
      <c r="CI137" s="1684">
        <f t="shared" ref="CI137:CI200" si="17">CH137-CE137</f>
        <v>0</v>
      </c>
      <c r="CJ137" s="1707">
        <v>0</v>
      </c>
      <c r="CK137" s="1707">
        <v>0</v>
      </c>
      <c r="CL137" s="256"/>
      <c r="CM137" s="1707">
        <v>0</v>
      </c>
      <c r="CN137" s="1707">
        <v>0</v>
      </c>
      <c r="CO137" s="256"/>
      <c r="CP137" s="884">
        <v>0</v>
      </c>
      <c r="CQ137" s="1707">
        <v>0</v>
      </c>
      <c r="CR137" s="256"/>
      <c r="CS137" s="884">
        <v>0</v>
      </c>
      <c r="CT137" s="1707">
        <v>0</v>
      </c>
      <c r="CU137" s="256"/>
      <c r="CV137" s="1707">
        <v>0</v>
      </c>
      <c r="CW137" s="1707">
        <v>0</v>
      </c>
      <c r="CX137" s="256"/>
      <c r="CY137" s="1707"/>
      <c r="CZ137" s="1707"/>
    </row>
    <row r="138" spans="1:104">
      <c r="A138" s="260">
        <f t="shared" si="10"/>
        <v>131</v>
      </c>
      <c r="B138" s="495"/>
      <c r="C138" s="67"/>
      <c r="D138" s="266"/>
      <c r="E138" s="265"/>
      <c r="F138" s="264"/>
      <c r="G138" s="622"/>
      <c r="H138" s="29"/>
      <c r="I138" s="1229"/>
      <c r="J138" s="29"/>
      <c r="K138" s="621"/>
      <c r="M138" s="1624"/>
      <c r="N138" s="1108"/>
      <c r="O138" s="1108"/>
      <c r="Q138" s="1709"/>
      <c r="R138" s="256"/>
      <c r="S138" s="1709"/>
      <c r="T138" s="1710"/>
      <c r="U138" s="256"/>
      <c r="V138" s="1709"/>
      <c r="W138" s="1710"/>
      <c r="X138" s="256"/>
      <c r="Y138" s="1709"/>
      <c r="Z138" s="1710"/>
      <c r="AA138" s="256"/>
      <c r="AB138" s="1709"/>
      <c r="AC138" s="1710"/>
      <c r="AD138" s="256"/>
      <c r="AE138" s="1709"/>
      <c r="AF138" s="1710"/>
      <c r="AG138" s="256"/>
      <c r="AH138" s="1709"/>
      <c r="AI138" s="1710"/>
      <c r="AJ138" s="256"/>
      <c r="AK138" s="1709"/>
      <c r="AL138" s="1710"/>
      <c r="AM138" s="256"/>
      <c r="AN138" s="1709"/>
      <c r="AO138" s="1710"/>
      <c r="AP138" s="256"/>
      <c r="AQ138" s="1709"/>
      <c r="AR138" s="1710"/>
      <c r="AS138" s="256"/>
      <c r="AT138" s="1709"/>
      <c r="AU138" s="1709"/>
      <c r="AV138" s="256"/>
      <c r="AW138" s="1709"/>
      <c r="AX138" s="1709"/>
      <c r="AY138" s="256"/>
      <c r="AZ138" s="1709"/>
      <c r="BA138" s="1709"/>
      <c r="BB138" s="256"/>
      <c r="BC138" s="1709"/>
      <c r="BD138" s="1709"/>
      <c r="BE138" s="256"/>
      <c r="BF138" s="1709"/>
      <c r="BG138" s="1709"/>
      <c r="BH138" s="256"/>
      <c r="BI138" s="1709"/>
      <c r="BJ138" s="1709"/>
      <c r="BK138" s="256"/>
      <c r="BL138" s="1709"/>
      <c r="BM138" s="1709"/>
      <c r="BN138" s="256"/>
      <c r="BO138" s="1709"/>
      <c r="BP138" s="1709"/>
      <c r="BQ138" s="256"/>
      <c r="BR138" s="1709"/>
      <c r="BS138" s="1709"/>
      <c r="BT138" s="256"/>
      <c r="BU138" s="1709"/>
      <c r="BV138" s="1709"/>
      <c r="BW138" s="256"/>
      <c r="BX138" s="1709"/>
      <c r="BY138" s="1709"/>
      <c r="BZ138" s="256"/>
      <c r="CA138" s="1709"/>
      <c r="CB138" s="1709"/>
      <c r="CC138" s="256"/>
      <c r="CD138" s="1709"/>
      <c r="CE138" s="1709"/>
      <c r="CF138" s="256"/>
      <c r="CG138" s="1709"/>
      <c r="CH138" s="1709"/>
      <c r="CI138" s="1684">
        <f t="shared" si="17"/>
        <v>0</v>
      </c>
      <c r="CJ138" s="1709"/>
      <c r="CK138" s="1709"/>
      <c r="CL138" s="256"/>
      <c r="CM138" s="1709"/>
      <c r="CN138" s="1709"/>
      <c r="CO138" s="256"/>
      <c r="CP138" s="621"/>
      <c r="CQ138" s="1709"/>
      <c r="CR138" s="256"/>
      <c r="CS138" s="621"/>
      <c r="CT138" s="1709"/>
      <c r="CU138" s="256"/>
      <c r="CV138" s="1709"/>
      <c r="CW138" s="1709"/>
      <c r="CX138" s="256"/>
      <c r="CY138" s="1709"/>
      <c r="CZ138" s="1709"/>
    </row>
    <row r="139" spans="1:104">
      <c r="A139" s="260">
        <f t="shared" si="10"/>
        <v>132</v>
      </c>
      <c r="B139" s="254"/>
      <c r="C139" s="735" t="s">
        <v>699</v>
      </c>
      <c r="D139" s="266"/>
      <c r="E139" s="265"/>
      <c r="F139" s="264"/>
      <c r="G139" s="622"/>
      <c r="H139" s="29"/>
      <c r="I139" s="738"/>
      <c r="J139" s="29"/>
      <c r="K139" s="621"/>
      <c r="M139" s="1624"/>
      <c r="N139" s="1108"/>
      <c r="O139" s="1108"/>
      <c r="Q139" s="1709"/>
      <c r="R139" s="256"/>
      <c r="S139" s="1709"/>
      <c r="T139" s="1710"/>
      <c r="U139" s="256"/>
      <c r="V139" s="1709"/>
      <c r="W139" s="1710"/>
      <c r="X139" s="256"/>
      <c r="Y139" s="1709"/>
      <c r="Z139" s="1710"/>
      <c r="AA139" s="256"/>
      <c r="AB139" s="1709"/>
      <c r="AC139" s="1710"/>
      <c r="AD139" s="256"/>
      <c r="AE139" s="1709"/>
      <c r="AF139" s="1710"/>
      <c r="AG139" s="256"/>
      <c r="AH139" s="1709"/>
      <c r="AI139" s="1710"/>
      <c r="AJ139" s="256"/>
      <c r="AK139" s="1709"/>
      <c r="AL139" s="1710"/>
      <c r="AM139" s="256"/>
      <c r="AN139" s="1709"/>
      <c r="AO139" s="1710"/>
      <c r="AP139" s="256"/>
      <c r="AQ139" s="1709"/>
      <c r="AR139" s="1710"/>
      <c r="AS139" s="256"/>
      <c r="AT139" s="1709"/>
      <c r="AU139" s="1709"/>
      <c r="AV139" s="256"/>
      <c r="AW139" s="1709"/>
      <c r="AX139" s="1709"/>
      <c r="AY139" s="256"/>
      <c r="AZ139" s="1709"/>
      <c r="BA139" s="1709"/>
      <c r="BB139" s="256"/>
      <c r="BC139" s="1709"/>
      <c r="BD139" s="1709"/>
      <c r="BE139" s="256"/>
      <c r="BF139" s="1709"/>
      <c r="BG139" s="1709"/>
      <c r="BH139" s="256"/>
      <c r="BI139" s="1709"/>
      <c r="BJ139" s="1709"/>
      <c r="BK139" s="256"/>
      <c r="BL139" s="1709"/>
      <c r="BM139" s="1709"/>
      <c r="BN139" s="256"/>
      <c r="BO139" s="1709"/>
      <c r="BP139" s="1709"/>
      <c r="BQ139" s="256"/>
      <c r="BR139" s="1709"/>
      <c r="BS139" s="1709"/>
      <c r="BT139" s="256"/>
      <c r="BU139" s="1709"/>
      <c r="BV139" s="1709"/>
      <c r="BW139" s="256"/>
      <c r="BX139" s="1709"/>
      <c r="BY139" s="1709"/>
      <c r="BZ139" s="256"/>
      <c r="CA139" s="1709"/>
      <c r="CB139" s="1709"/>
      <c r="CC139" s="256"/>
      <c r="CD139" s="1709"/>
      <c r="CE139" s="1709"/>
      <c r="CF139" s="256"/>
      <c r="CG139" s="1709"/>
      <c r="CH139" s="1709"/>
      <c r="CI139" s="1684">
        <f t="shared" si="17"/>
        <v>0</v>
      </c>
      <c r="CJ139" s="1709"/>
      <c r="CK139" s="1709"/>
      <c r="CL139" s="256"/>
      <c r="CM139" s="1709"/>
      <c r="CN139" s="1709"/>
      <c r="CO139" s="256"/>
      <c r="CP139" s="621"/>
      <c r="CQ139" s="1709"/>
      <c r="CR139" s="256"/>
      <c r="CS139" s="621"/>
      <c r="CT139" s="1709"/>
      <c r="CU139" s="256"/>
      <c r="CV139" s="1709"/>
      <c r="CW139" s="1709"/>
      <c r="CX139" s="256"/>
      <c r="CY139" s="1709"/>
      <c r="CZ139" s="1709"/>
    </row>
    <row r="140" spans="1:104" ht="13.5">
      <c r="A140" s="260">
        <f t="shared" si="10"/>
        <v>133</v>
      </c>
      <c r="B140" s="735"/>
      <c r="C140" s="749" t="s">
        <v>163</v>
      </c>
      <c r="D140" s="266"/>
      <c r="E140" s="265"/>
      <c r="F140" s="264"/>
      <c r="G140" s="622"/>
      <c r="H140" s="29"/>
      <c r="I140" s="738"/>
      <c r="J140" s="29"/>
      <c r="K140" s="621"/>
      <c r="M140" s="1624"/>
      <c r="N140" s="1108"/>
      <c r="O140" s="1108"/>
      <c r="Q140" s="1709"/>
      <c r="R140" s="256"/>
      <c r="S140" s="1709"/>
      <c r="T140" s="1710"/>
      <c r="U140" s="256"/>
      <c r="V140" s="1709"/>
      <c r="W140" s="1710"/>
      <c r="X140" s="256"/>
      <c r="Y140" s="1709"/>
      <c r="Z140" s="1710"/>
      <c r="AA140" s="256"/>
      <c r="AB140" s="1709"/>
      <c r="AC140" s="1710"/>
      <c r="AD140" s="256"/>
      <c r="AE140" s="1709"/>
      <c r="AF140" s="1710"/>
      <c r="AG140" s="256"/>
      <c r="AH140" s="1709"/>
      <c r="AI140" s="1710"/>
      <c r="AJ140" s="256"/>
      <c r="AK140" s="1709"/>
      <c r="AL140" s="1710"/>
      <c r="AM140" s="256"/>
      <c r="AN140" s="1709"/>
      <c r="AO140" s="1710"/>
      <c r="AP140" s="256"/>
      <c r="AQ140" s="1709"/>
      <c r="AR140" s="1710"/>
      <c r="AS140" s="256"/>
      <c r="AT140" s="1709"/>
      <c r="AU140" s="1709"/>
      <c r="AV140" s="256"/>
      <c r="AW140" s="1709"/>
      <c r="AX140" s="1709"/>
      <c r="AY140" s="256"/>
      <c r="AZ140" s="1709"/>
      <c r="BA140" s="1709"/>
      <c r="BB140" s="256"/>
      <c r="BC140" s="1709"/>
      <c r="BD140" s="1709"/>
      <c r="BE140" s="256"/>
      <c r="BF140" s="1709"/>
      <c r="BG140" s="1709"/>
      <c r="BH140" s="256"/>
      <c r="BI140" s="1709"/>
      <c r="BJ140" s="1709"/>
      <c r="BK140" s="256"/>
      <c r="BL140" s="1709"/>
      <c r="BM140" s="1709"/>
      <c r="BN140" s="256"/>
      <c r="BO140" s="1709"/>
      <c r="BP140" s="1709"/>
      <c r="BQ140" s="256"/>
      <c r="BR140" s="1709"/>
      <c r="BS140" s="1709"/>
      <c r="BT140" s="256"/>
      <c r="BU140" s="1709"/>
      <c r="BV140" s="1709"/>
      <c r="BW140" s="256"/>
      <c r="BX140" s="1709"/>
      <c r="BY140" s="1709"/>
      <c r="BZ140" s="256"/>
      <c r="CA140" s="1709"/>
      <c r="CB140" s="1709"/>
      <c r="CC140" s="256"/>
      <c r="CD140" s="1709"/>
      <c r="CE140" s="1709"/>
      <c r="CF140" s="256"/>
      <c r="CG140" s="1709"/>
      <c r="CH140" s="1709"/>
      <c r="CI140" s="1684">
        <f t="shared" si="17"/>
        <v>0</v>
      </c>
      <c r="CJ140" s="1709"/>
      <c r="CK140" s="1709"/>
      <c r="CL140" s="256"/>
      <c r="CM140" s="1709"/>
      <c r="CN140" s="1709"/>
      <c r="CO140" s="256"/>
      <c r="CP140" s="621"/>
      <c r="CQ140" s="1709"/>
      <c r="CR140" s="256"/>
      <c r="CS140" s="621"/>
      <c r="CT140" s="1709"/>
      <c r="CU140" s="256"/>
      <c r="CV140" s="1709"/>
      <c r="CW140" s="1709"/>
      <c r="CX140" s="256"/>
      <c r="CY140" s="1709"/>
      <c r="CZ140" s="1709"/>
    </row>
    <row r="141" spans="1:104">
      <c r="A141" s="260">
        <f t="shared" si="10"/>
        <v>134</v>
      </c>
      <c r="B141" s="495">
        <f>'Stmt H'!B51</f>
        <v>814</v>
      </c>
      <c r="C141" s="750" t="str">
        <f>'Stmt H'!D51</f>
        <v>Operation Supervision &amp; Engineering</v>
      </c>
      <c r="D141" s="266"/>
      <c r="E141" s="265" t="s">
        <v>276</v>
      </c>
      <c r="F141" s="264"/>
      <c r="G141" s="361">
        <f>'Stmt H'!$F51</f>
        <v>0</v>
      </c>
      <c r="H141" s="29"/>
      <c r="I141" s="268" t="s">
        <v>276</v>
      </c>
      <c r="J141" s="29"/>
      <c r="K141" s="361">
        <f>'Stmt H'!$U51</f>
        <v>0</v>
      </c>
      <c r="M141" s="1624">
        <f t="shared" ref="M141:M149" si="18">IF(ISERROR(O141/K141),0,O141/K141)</f>
        <v>0</v>
      </c>
      <c r="N141" s="1113">
        <f t="shared" ref="N141:N149" si="19">M141*G141</f>
        <v>0</v>
      </c>
      <c r="O141" s="1113"/>
      <c r="Q141" s="333">
        <v>0</v>
      </c>
      <c r="R141" s="256"/>
      <c r="S141" s="333">
        <v>0</v>
      </c>
      <c r="T141" s="1693"/>
      <c r="U141" s="256"/>
      <c r="V141" s="333">
        <v>0</v>
      </c>
      <c r="W141" s="1693"/>
      <c r="X141" s="256"/>
      <c r="Y141" s="333">
        <v>0</v>
      </c>
      <c r="Z141" s="1693"/>
      <c r="AA141" s="256"/>
      <c r="AB141" s="333">
        <v>0</v>
      </c>
      <c r="AC141" s="1693"/>
      <c r="AD141" s="256"/>
      <c r="AE141" s="333">
        <v>0</v>
      </c>
      <c r="AF141" s="1693"/>
      <c r="AG141" s="256"/>
      <c r="AH141" s="333">
        <v>0</v>
      </c>
      <c r="AI141" s="1693"/>
      <c r="AJ141" s="256"/>
      <c r="AK141" s="333">
        <v>0</v>
      </c>
      <c r="AL141" s="1693"/>
      <c r="AM141" s="256"/>
      <c r="AN141" s="333">
        <v>0</v>
      </c>
      <c r="AO141" s="1693"/>
      <c r="AP141" s="256"/>
      <c r="AQ141" s="333">
        <v>0</v>
      </c>
      <c r="AR141" s="1693"/>
      <c r="AS141" s="256"/>
      <c r="AT141" s="333">
        <v>0</v>
      </c>
      <c r="AU141" s="333"/>
      <c r="AV141" s="256"/>
      <c r="AW141" s="333">
        <v>0</v>
      </c>
      <c r="AX141" s="333"/>
      <c r="AY141" s="256"/>
      <c r="AZ141" s="333">
        <v>0</v>
      </c>
      <c r="BA141" s="333"/>
      <c r="BB141" s="256"/>
      <c r="BC141" s="333">
        <v>0</v>
      </c>
      <c r="BD141" s="333"/>
      <c r="BE141" s="256"/>
      <c r="BF141" s="333">
        <v>0</v>
      </c>
      <c r="BG141" s="333"/>
      <c r="BH141" s="256"/>
      <c r="BI141" s="333">
        <v>0</v>
      </c>
      <c r="BJ141" s="333"/>
      <c r="BK141" s="256"/>
      <c r="BL141" s="333">
        <v>0</v>
      </c>
      <c r="BM141" s="333"/>
      <c r="BN141" s="256"/>
      <c r="BO141" s="333">
        <v>0</v>
      </c>
      <c r="BP141" s="333"/>
      <c r="BQ141" s="256"/>
      <c r="BR141" s="333">
        <v>0</v>
      </c>
      <c r="BS141" s="333"/>
      <c r="BT141" s="256"/>
      <c r="BU141" s="333">
        <v>0</v>
      </c>
      <c r="BV141" s="333"/>
      <c r="BW141" s="256"/>
      <c r="BX141" s="333">
        <v>0</v>
      </c>
      <c r="BY141" s="333"/>
      <c r="BZ141" s="256"/>
      <c r="CA141" s="333">
        <v>0</v>
      </c>
      <c r="CB141" s="333"/>
      <c r="CC141" s="256"/>
      <c r="CD141" s="333">
        <v>0</v>
      </c>
      <c r="CE141" s="333"/>
      <c r="CF141" s="256"/>
      <c r="CG141" s="333">
        <v>0</v>
      </c>
      <c r="CH141" s="333"/>
      <c r="CI141" s="1684">
        <f t="shared" si="17"/>
        <v>0</v>
      </c>
      <c r="CJ141" s="333">
        <v>0</v>
      </c>
      <c r="CK141" s="333"/>
      <c r="CL141" s="256"/>
      <c r="CM141" s="333">
        <v>0</v>
      </c>
      <c r="CN141" s="333"/>
      <c r="CO141" s="256"/>
      <c r="CP141" s="361">
        <v>0</v>
      </c>
      <c r="CQ141" s="333"/>
      <c r="CR141" s="256"/>
      <c r="CS141" s="361">
        <v>0</v>
      </c>
      <c r="CT141" s="333"/>
      <c r="CU141" s="256"/>
      <c r="CV141" s="333">
        <v>0</v>
      </c>
      <c r="CW141" s="333"/>
      <c r="CX141" s="256"/>
      <c r="CY141" s="333"/>
      <c r="CZ141" s="333"/>
    </row>
    <row r="142" spans="1:104">
      <c r="A142" s="260">
        <f t="shared" si="10"/>
        <v>135</v>
      </c>
      <c r="B142" s="495">
        <f>'Stmt H'!B52</f>
        <v>816</v>
      </c>
      <c r="C142" s="750" t="str">
        <f>'Stmt H'!D52</f>
        <v>Wells Expense</v>
      </c>
      <c r="D142" s="266"/>
      <c r="E142" s="265" t="s">
        <v>276</v>
      </c>
      <c r="F142" s="264"/>
      <c r="G142" s="209">
        <f>'Stmt H'!$F52</f>
        <v>0</v>
      </c>
      <c r="H142" s="29"/>
      <c r="I142" s="268" t="s">
        <v>276</v>
      </c>
      <c r="J142" s="29"/>
      <c r="K142" s="636">
        <f>'Stmt H'!$U52</f>
        <v>0</v>
      </c>
      <c r="M142" s="1624">
        <f t="shared" si="18"/>
        <v>0</v>
      </c>
      <c r="N142" s="1628">
        <f t="shared" si="19"/>
        <v>0</v>
      </c>
      <c r="O142" s="1628"/>
      <c r="Q142" s="1699">
        <v>0</v>
      </c>
      <c r="R142" s="256"/>
      <c r="S142" s="1699">
        <v>0</v>
      </c>
      <c r="T142" s="1700"/>
      <c r="U142" s="256"/>
      <c r="V142" s="1699">
        <v>0</v>
      </c>
      <c r="W142" s="1700"/>
      <c r="X142" s="256"/>
      <c r="Y142" s="1699">
        <v>0</v>
      </c>
      <c r="Z142" s="1700"/>
      <c r="AA142" s="256"/>
      <c r="AB142" s="1699">
        <v>0</v>
      </c>
      <c r="AC142" s="1700"/>
      <c r="AD142" s="256"/>
      <c r="AE142" s="1699">
        <v>0</v>
      </c>
      <c r="AF142" s="1700"/>
      <c r="AG142" s="256"/>
      <c r="AH142" s="1699">
        <v>0</v>
      </c>
      <c r="AI142" s="1700"/>
      <c r="AJ142" s="256"/>
      <c r="AK142" s="1699">
        <v>0</v>
      </c>
      <c r="AL142" s="1700"/>
      <c r="AM142" s="256"/>
      <c r="AN142" s="1699">
        <v>0</v>
      </c>
      <c r="AO142" s="1700"/>
      <c r="AP142" s="256"/>
      <c r="AQ142" s="1699">
        <v>0</v>
      </c>
      <c r="AR142" s="1700"/>
      <c r="AS142" s="256"/>
      <c r="AT142" s="1699">
        <v>0</v>
      </c>
      <c r="AU142" s="1699"/>
      <c r="AV142" s="256"/>
      <c r="AW142" s="1699">
        <v>0</v>
      </c>
      <c r="AX142" s="1699"/>
      <c r="AY142" s="256"/>
      <c r="AZ142" s="1699">
        <v>0</v>
      </c>
      <c r="BA142" s="1699"/>
      <c r="BB142" s="256"/>
      <c r="BC142" s="1699">
        <v>0</v>
      </c>
      <c r="BD142" s="1699"/>
      <c r="BE142" s="256"/>
      <c r="BF142" s="1699">
        <v>0</v>
      </c>
      <c r="BG142" s="1699"/>
      <c r="BH142" s="256"/>
      <c r="BI142" s="1699">
        <v>0</v>
      </c>
      <c r="BJ142" s="1699"/>
      <c r="BK142" s="256"/>
      <c r="BL142" s="1699">
        <v>0</v>
      </c>
      <c r="BM142" s="1699"/>
      <c r="BN142" s="256"/>
      <c r="BO142" s="1699">
        <v>0</v>
      </c>
      <c r="BP142" s="1699"/>
      <c r="BQ142" s="256"/>
      <c r="BR142" s="1699">
        <v>0</v>
      </c>
      <c r="BS142" s="1699"/>
      <c r="BT142" s="256"/>
      <c r="BU142" s="1699">
        <v>0</v>
      </c>
      <c r="BV142" s="1699"/>
      <c r="BW142" s="256"/>
      <c r="BX142" s="1699">
        <v>0</v>
      </c>
      <c r="BY142" s="1699"/>
      <c r="BZ142" s="256"/>
      <c r="CA142" s="1699">
        <v>0</v>
      </c>
      <c r="CB142" s="1699"/>
      <c r="CC142" s="256"/>
      <c r="CD142" s="1699">
        <v>0</v>
      </c>
      <c r="CE142" s="1699"/>
      <c r="CF142" s="256"/>
      <c r="CG142" s="1699">
        <v>0</v>
      </c>
      <c r="CH142" s="1699"/>
      <c r="CI142" s="1684">
        <f t="shared" si="17"/>
        <v>0</v>
      </c>
      <c r="CJ142" s="1699">
        <v>0</v>
      </c>
      <c r="CK142" s="1699"/>
      <c r="CL142" s="256"/>
      <c r="CM142" s="1699">
        <v>0</v>
      </c>
      <c r="CN142" s="1699"/>
      <c r="CO142" s="256"/>
      <c r="CP142" s="636">
        <v>0</v>
      </c>
      <c r="CQ142" s="1699"/>
      <c r="CR142" s="256"/>
      <c r="CS142" s="636">
        <v>0</v>
      </c>
      <c r="CT142" s="1699"/>
      <c r="CU142" s="256"/>
      <c r="CV142" s="1699">
        <v>0</v>
      </c>
      <c r="CW142" s="1699"/>
      <c r="CX142" s="256"/>
      <c r="CY142" s="1699"/>
      <c r="CZ142" s="1699"/>
    </row>
    <row r="143" spans="1:104">
      <c r="A143" s="260">
        <f t="shared" si="10"/>
        <v>136</v>
      </c>
      <c r="B143" s="495">
        <f>'Stmt H'!B53</f>
        <v>817</v>
      </c>
      <c r="C143" s="750" t="str">
        <f>'Stmt H'!D53</f>
        <v>Lines Expense</v>
      </c>
      <c r="D143" s="266"/>
      <c r="E143" s="265" t="s">
        <v>276</v>
      </c>
      <c r="F143" s="264"/>
      <c r="G143" s="209">
        <f>'Stmt H'!$F53</f>
        <v>0</v>
      </c>
      <c r="H143" s="29"/>
      <c r="I143" s="268" t="s">
        <v>276</v>
      </c>
      <c r="J143" s="29"/>
      <c r="K143" s="636">
        <f>'Stmt H'!$U53</f>
        <v>0</v>
      </c>
      <c r="M143" s="1624">
        <f t="shared" si="18"/>
        <v>0</v>
      </c>
      <c r="N143" s="1628">
        <f t="shared" si="19"/>
        <v>0</v>
      </c>
      <c r="O143" s="1628"/>
      <c r="Q143" s="1699">
        <v>0</v>
      </c>
      <c r="R143" s="256"/>
      <c r="S143" s="1699">
        <v>0</v>
      </c>
      <c r="T143" s="1700"/>
      <c r="U143" s="256"/>
      <c r="V143" s="1699">
        <v>0</v>
      </c>
      <c r="W143" s="1700"/>
      <c r="X143" s="256"/>
      <c r="Y143" s="1699">
        <v>0</v>
      </c>
      <c r="Z143" s="1700"/>
      <c r="AA143" s="256"/>
      <c r="AB143" s="1699">
        <v>0</v>
      </c>
      <c r="AC143" s="1700"/>
      <c r="AD143" s="256"/>
      <c r="AE143" s="1699">
        <v>0</v>
      </c>
      <c r="AF143" s="1700"/>
      <c r="AG143" s="256"/>
      <c r="AH143" s="1699">
        <v>0</v>
      </c>
      <c r="AI143" s="1700"/>
      <c r="AJ143" s="256"/>
      <c r="AK143" s="1699">
        <v>0</v>
      </c>
      <c r="AL143" s="1700"/>
      <c r="AM143" s="256"/>
      <c r="AN143" s="1699">
        <v>0</v>
      </c>
      <c r="AO143" s="1700"/>
      <c r="AP143" s="256"/>
      <c r="AQ143" s="1699">
        <v>0</v>
      </c>
      <c r="AR143" s="1700"/>
      <c r="AS143" s="256"/>
      <c r="AT143" s="1699">
        <v>0</v>
      </c>
      <c r="AU143" s="1699"/>
      <c r="AV143" s="256"/>
      <c r="AW143" s="1699">
        <v>0</v>
      </c>
      <c r="AX143" s="1699"/>
      <c r="AY143" s="256"/>
      <c r="AZ143" s="1699">
        <v>0</v>
      </c>
      <c r="BA143" s="1699"/>
      <c r="BB143" s="256"/>
      <c r="BC143" s="1699">
        <v>0</v>
      </c>
      <c r="BD143" s="1699"/>
      <c r="BE143" s="256"/>
      <c r="BF143" s="1699">
        <v>0</v>
      </c>
      <c r="BG143" s="1699"/>
      <c r="BH143" s="256"/>
      <c r="BI143" s="1699">
        <v>0</v>
      </c>
      <c r="BJ143" s="1699"/>
      <c r="BK143" s="256"/>
      <c r="BL143" s="1699">
        <v>0</v>
      </c>
      <c r="BM143" s="1699"/>
      <c r="BN143" s="256"/>
      <c r="BO143" s="1699">
        <v>0</v>
      </c>
      <c r="BP143" s="1699"/>
      <c r="BQ143" s="256"/>
      <c r="BR143" s="1699">
        <v>0</v>
      </c>
      <c r="BS143" s="1699"/>
      <c r="BT143" s="256"/>
      <c r="BU143" s="1699">
        <v>0</v>
      </c>
      <c r="BV143" s="1699"/>
      <c r="BW143" s="256"/>
      <c r="BX143" s="1699">
        <v>0</v>
      </c>
      <c r="BY143" s="1699"/>
      <c r="BZ143" s="256"/>
      <c r="CA143" s="1699">
        <v>0</v>
      </c>
      <c r="CB143" s="1699"/>
      <c r="CC143" s="256"/>
      <c r="CD143" s="1699">
        <v>0</v>
      </c>
      <c r="CE143" s="1699"/>
      <c r="CF143" s="256"/>
      <c r="CG143" s="1699">
        <v>0</v>
      </c>
      <c r="CH143" s="1699"/>
      <c r="CI143" s="1684">
        <f t="shared" si="17"/>
        <v>0</v>
      </c>
      <c r="CJ143" s="1699">
        <v>0</v>
      </c>
      <c r="CK143" s="1699"/>
      <c r="CL143" s="256"/>
      <c r="CM143" s="1699">
        <v>0</v>
      </c>
      <c r="CN143" s="1699"/>
      <c r="CO143" s="256"/>
      <c r="CP143" s="636">
        <v>0</v>
      </c>
      <c r="CQ143" s="1699"/>
      <c r="CR143" s="256"/>
      <c r="CS143" s="636">
        <v>0</v>
      </c>
      <c r="CT143" s="1699"/>
      <c r="CU143" s="256"/>
      <c r="CV143" s="1699">
        <v>0</v>
      </c>
      <c r="CW143" s="1699"/>
      <c r="CX143" s="256"/>
      <c r="CY143" s="1699"/>
      <c r="CZ143" s="1699"/>
    </row>
    <row r="144" spans="1:104">
      <c r="A144" s="260">
        <f t="shared" si="10"/>
        <v>137</v>
      </c>
      <c r="B144" s="495">
        <f>'Stmt H'!B54</f>
        <v>818</v>
      </c>
      <c r="C144" s="750" t="str">
        <f>'Stmt H'!D54</f>
        <v>Compressor Station Expense</v>
      </c>
      <c r="D144" s="266"/>
      <c r="E144" s="265" t="s">
        <v>276</v>
      </c>
      <c r="F144" s="264"/>
      <c r="G144" s="209">
        <f>'Stmt H'!$F54</f>
        <v>0</v>
      </c>
      <c r="H144" s="29"/>
      <c r="I144" s="268" t="s">
        <v>276</v>
      </c>
      <c r="J144" s="29"/>
      <c r="K144" s="636">
        <f>'Stmt H'!$U54</f>
        <v>0</v>
      </c>
      <c r="M144" s="1624">
        <f t="shared" si="18"/>
        <v>0</v>
      </c>
      <c r="N144" s="1628">
        <f t="shared" si="19"/>
        <v>0</v>
      </c>
      <c r="O144" s="1628"/>
      <c r="Q144" s="1699">
        <v>0</v>
      </c>
      <c r="R144" s="256"/>
      <c r="S144" s="1699">
        <v>0</v>
      </c>
      <c r="T144" s="1700"/>
      <c r="U144" s="256"/>
      <c r="V144" s="1699">
        <v>0</v>
      </c>
      <c r="W144" s="1700"/>
      <c r="X144" s="256"/>
      <c r="Y144" s="1699">
        <v>0</v>
      </c>
      <c r="Z144" s="1700"/>
      <c r="AA144" s="256"/>
      <c r="AB144" s="1699">
        <v>0</v>
      </c>
      <c r="AC144" s="1700"/>
      <c r="AD144" s="256"/>
      <c r="AE144" s="1699">
        <v>0</v>
      </c>
      <c r="AF144" s="1700"/>
      <c r="AG144" s="256"/>
      <c r="AH144" s="1699">
        <v>0</v>
      </c>
      <c r="AI144" s="1700"/>
      <c r="AJ144" s="256"/>
      <c r="AK144" s="1699">
        <v>0</v>
      </c>
      <c r="AL144" s="1700"/>
      <c r="AM144" s="256"/>
      <c r="AN144" s="1699">
        <v>0</v>
      </c>
      <c r="AO144" s="1700"/>
      <c r="AP144" s="256"/>
      <c r="AQ144" s="1699">
        <v>0</v>
      </c>
      <c r="AR144" s="1700"/>
      <c r="AS144" s="256"/>
      <c r="AT144" s="1699">
        <v>0</v>
      </c>
      <c r="AU144" s="1699"/>
      <c r="AV144" s="256"/>
      <c r="AW144" s="1699">
        <v>0</v>
      </c>
      <c r="AX144" s="1699"/>
      <c r="AY144" s="256"/>
      <c r="AZ144" s="1699">
        <v>0</v>
      </c>
      <c r="BA144" s="1699"/>
      <c r="BB144" s="256"/>
      <c r="BC144" s="1699">
        <v>0</v>
      </c>
      <c r="BD144" s="1699"/>
      <c r="BE144" s="256"/>
      <c r="BF144" s="1699">
        <v>0</v>
      </c>
      <c r="BG144" s="1699"/>
      <c r="BH144" s="256"/>
      <c r="BI144" s="1699">
        <v>0</v>
      </c>
      <c r="BJ144" s="1699"/>
      <c r="BK144" s="256"/>
      <c r="BL144" s="1699">
        <v>0</v>
      </c>
      <c r="BM144" s="1699"/>
      <c r="BN144" s="256"/>
      <c r="BO144" s="1699">
        <v>0</v>
      </c>
      <c r="BP144" s="1699"/>
      <c r="BQ144" s="256"/>
      <c r="BR144" s="1699">
        <v>0</v>
      </c>
      <c r="BS144" s="1699"/>
      <c r="BT144" s="256"/>
      <c r="BU144" s="1699">
        <v>0</v>
      </c>
      <c r="BV144" s="1699"/>
      <c r="BW144" s="256"/>
      <c r="BX144" s="1699">
        <v>0</v>
      </c>
      <c r="BY144" s="1699"/>
      <c r="BZ144" s="256"/>
      <c r="CA144" s="1699">
        <v>0</v>
      </c>
      <c r="CB144" s="1699"/>
      <c r="CC144" s="256"/>
      <c r="CD144" s="1699">
        <v>0</v>
      </c>
      <c r="CE144" s="1699"/>
      <c r="CF144" s="256"/>
      <c r="CG144" s="1699">
        <v>0</v>
      </c>
      <c r="CH144" s="1699"/>
      <c r="CI144" s="1684">
        <f t="shared" si="17"/>
        <v>0</v>
      </c>
      <c r="CJ144" s="1699">
        <v>0</v>
      </c>
      <c r="CK144" s="1699"/>
      <c r="CL144" s="256"/>
      <c r="CM144" s="1699">
        <v>0</v>
      </c>
      <c r="CN144" s="1699"/>
      <c r="CO144" s="256"/>
      <c r="CP144" s="636">
        <v>0</v>
      </c>
      <c r="CQ144" s="1699"/>
      <c r="CR144" s="256"/>
      <c r="CS144" s="636">
        <v>0</v>
      </c>
      <c r="CT144" s="1699"/>
      <c r="CU144" s="256"/>
      <c r="CV144" s="1699">
        <v>0</v>
      </c>
      <c r="CW144" s="1699"/>
      <c r="CX144" s="256"/>
      <c r="CY144" s="1699"/>
      <c r="CZ144" s="1699"/>
    </row>
    <row r="145" spans="1:104">
      <c r="A145" s="260">
        <f t="shared" si="10"/>
        <v>138</v>
      </c>
      <c r="B145" s="495">
        <f>'Stmt H'!B55</f>
        <v>819</v>
      </c>
      <c r="C145" s="750" t="str">
        <f>'Stmt H'!D55</f>
        <v>Compressor Station Fuel and Power</v>
      </c>
      <c r="D145" s="266"/>
      <c r="E145" s="265" t="s">
        <v>276</v>
      </c>
      <c r="F145" s="264"/>
      <c r="G145" s="209">
        <f>'Stmt H'!$F55</f>
        <v>0</v>
      </c>
      <c r="H145" s="29"/>
      <c r="I145" s="268" t="s">
        <v>276</v>
      </c>
      <c r="J145" s="29"/>
      <c r="K145" s="636">
        <f>'Stmt H'!$U55</f>
        <v>0</v>
      </c>
      <c r="M145" s="1624">
        <f t="shared" si="18"/>
        <v>0</v>
      </c>
      <c r="N145" s="1628">
        <f t="shared" si="19"/>
        <v>0</v>
      </c>
      <c r="O145" s="1628"/>
      <c r="Q145" s="1699">
        <v>0</v>
      </c>
      <c r="R145" s="256"/>
      <c r="S145" s="1699">
        <v>0</v>
      </c>
      <c r="T145" s="1700"/>
      <c r="U145" s="256"/>
      <c r="V145" s="1699">
        <v>0</v>
      </c>
      <c r="W145" s="1700"/>
      <c r="X145" s="256"/>
      <c r="Y145" s="1699">
        <v>0</v>
      </c>
      <c r="Z145" s="1700"/>
      <c r="AA145" s="256"/>
      <c r="AB145" s="1699">
        <v>0</v>
      </c>
      <c r="AC145" s="1700"/>
      <c r="AD145" s="256"/>
      <c r="AE145" s="1699">
        <v>0</v>
      </c>
      <c r="AF145" s="1700"/>
      <c r="AG145" s="256"/>
      <c r="AH145" s="1699">
        <v>0</v>
      </c>
      <c r="AI145" s="1700"/>
      <c r="AJ145" s="256"/>
      <c r="AK145" s="1699">
        <v>0</v>
      </c>
      <c r="AL145" s="1700"/>
      <c r="AM145" s="256"/>
      <c r="AN145" s="1699">
        <v>0</v>
      </c>
      <c r="AO145" s="1700"/>
      <c r="AP145" s="256"/>
      <c r="AQ145" s="1699">
        <v>0</v>
      </c>
      <c r="AR145" s="1700"/>
      <c r="AS145" s="256"/>
      <c r="AT145" s="1699">
        <v>0</v>
      </c>
      <c r="AU145" s="1699"/>
      <c r="AV145" s="256"/>
      <c r="AW145" s="1699">
        <v>0</v>
      </c>
      <c r="AX145" s="1699"/>
      <c r="AY145" s="256"/>
      <c r="AZ145" s="1699">
        <v>0</v>
      </c>
      <c r="BA145" s="1699"/>
      <c r="BB145" s="256"/>
      <c r="BC145" s="1699">
        <v>0</v>
      </c>
      <c r="BD145" s="1699"/>
      <c r="BE145" s="256"/>
      <c r="BF145" s="1699">
        <v>0</v>
      </c>
      <c r="BG145" s="1699"/>
      <c r="BH145" s="256"/>
      <c r="BI145" s="1699">
        <v>0</v>
      </c>
      <c r="BJ145" s="1699"/>
      <c r="BK145" s="256"/>
      <c r="BL145" s="1699">
        <v>0</v>
      </c>
      <c r="BM145" s="1699"/>
      <c r="BN145" s="256"/>
      <c r="BO145" s="1699">
        <v>0</v>
      </c>
      <c r="BP145" s="1699"/>
      <c r="BQ145" s="256"/>
      <c r="BR145" s="1699">
        <v>0</v>
      </c>
      <c r="BS145" s="1699"/>
      <c r="BT145" s="256"/>
      <c r="BU145" s="1699">
        <v>0</v>
      </c>
      <c r="BV145" s="1699"/>
      <c r="BW145" s="256"/>
      <c r="BX145" s="1699">
        <v>0</v>
      </c>
      <c r="BY145" s="1699"/>
      <c r="BZ145" s="256"/>
      <c r="CA145" s="1699">
        <v>0</v>
      </c>
      <c r="CB145" s="1699"/>
      <c r="CC145" s="256"/>
      <c r="CD145" s="1699">
        <v>0</v>
      </c>
      <c r="CE145" s="1699"/>
      <c r="CF145" s="256"/>
      <c r="CG145" s="1699">
        <v>0</v>
      </c>
      <c r="CH145" s="1699"/>
      <c r="CI145" s="1684">
        <f t="shared" si="17"/>
        <v>0</v>
      </c>
      <c r="CJ145" s="1699">
        <v>0</v>
      </c>
      <c r="CK145" s="1699"/>
      <c r="CL145" s="256"/>
      <c r="CM145" s="1699">
        <v>0</v>
      </c>
      <c r="CN145" s="1699"/>
      <c r="CO145" s="256"/>
      <c r="CP145" s="636">
        <v>0</v>
      </c>
      <c r="CQ145" s="1699"/>
      <c r="CR145" s="256"/>
      <c r="CS145" s="636">
        <v>0</v>
      </c>
      <c r="CT145" s="1699"/>
      <c r="CU145" s="256"/>
      <c r="CV145" s="1699">
        <v>0</v>
      </c>
      <c r="CW145" s="1699"/>
      <c r="CX145" s="256"/>
      <c r="CY145" s="1699"/>
      <c r="CZ145" s="1699"/>
    </row>
    <row r="146" spans="1:104">
      <c r="A146" s="260">
        <f t="shared" si="10"/>
        <v>139</v>
      </c>
      <c r="B146" s="495">
        <f>'Stmt H'!B56</f>
        <v>820</v>
      </c>
      <c r="C146" s="750" t="str">
        <f>'Stmt H'!D56</f>
        <v xml:space="preserve">Storage - Measuring &amp; Regulating Station Expense </v>
      </c>
      <c r="D146" s="266"/>
      <c r="E146" s="265" t="s">
        <v>276</v>
      </c>
      <c r="F146" s="264"/>
      <c r="G146" s="209">
        <f>'Stmt H'!$F56</f>
        <v>0</v>
      </c>
      <c r="H146" s="29"/>
      <c r="I146" s="268" t="s">
        <v>276</v>
      </c>
      <c r="J146" s="29"/>
      <c r="K146" s="636">
        <f>'Stmt H'!$U56</f>
        <v>0</v>
      </c>
      <c r="M146" s="1624">
        <f t="shared" si="18"/>
        <v>0</v>
      </c>
      <c r="N146" s="1628">
        <f t="shared" si="19"/>
        <v>0</v>
      </c>
      <c r="O146" s="1628"/>
      <c r="Q146" s="1699">
        <v>0</v>
      </c>
      <c r="R146" s="256"/>
      <c r="S146" s="1699">
        <v>0</v>
      </c>
      <c r="T146" s="1700"/>
      <c r="U146" s="256"/>
      <c r="V146" s="1699">
        <v>0</v>
      </c>
      <c r="W146" s="1700"/>
      <c r="X146" s="256"/>
      <c r="Y146" s="1699">
        <v>0</v>
      </c>
      <c r="Z146" s="1700"/>
      <c r="AA146" s="256"/>
      <c r="AB146" s="1699">
        <v>0</v>
      </c>
      <c r="AC146" s="1700"/>
      <c r="AD146" s="256"/>
      <c r="AE146" s="1699">
        <v>0</v>
      </c>
      <c r="AF146" s="1700"/>
      <c r="AG146" s="256"/>
      <c r="AH146" s="1699">
        <v>0</v>
      </c>
      <c r="AI146" s="1700"/>
      <c r="AJ146" s="256"/>
      <c r="AK146" s="1699">
        <v>0</v>
      </c>
      <c r="AL146" s="1700"/>
      <c r="AM146" s="256"/>
      <c r="AN146" s="1699">
        <v>0</v>
      </c>
      <c r="AO146" s="1700"/>
      <c r="AP146" s="256"/>
      <c r="AQ146" s="1699">
        <v>0</v>
      </c>
      <c r="AR146" s="1700"/>
      <c r="AS146" s="256"/>
      <c r="AT146" s="1699">
        <v>0</v>
      </c>
      <c r="AU146" s="1699"/>
      <c r="AV146" s="256"/>
      <c r="AW146" s="1699">
        <v>0</v>
      </c>
      <c r="AX146" s="1699"/>
      <c r="AY146" s="256"/>
      <c r="AZ146" s="1699">
        <v>0</v>
      </c>
      <c r="BA146" s="1699"/>
      <c r="BB146" s="256"/>
      <c r="BC146" s="1699">
        <v>0</v>
      </c>
      <c r="BD146" s="1699"/>
      <c r="BE146" s="256"/>
      <c r="BF146" s="1699">
        <v>0</v>
      </c>
      <c r="BG146" s="1699"/>
      <c r="BH146" s="256"/>
      <c r="BI146" s="1699">
        <v>0</v>
      </c>
      <c r="BJ146" s="1699"/>
      <c r="BK146" s="256"/>
      <c r="BL146" s="1699">
        <v>0</v>
      </c>
      <c r="BM146" s="1699"/>
      <c r="BN146" s="256"/>
      <c r="BO146" s="1699">
        <v>0</v>
      </c>
      <c r="BP146" s="1699"/>
      <c r="BQ146" s="256"/>
      <c r="BR146" s="1699">
        <v>0</v>
      </c>
      <c r="BS146" s="1699"/>
      <c r="BT146" s="256"/>
      <c r="BU146" s="1699">
        <v>0</v>
      </c>
      <c r="BV146" s="1699"/>
      <c r="BW146" s="256"/>
      <c r="BX146" s="1699">
        <v>0</v>
      </c>
      <c r="BY146" s="1699"/>
      <c r="BZ146" s="256"/>
      <c r="CA146" s="1699">
        <v>0</v>
      </c>
      <c r="CB146" s="1699"/>
      <c r="CC146" s="256"/>
      <c r="CD146" s="1699">
        <v>0</v>
      </c>
      <c r="CE146" s="1699"/>
      <c r="CF146" s="256"/>
      <c r="CG146" s="1699">
        <v>0</v>
      </c>
      <c r="CH146" s="1699"/>
      <c r="CI146" s="1684">
        <f t="shared" si="17"/>
        <v>0</v>
      </c>
      <c r="CJ146" s="1699">
        <v>0</v>
      </c>
      <c r="CK146" s="1699"/>
      <c r="CL146" s="256"/>
      <c r="CM146" s="1699">
        <v>0</v>
      </c>
      <c r="CN146" s="1699"/>
      <c r="CO146" s="256"/>
      <c r="CP146" s="636">
        <v>0</v>
      </c>
      <c r="CQ146" s="1699"/>
      <c r="CR146" s="256"/>
      <c r="CS146" s="636">
        <v>0</v>
      </c>
      <c r="CT146" s="1699"/>
      <c r="CU146" s="256"/>
      <c r="CV146" s="1699">
        <v>0</v>
      </c>
      <c r="CW146" s="1699"/>
      <c r="CX146" s="256"/>
      <c r="CY146" s="1699"/>
      <c r="CZ146" s="1699"/>
    </row>
    <row r="147" spans="1:104">
      <c r="A147" s="260">
        <f t="shared" si="10"/>
        <v>140</v>
      </c>
      <c r="B147" s="495">
        <f>'Stmt H'!B57</f>
        <v>821</v>
      </c>
      <c r="C147" s="750" t="str">
        <f>'Stmt H'!D57</f>
        <v>Purification Expense</v>
      </c>
      <c r="D147" s="266"/>
      <c r="E147" s="265" t="s">
        <v>276</v>
      </c>
      <c r="F147" s="264"/>
      <c r="G147" s="209">
        <f>'Stmt H'!$F57</f>
        <v>0</v>
      </c>
      <c r="H147" s="29"/>
      <c r="I147" s="268" t="s">
        <v>276</v>
      </c>
      <c r="J147" s="29"/>
      <c r="K147" s="636">
        <f>'Stmt H'!$U57</f>
        <v>0</v>
      </c>
      <c r="M147" s="1624">
        <f t="shared" si="18"/>
        <v>0</v>
      </c>
      <c r="N147" s="1628">
        <f t="shared" si="19"/>
        <v>0</v>
      </c>
      <c r="O147" s="1628"/>
      <c r="Q147" s="1699">
        <v>0</v>
      </c>
      <c r="R147" s="256"/>
      <c r="S147" s="1699">
        <v>0</v>
      </c>
      <c r="T147" s="1700"/>
      <c r="U147" s="256"/>
      <c r="V147" s="1699">
        <v>0</v>
      </c>
      <c r="W147" s="1700"/>
      <c r="X147" s="256"/>
      <c r="Y147" s="1699">
        <v>0</v>
      </c>
      <c r="Z147" s="1700"/>
      <c r="AA147" s="256"/>
      <c r="AB147" s="1699">
        <v>0</v>
      </c>
      <c r="AC147" s="1700"/>
      <c r="AD147" s="256"/>
      <c r="AE147" s="1699">
        <v>0</v>
      </c>
      <c r="AF147" s="1700"/>
      <c r="AG147" s="256"/>
      <c r="AH147" s="1699">
        <v>0</v>
      </c>
      <c r="AI147" s="1700"/>
      <c r="AJ147" s="256"/>
      <c r="AK147" s="1699">
        <v>0</v>
      </c>
      <c r="AL147" s="1700"/>
      <c r="AM147" s="256"/>
      <c r="AN147" s="1699">
        <v>0</v>
      </c>
      <c r="AO147" s="1700"/>
      <c r="AP147" s="256"/>
      <c r="AQ147" s="1699">
        <v>0</v>
      </c>
      <c r="AR147" s="1700"/>
      <c r="AS147" s="256"/>
      <c r="AT147" s="1699">
        <v>0</v>
      </c>
      <c r="AU147" s="1699"/>
      <c r="AV147" s="256"/>
      <c r="AW147" s="1699">
        <v>0</v>
      </c>
      <c r="AX147" s="1699"/>
      <c r="AY147" s="256"/>
      <c r="AZ147" s="1699">
        <v>0</v>
      </c>
      <c r="BA147" s="1699"/>
      <c r="BB147" s="256"/>
      <c r="BC147" s="1699">
        <v>0</v>
      </c>
      <c r="BD147" s="1699"/>
      <c r="BE147" s="256"/>
      <c r="BF147" s="1699">
        <v>0</v>
      </c>
      <c r="BG147" s="1699"/>
      <c r="BH147" s="256"/>
      <c r="BI147" s="1699">
        <v>0</v>
      </c>
      <c r="BJ147" s="1699"/>
      <c r="BK147" s="256"/>
      <c r="BL147" s="1699">
        <v>0</v>
      </c>
      <c r="BM147" s="1699"/>
      <c r="BN147" s="256"/>
      <c r="BO147" s="1699">
        <v>0</v>
      </c>
      <c r="BP147" s="1699"/>
      <c r="BQ147" s="256"/>
      <c r="BR147" s="1699">
        <v>0</v>
      </c>
      <c r="BS147" s="1699"/>
      <c r="BT147" s="256"/>
      <c r="BU147" s="1699">
        <v>0</v>
      </c>
      <c r="BV147" s="1699"/>
      <c r="BW147" s="256"/>
      <c r="BX147" s="1699">
        <v>0</v>
      </c>
      <c r="BY147" s="1699"/>
      <c r="BZ147" s="256"/>
      <c r="CA147" s="1699">
        <v>0</v>
      </c>
      <c r="CB147" s="1699"/>
      <c r="CC147" s="256"/>
      <c r="CD147" s="1699">
        <v>0</v>
      </c>
      <c r="CE147" s="1699"/>
      <c r="CF147" s="256"/>
      <c r="CG147" s="1699">
        <v>0</v>
      </c>
      <c r="CH147" s="1699"/>
      <c r="CI147" s="1684">
        <f t="shared" si="17"/>
        <v>0</v>
      </c>
      <c r="CJ147" s="1699">
        <v>0</v>
      </c>
      <c r="CK147" s="1699"/>
      <c r="CL147" s="256"/>
      <c r="CM147" s="1699">
        <v>0</v>
      </c>
      <c r="CN147" s="1699"/>
      <c r="CO147" s="256"/>
      <c r="CP147" s="636">
        <v>0</v>
      </c>
      <c r="CQ147" s="1699"/>
      <c r="CR147" s="256"/>
      <c r="CS147" s="636">
        <v>0</v>
      </c>
      <c r="CT147" s="1699"/>
      <c r="CU147" s="256"/>
      <c r="CV147" s="1699">
        <v>0</v>
      </c>
      <c r="CW147" s="1699"/>
      <c r="CX147" s="256"/>
      <c r="CY147" s="1699"/>
      <c r="CZ147" s="1699"/>
    </row>
    <row r="148" spans="1:104">
      <c r="A148" s="260">
        <f t="shared" si="10"/>
        <v>141</v>
      </c>
      <c r="B148" s="495">
        <f>'Stmt H'!B58</f>
        <v>824</v>
      </c>
      <c r="C148" s="750" t="str">
        <f>'Stmt H'!D58</f>
        <v>Other Expenses</v>
      </c>
      <c r="D148" s="266"/>
      <c r="E148" s="265" t="s">
        <v>276</v>
      </c>
      <c r="F148" s="264"/>
      <c r="G148" s="209">
        <f>'Stmt H'!$F58</f>
        <v>0</v>
      </c>
      <c r="H148" s="29"/>
      <c r="I148" s="268" t="s">
        <v>276</v>
      </c>
      <c r="J148" s="29"/>
      <c r="K148" s="636">
        <f>'Stmt H'!$U58</f>
        <v>0</v>
      </c>
      <c r="M148" s="1624">
        <f t="shared" si="18"/>
        <v>0</v>
      </c>
      <c r="N148" s="1628">
        <f t="shared" si="19"/>
        <v>0</v>
      </c>
      <c r="O148" s="1628"/>
      <c r="Q148" s="1699">
        <v>0</v>
      </c>
      <c r="R148" s="256"/>
      <c r="S148" s="1699">
        <v>0</v>
      </c>
      <c r="T148" s="1700"/>
      <c r="U148" s="256"/>
      <c r="V148" s="1699">
        <v>0</v>
      </c>
      <c r="W148" s="1700"/>
      <c r="X148" s="256"/>
      <c r="Y148" s="1699">
        <v>0</v>
      </c>
      <c r="Z148" s="1700"/>
      <c r="AA148" s="256"/>
      <c r="AB148" s="1699">
        <v>0</v>
      </c>
      <c r="AC148" s="1700"/>
      <c r="AD148" s="256"/>
      <c r="AE148" s="1699">
        <v>0</v>
      </c>
      <c r="AF148" s="1700"/>
      <c r="AG148" s="256"/>
      <c r="AH148" s="1699">
        <v>0</v>
      </c>
      <c r="AI148" s="1700"/>
      <c r="AJ148" s="256"/>
      <c r="AK148" s="1699">
        <v>0</v>
      </c>
      <c r="AL148" s="1700"/>
      <c r="AM148" s="256"/>
      <c r="AN148" s="1699">
        <v>0</v>
      </c>
      <c r="AO148" s="1700"/>
      <c r="AP148" s="256"/>
      <c r="AQ148" s="1699">
        <v>0</v>
      </c>
      <c r="AR148" s="1700"/>
      <c r="AS148" s="256"/>
      <c r="AT148" s="1699">
        <v>0</v>
      </c>
      <c r="AU148" s="1699"/>
      <c r="AV148" s="256"/>
      <c r="AW148" s="1699">
        <v>0</v>
      </c>
      <c r="AX148" s="1699"/>
      <c r="AY148" s="256"/>
      <c r="AZ148" s="1699">
        <v>0</v>
      </c>
      <c r="BA148" s="1699"/>
      <c r="BB148" s="256"/>
      <c r="BC148" s="1699">
        <v>0</v>
      </c>
      <c r="BD148" s="1699"/>
      <c r="BE148" s="256"/>
      <c r="BF148" s="1699">
        <v>0</v>
      </c>
      <c r="BG148" s="1699"/>
      <c r="BH148" s="256"/>
      <c r="BI148" s="1699">
        <v>0</v>
      </c>
      <c r="BJ148" s="1699"/>
      <c r="BK148" s="256"/>
      <c r="BL148" s="1699">
        <v>0</v>
      </c>
      <c r="BM148" s="1699"/>
      <c r="BN148" s="256"/>
      <c r="BO148" s="1699">
        <v>0</v>
      </c>
      <c r="BP148" s="1699"/>
      <c r="BQ148" s="256"/>
      <c r="BR148" s="1699">
        <v>0</v>
      </c>
      <c r="BS148" s="1699"/>
      <c r="BT148" s="256"/>
      <c r="BU148" s="1699">
        <v>0</v>
      </c>
      <c r="BV148" s="1699"/>
      <c r="BW148" s="256"/>
      <c r="BX148" s="1699">
        <v>0</v>
      </c>
      <c r="BY148" s="1699"/>
      <c r="BZ148" s="256"/>
      <c r="CA148" s="1699">
        <v>0</v>
      </c>
      <c r="CB148" s="1699"/>
      <c r="CC148" s="256"/>
      <c r="CD148" s="1699">
        <v>0</v>
      </c>
      <c r="CE148" s="1699"/>
      <c r="CF148" s="256"/>
      <c r="CG148" s="1699">
        <v>0</v>
      </c>
      <c r="CH148" s="1699"/>
      <c r="CI148" s="1684">
        <f t="shared" si="17"/>
        <v>0</v>
      </c>
      <c r="CJ148" s="1699">
        <v>0</v>
      </c>
      <c r="CK148" s="1699"/>
      <c r="CL148" s="256"/>
      <c r="CM148" s="1699">
        <v>0</v>
      </c>
      <c r="CN148" s="1699"/>
      <c r="CO148" s="256"/>
      <c r="CP148" s="636">
        <v>0</v>
      </c>
      <c r="CQ148" s="1699"/>
      <c r="CR148" s="256"/>
      <c r="CS148" s="636">
        <v>0</v>
      </c>
      <c r="CT148" s="1699"/>
      <c r="CU148" s="256"/>
      <c r="CV148" s="1699">
        <v>0</v>
      </c>
      <c r="CW148" s="1699"/>
      <c r="CX148" s="256"/>
      <c r="CY148" s="1699"/>
      <c r="CZ148" s="1699"/>
    </row>
    <row r="149" spans="1:104">
      <c r="A149" s="260">
        <f t="shared" si="10"/>
        <v>142</v>
      </c>
      <c r="B149" s="495">
        <f>'Stmt H'!B59</f>
        <v>826</v>
      </c>
      <c r="C149" s="750" t="str">
        <f>'Stmt H'!D59</f>
        <v>Rents</v>
      </c>
      <c r="D149" s="266"/>
      <c r="E149" s="265" t="s">
        <v>276</v>
      </c>
      <c r="F149" s="264"/>
      <c r="G149" s="787">
        <f>'Stmt H'!$F59</f>
        <v>0</v>
      </c>
      <c r="H149" s="29"/>
      <c r="I149" s="268" t="s">
        <v>276</v>
      </c>
      <c r="J149" s="29"/>
      <c r="K149" s="637">
        <f>'Stmt H'!$U59</f>
        <v>0</v>
      </c>
      <c r="M149" s="1624">
        <f t="shared" si="18"/>
        <v>0</v>
      </c>
      <c r="N149" s="1626">
        <f t="shared" si="19"/>
        <v>0</v>
      </c>
      <c r="O149" s="1626"/>
      <c r="Q149" s="1701">
        <v>0</v>
      </c>
      <c r="R149" s="256"/>
      <c r="S149" s="1701">
        <v>0</v>
      </c>
      <c r="T149" s="1702"/>
      <c r="U149" s="256"/>
      <c r="V149" s="1701">
        <v>0</v>
      </c>
      <c r="W149" s="1702"/>
      <c r="X149" s="256"/>
      <c r="Y149" s="1701">
        <v>0</v>
      </c>
      <c r="Z149" s="1702"/>
      <c r="AA149" s="256"/>
      <c r="AB149" s="1701">
        <v>0</v>
      </c>
      <c r="AC149" s="1702"/>
      <c r="AD149" s="256"/>
      <c r="AE149" s="1701">
        <v>0</v>
      </c>
      <c r="AF149" s="1702"/>
      <c r="AG149" s="256"/>
      <c r="AH149" s="1701">
        <v>0</v>
      </c>
      <c r="AI149" s="1702"/>
      <c r="AJ149" s="256"/>
      <c r="AK149" s="1701">
        <v>0</v>
      </c>
      <c r="AL149" s="1702"/>
      <c r="AM149" s="256"/>
      <c r="AN149" s="1701">
        <v>0</v>
      </c>
      <c r="AO149" s="1702"/>
      <c r="AP149" s="256"/>
      <c r="AQ149" s="1701">
        <v>0</v>
      </c>
      <c r="AR149" s="1702"/>
      <c r="AS149" s="256"/>
      <c r="AT149" s="1701">
        <v>0</v>
      </c>
      <c r="AU149" s="1701"/>
      <c r="AV149" s="256"/>
      <c r="AW149" s="1701">
        <v>0</v>
      </c>
      <c r="AX149" s="1701"/>
      <c r="AY149" s="256"/>
      <c r="AZ149" s="1701">
        <v>0</v>
      </c>
      <c r="BA149" s="1701"/>
      <c r="BB149" s="256"/>
      <c r="BC149" s="1701">
        <v>0</v>
      </c>
      <c r="BD149" s="1701"/>
      <c r="BE149" s="256"/>
      <c r="BF149" s="1701">
        <v>0</v>
      </c>
      <c r="BG149" s="1701"/>
      <c r="BH149" s="256"/>
      <c r="BI149" s="1701">
        <v>0</v>
      </c>
      <c r="BJ149" s="1701"/>
      <c r="BK149" s="256"/>
      <c r="BL149" s="1701">
        <v>0</v>
      </c>
      <c r="BM149" s="1701"/>
      <c r="BN149" s="256"/>
      <c r="BO149" s="1701">
        <v>0</v>
      </c>
      <c r="BP149" s="1701"/>
      <c r="BQ149" s="256"/>
      <c r="BR149" s="1701">
        <v>0</v>
      </c>
      <c r="BS149" s="1701"/>
      <c r="BT149" s="256"/>
      <c r="BU149" s="1701">
        <v>0</v>
      </c>
      <c r="BV149" s="1701"/>
      <c r="BW149" s="256"/>
      <c r="BX149" s="1701">
        <v>0</v>
      </c>
      <c r="BY149" s="1701"/>
      <c r="BZ149" s="256"/>
      <c r="CA149" s="1701">
        <v>0</v>
      </c>
      <c r="CB149" s="1701"/>
      <c r="CC149" s="256"/>
      <c r="CD149" s="1701">
        <v>0</v>
      </c>
      <c r="CE149" s="1701"/>
      <c r="CF149" s="256"/>
      <c r="CG149" s="1701">
        <v>0</v>
      </c>
      <c r="CH149" s="1701"/>
      <c r="CI149" s="1684">
        <f t="shared" si="17"/>
        <v>0</v>
      </c>
      <c r="CJ149" s="1701">
        <v>0</v>
      </c>
      <c r="CK149" s="1701"/>
      <c r="CL149" s="256"/>
      <c r="CM149" s="1701">
        <v>0</v>
      </c>
      <c r="CN149" s="1701"/>
      <c r="CO149" s="256"/>
      <c r="CP149" s="637">
        <v>0</v>
      </c>
      <c r="CQ149" s="1701"/>
      <c r="CR149" s="256"/>
      <c r="CS149" s="637">
        <v>0</v>
      </c>
      <c r="CT149" s="1701"/>
      <c r="CU149" s="256"/>
      <c r="CV149" s="1701">
        <v>0</v>
      </c>
      <c r="CW149" s="1701"/>
      <c r="CX149" s="256"/>
      <c r="CY149" s="1701"/>
      <c r="CZ149" s="1701"/>
    </row>
    <row r="150" spans="1:104">
      <c r="A150" s="260">
        <f t="shared" ref="A150:A213" si="20">A149+1</f>
        <v>143</v>
      </c>
      <c r="B150" s="495"/>
      <c r="C150" s="67" t="s">
        <v>700</v>
      </c>
      <c r="D150" s="266"/>
      <c r="E150" s="265" t="s">
        <v>276</v>
      </c>
      <c r="F150" s="264"/>
      <c r="G150" s="361">
        <f>'Stmt H'!$F60</f>
        <v>0</v>
      </c>
      <c r="H150" s="29"/>
      <c r="I150" s="268" t="s">
        <v>276</v>
      </c>
      <c r="J150" s="29"/>
      <c r="K150" s="361">
        <f>'Stmt H'!$U60</f>
        <v>0</v>
      </c>
      <c r="M150" s="1630" t="s">
        <v>1528</v>
      </c>
      <c r="N150" s="1614">
        <f>SUM(N141:N149)</f>
        <v>0</v>
      </c>
      <c r="O150" s="1614">
        <v>0</v>
      </c>
      <c r="Q150" s="333">
        <v>0</v>
      </c>
      <c r="R150" s="256"/>
      <c r="S150" s="333">
        <v>0</v>
      </c>
      <c r="T150" s="1693">
        <v>0</v>
      </c>
      <c r="U150" s="256"/>
      <c r="V150" s="333">
        <v>0</v>
      </c>
      <c r="W150" s="1693">
        <v>0</v>
      </c>
      <c r="X150" s="256"/>
      <c r="Y150" s="333">
        <v>0</v>
      </c>
      <c r="Z150" s="1693">
        <v>0</v>
      </c>
      <c r="AA150" s="256"/>
      <c r="AB150" s="333">
        <v>0</v>
      </c>
      <c r="AC150" s="1693">
        <v>0</v>
      </c>
      <c r="AD150" s="256"/>
      <c r="AE150" s="333">
        <v>0</v>
      </c>
      <c r="AF150" s="1693">
        <v>0</v>
      </c>
      <c r="AG150" s="256"/>
      <c r="AH150" s="333">
        <v>0</v>
      </c>
      <c r="AI150" s="1693">
        <v>0</v>
      </c>
      <c r="AJ150" s="256"/>
      <c r="AK150" s="333">
        <v>0</v>
      </c>
      <c r="AL150" s="1693">
        <v>0</v>
      </c>
      <c r="AM150" s="256"/>
      <c r="AN150" s="333">
        <v>0</v>
      </c>
      <c r="AO150" s="1693">
        <v>0</v>
      </c>
      <c r="AP150" s="256"/>
      <c r="AQ150" s="333">
        <v>0</v>
      </c>
      <c r="AR150" s="1693">
        <v>0</v>
      </c>
      <c r="AS150" s="256"/>
      <c r="AT150" s="333">
        <v>0</v>
      </c>
      <c r="AU150" s="333">
        <v>0</v>
      </c>
      <c r="AV150" s="256"/>
      <c r="AW150" s="333">
        <v>0</v>
      </c>
      <c r="AX150" s="333">
        <v>0</v>
      </c>
      <c r="AY150" s="256"/>
      <c r="AZ150" s="333">
        <v>0</v>
      </c>
      <c r="BA150" s="333">
        <v>0</v>
      </c>
      <c r="BB150" s="256"/>
      <c r="BC150" s="333">
        <v>0</v>
      </c>
      <c r="BD150" s="333">
        <v>0</v>
      </c>
      <c r="BE150" s="256"/>
      <c r="BF150" s="333">
        <v>0</v>
      </c>
      <c r="BG150" s="333">
        <v>0</v>
      </c>
      <c r="BH150" s="256"/>
      <c r="BI150" s="333">
        <v>0</v>
      </c>
      <c r="BJ150" s="333">
        <v>0</v>
      </c>
      <c r="BK150" s="256"/>
      <c r="BL150" s="333">
        <v>0</v>
      </c>
      <c r="BM150" s="333">
        <v>0</v>
      </c>
      <c r="BN150" s="256"/>
      <c r="BO150" s="333">
        <v>0</v>
      </c>
      <c r="BP150" s="333">
        <v>0</v>
      </c>
      <c r="BQ150" s="256"/>
      <c r="BR150" s="333">
        <v>0</v>
      </c>
      <c r="BS150" s="333">
        <v>0</v>
      </c>
      <c r="BT150" s="256"/>
      <c r="BU150" s="333">
        <v>0</v>
      </c>
      <c r="BV150" s="333">
        <v>0</v>
      </c>
      <c r="BW150" s="256"/>
      <c r="BX150" s="333">
        <v>0</v>
      </c>
      <c r="BY150" s="333">
        <v>0</v>
      </c>
      <c r="BZ150" s="256"/>
      <c r="CA150" s="333">
        <v>0</v>
      </c>
      <c r="CB150" s="333">
        <v>0</v>
      </c>
      <c r="CC150" s="256"/>
      <c r="CD150" s="333">
        <v>0</v>
      </c>
      <c r="CE150" s="333">
        <v>0</v>
      </c>
      <c r="CF150" s="256"/>
      <c r="CG150" s="333">
        <v>0</v>
      </c>
      <c r="CH150" s="333">
        <v>0</v>
      </c>
      <c r="CI150" s="1684">
        <f t="shared" si="17"/>
        <v>0</v>
      </c>
      <c r="CJ150" s="333">
        <v>0</v>
      </c>
      <c r="CK150" s="333">
        <v>0</v>
      </c>
      <c r="CL150" s="256"/>
      <c r="CM150" s="333">
        <v>0</v>
      </c>
      <c r="CN150" s="333">
        <v>0</v>
      </c>
      <c r="CO150" s="256"/>
      <c r="CP150" s="361">
        <v>0</v>
      </c>
      <c r="CQ150" s="333">
        <v>0</v>
      </c>
      <c r="CR150" s="256"/>
      <c r="CS150" s="361">
        <v>0</v>
      </c>
      <c r="CT150" s="333">
        <v>0</v>
      </c>
      <c r="CU150" s="256"/>
      <c r="CV150" s="333">
        <v>0</v>
      </c>
      <c r="CW150" s="333">
        <v>0</v>
      </c>
      <c r="CX150" s="256"/>
      <c r="CY150" s="333"/>
      <c r="CZ150" s="333"/>
    </row>
    <row r="151" spans="1:104">
      <c r="A151" s="260">
        <f t="shared" si="20"/>
        <v>144</v>
      </c>
      <c r="B151" s="495"/>
      <c r="C151" s="67"/>
      <c r="D151" s="266"/>
      <c r="E151" s="265"/>
      <c r="F151" s="264"/>
      <c r="G151" s="622"/>
      <c r="H151" s="29"/>
      <c r="I151" s="1229"/>
      <c r="J151" s="29"/>
      <c r="K151" s="621"/>
      <c r="M151" s="1624"/>
      <c r="N151" s="1108"/>
      <c r="O151" s="1108"/>
      <c r="Q151" s="1709"/>
      <c r="R151" s="256"/>
      <c r="S151" s="1709"/>
      <c r="T151" s="1710"/>
      <c r="U151" s="256"/>
      <c r="V151" s="1709"/>
      <c r="W151" s="1710"/>
      <c r="X151" s="256"/>
      <c r="Y151" s="1709"/>
      <c r="Z151" s="1710"/>
      <c r="AA151" s="256"/>
      <c r="AB151" s="1709"/>
      <c r="AC151" s="1710"/>
      <c r="AD151" s="256"/>
      <c r="AE151" s="1709"/>
      <c r="AF151" s="1710"/>
      <c r="AG151" s="256"/>
      <c r="AH151" s="1709"/>
      <c r="AI151" s="1710"/>
      <c r="AJ151" s="256"/>
      <c r="AK151" s="1709"/>
      <c r="AL151" s="1710"/>
      <c r="AM151" s="256"/>
      <c r="AN151" s="1709"/>
      <c r="AO151" s="1710"/>
      <c r="AP151" s="256"/>
      <c r="AQ151" s="1709"/>
      <c r="AR151" s="1710"/>
      <c r="AS151" s="256"/>
      <c r="AT151" s="1709"/>
      <c r="AU151" s="1709"/>
      <c r="AV151" s="256"/>
      <c r="AW151" s="1709"/>
      <c r="AX151" s="1709"/>
      <c r="AY151" s="256"/>
      <c r="AZ151" s="1709"/>
      <c r="BA151" s="1709"/>
      <c r="BB151" s="256"/>
      <c r="BC151" s="1709"/>
      <c r="BD151" s="1709"/>
      <c r="BE151" s="256"/>
      <c r="BF151" s="1709"/>
      <c r="BG151" s="1709"/>
      <c r="BH151" s="256"/>
      <c r="BI151" s="1709"/>
      <c r="BJ151" s="1709"/>
      <c r="BK151" s="256"/>
      <c r="BL151" s="1709"/>
      <c r="BM151" s="1709"/>
      <c r="BN151" s="256"/>
      <c r="BO151" s="1709"/>
      <c r="BP151" s="1709"/>
      <c r="BQ151" s="256"/>
      <c r="BR151" s="1709"/>
      <c r="BS151" s="1709"/>
      <c r="BT151" s="256"/>
      <c r="BU151" s="1709"/>
      <c r="BV151" s="1709"/>
      <c r="BW151" s="256"/>
      <c r="BX151" s="1709"/>
      <c r="BY151" s="1709"/>
      <c r="BZ151" s="256"/>
      <c r="CA151" s="1709"/>
      <c r="CB151" s="1709"/>
      <c r="CC151" s="256"/>
      <c r="CD151" s="1709"/>
      <c r="CE151" s="1709"/>
      <c r="CF151" s="256"/>
      <c r="CG151" s="1709"/>
      <c r="CH151" s="1709"/>
      <c r="CI151" s="1684">
        <f t="shared" si="17"/>
        <v>0</v>
      </c>
      <c r="CJ151" s="1709"/>
      <c r="CK151" s="1709"/>
      <c r="CL151" s="256"/>
      <c r="CM151" s="1709"/>
      <c r="CN151" s="1709"/>
      <c r="CO151" s="256"/>
      <c r="CP151" s="621"/>
      <c r="CQ151" s="1709"/>
      <c r="CR151" s="256"/>
      <c r="CS151" s="621"/>
      <c r="CT151" s="1709"/>
      <c r="CU151" s="256"/>
      <c r="CV151" s="1709"/>
      <c r="CW151" s="1709"/>
      <c r="CX151" s="256"/>
      <c r="CY151" s="1709"/>
      <c r="CZ151" s="1709"/>
    </row>
    <row r="152" spans="1:104">
      <c r="A152" s="260">
        <f t="shared" si="20"/>
        <v>145</v>
      </c>
      <c r="B152" s="495"/>
      <c r="C152" s="67" t="s">
        <v>166</v>
      </c>
      <c r="D152" s="266"/>
      <c r="E152" s="265"/>
      <c r="F152" s="264"/>
      <c r="G152" s="622"/>
      <c r="H152" s="29"/>
      <c r="I152" s="1229"/>
      <c r="J152" s="29"/>
      <c r="K152" s="621"/>
      <c r="M152" s="1624"/>
      <c r="N152" s="1108"/>
      <c r="O152" s="1108"/>
      <c r="Q152" s="1709"/>
      <c r="R152" s="256"/>
      <c r="S152" s="1709"/>
      <c r="T152" s="1710"/>
      <c r="U152" s="256"/>
      <c r="V152" s="1709"/>
      <c r="W152" s="1710"/>
      <c r="X152" s="256"/>
      <c r="Y152" s="1709"/>
      <c r="Z152" s="1710"/>
      <c r="AA152" s="256"/>
      <c r="AB152" s="1709"/>
      <c r="AC152" s="1710"/>
      <c r="AD152" s="256"/>
      <c r="AE152" s="1709"/>
      <c r="AF152" s="1710"/>
      <c r="AG152" s="256"/>
      <c r="AH152" s="1709"/>
      <c r="AI152" s="1710"/>
      <c r="AJ152" s="256"/>
      <c r="AK152" s="1709"/>
      <c r="AL152" s="1710"/>
      <c r="AM152" s="256"/>
      <c r="AN152" s="1709"/>
      <c r="AO152" s="1710"/>
      <c r="AP152" s="256"/>
      <c r="AQ152" s="1709"/>
      <c r="AR152" s="1710"/>
      <c r="AS152" s="256"/>
      <c r="AT152" s="1709"/>
      <c r="AU152" s="1709"/>
      <c r="AV152" s="256"/>
      <c r="AW152" s="1709"/>
      <c r="AX152" s="1709"/>
      <c r="AY152" s="256"/>
      <c r="AZ152" s="1709"/>
      <c r="BA152" s="1709"/>
      <c r="BB152" s="256"/>
      <c r="BC152" s="1709"/>
      <c r="BD152" s="1709"/>
      <c r="BE152" s="256"/>
      <c r="BF152" s="1709"/>
      <c r="BG152" s="1709"/>
      <c r="BH152" s="256"/>
      <c r="BI152" s="1709"/>
      <c r="BJ152" s="1709"/>
      <c r="BK152" s="256"/>
      <c r="BL152" s="1709"/>
      <c r="BM152" s="1709"/>
      <c r="BN152" s="256"/>
      <c r="BO152" s="1709"/>
      <c r="BP152" s="1709"/>
      <c r="BQ152" s="256"/>
      <c r="BR152" s="1709"/>
      <c r="BS152" s="1709"/>
      <c r="BT152" s="256"/>
      <c r="BU152" s="1709"/>
      <c r="BV152" s="1709"/>
      <c r="BW152" s="256"/>
      <c r="BX152" s="1709"/>
      <c r="BY152" s="1709"/>
      <c r="BZ152" s="256"/>
      <c r="CA152" s="1709"/>
      <c r="CB152" s="1709"/>
      <c r="CC152" s="256"/>
      <c r="CD152" s="1709"/>
      <c r="CE152" s="1709"/>
      <c r="CF152" s="256"/>
      <c r="CG152" s="1709"/>
      <c r="CH152" s="1709"/>
      <c r="CI152" s="1684">
        <f t="shared" si="17"/>
        <v>0</v>
      </c>
      <c r="CJ152" s="1709"/>
      <c r="CK152" s="1709"/>
      <c r="CL152" s="256"/>
      <c r="CM152" s="1709"/>
      <c r="CN152" s="1709"/>
      <c r="CO152" s="256"/>
      <c r="CP152" s="621"/>
      <c r="CQ152" s="1709"/>
      <c r="CR152" s="256"/>
      <c r="CS152" s="621"/>
      <c r="CT152" s="1709"/>
      <c r="CU152" s="256"/>
      <c r="CV152" s="1709"/>
      <c r="CW152" s="1709"/>
      <c r="CX152" s="256"/>
      <c r="CY152" s="1709"/>
      <c r="CZ152" s="1709"/>
    </row>
    <row r="153" spans="1:104">
      <c r="A153" s="260">
        <f t="shared" si="20"/>
        <v>146</v>
      </c>
      <c r="B153" s="495">
        <f>'Stmt H'!B63</f>
        <v>830</v>
      </c>
      <c r="C153" s="750" t="str">
        <f>'Stmt H'!D63</f>
        <v>Maintenance Supervision &amp; Engineering</v>
      </c>
      <c r="D153" s="266"/>
      <c r="E153" s="265" t="s">
        <v>276</v>
      </c>
      <c r="F153" s="264"/>
      <c r="G153" s="361">
        <f>'Stmt H'!$F63</f>
        <v>0</v>
      </c>
      <c r="H153" s="29"/>
      <c r="I153" s="268" t="s">
        <v>276</v>
      </c>
      <c r="J153" s="29"/>
      <c r="K153" s="361">
        <f>'Stmt H'!$U63</f>
        <v>0</v>
      </c>
      <c r="M153" s="1624">
        <f t="shared" ref="M153:M158" si="21">IF(ISERROR(O153/K153),0,O153/K153)</f>
        <v>0</v>
      </c>
      <c r="N153" s="1113">
        <f t="shared" ref="N153:N158" si="22">M153*G153</f>
        <v>0</v>
      </c>
      <c r="O153" s="1113"/>
      <c r="Q153" s="333">
        <v>0</v>
      </c>
      <c r="R153" s="256"/>
      <c r="S153" s="333">
        <v>0</v>
      </c>
      <c r="T153" s="1693"/>
      <c r="U153" s="256"/>
      <c r="V153" s="333">
        <v>0</v>
      </c>
      <c r="W153" s="1693"/>
      <c r="X153" s="256"/>
      <c r="Y153" s="333">
        <v>0</v>
      </c>
      <c r="Z153" s="1693"/>
      <c r="AA153" s="256"/>
      <c r="AB153" s="333">
        <v>0</v>
      </c>
      <c r="AC153" s="1693"/>
      <c r="AD153" s="256"/>
      <c r="AE153" s="333">
        <v>0</v>
      </c>
      <c r="AF153" s="1693"/>
      <c r="AG153" s="256"/>
      <c r="AH153" s="333">
        <v>0</v>
      </c>
      <c r="AI153" s="1693"/>
      <c r="AJ153" s="256"/>
      <c r="AK153" s="333">
        <v>0</v>
      </c>
      <c r="AL153" s="1693"/>
      <c r="AM153" s="256"/>
      <c r="AN153" s="333">
        <v>0</v>
      </c>
      <c r="AO153" s="1693"/>
      <c r="AP153" s="256"/>
      <c r="AQ153" s="333">
        <v>0</v>
      </c>
      <c r="AR153" s="1693"/>
      <c r="AS153" s="256"/>
      <c r="AT153" s="333">
        <v>0</v>
      </c>
      <c r="AU153" s="333"/>
      <c r="AV153" s="256"/>
      <c r="AW153" s="333">
        <v>0</v>
      </c>
      <c r="AX153" s="333"/>
      <c r="AY153" s="256"/>
      <c r="AZ153" s="333">
        <v>0</v>
      </c>
      <c r="BA153" s="333"/>
      <c r="BB153" s="256"/>
      <c r="BC153" s="333">
        <v>0</v>
      </c>
      <c r="BD153" s="333"/>
      <c r="BE153" s="256"/>
      <c r="BF153" s="333">
        <v>0</v>
      </c>
      <c r="BG153" s="333"/>
      <c r="BH153" s="256"/>
      <c r="BI153" s="333">
        <v>0</v>
      </c>
      <c r="BJ153" s="333"/>
      <c r="BK153" s="256"/>
      <c r="BL153" s="333">
        <v>0</v>
      </c>
      <c r="BM153" s="333"/>
      <c r="BN153" s="256"/>
      <c r="BO153" s="333">
        <v>0</v>
      </c>
      <c r="BP153" s="333"/>
      <c r="BQ153" s="256"/>
      <c r="BR153" s="333">
        <v>0</v>
      </c>
      <c r="BS153" s="333"/>
      <c r="BT153" s="256"/>
      <c r="BU153" s="333">
        <v>0</v>
      </c>
      <c r="BV153" s="333"/>
      <c r="BW153" s="256"/>
      <c r="BX153" s="333">
        <v>0</v>
      </c>
      <c r="BY153" s="333"/>
      <c r="BZ153" s="256"/>
      <c r="CA153" s="333">
        <v>0</v>
      </c>
      <c r="CB153" s="333"/>
      <c r="CC153" s="256"/>
      <c r="CD153" s="333">
        <v>0</v>
      </c>
      <c r="CE153" s="333"/>
      <c r="CF153" s="256"/>
      <c r="CG153" s="333">
        <v>0</v>
      </c>
      <c r="CH153" s="333"/>
      <c r="CI153" s="1684">
        <f t="shared" si="17"/>
        <v>0</v>
      </c>
      <c r="CJ153" s="333">
        <v>0</v>
      </c>
      <c r="CK153" s="333"/>
      <c r="CL153" s="256"/>
      <c r="CM153" s="333">
        <v>0</v>
      </c>
      <c r="CN153" s="333"/>
      <c r="CO153" s="256"/>
      <c r="CP153" s="361">
        <v>0</v>
      </c>
      <c r="CQ153" s="333"/>
      <c r="CR153" s="256"/>
      <c r="CS153" s="361">
        <v>0</v>
      </c>
      <c r="CT153" s="333"/>
      <c r="CU153" s="256"/>
      <c r="CV153" s="333">
        <v>0</v>
      </c>
      <c r="CW153" s="333"/>
      <c r="CX153" s="256"/>
      <c r="CY153" s="333"/>
      <c r="CZ153" s="333"/>
    </row>
    <row r="154" spans="1:104">
      <c r="A154" s="260">
        <f t="shared" si="20"/>
        <v>147</v>
      </c>
      <c r="B154" s="495">
        <f>'Stmt H'!B64</f>
        <v>832</v>
      </c>
      <c r="C154" s="750" t="str">
        <f>'Stmt H'!D64</f>
        <v>Maintenance of Reservoirs &amp; Wells</v>
      </c>
      <c r="D154" s="266"/>
      <c r="E154" s="265" t="s">
        <v>276</v>
      </c>
      <c r="F154" s="264"/>
      <c r="G154" s="209">
        <f>'Stmt H'!$F64</f>
        <v>0</v>
      </c>
      <c r="H154" s="29"/>
      <c r="I154" s="268" t="s">
        <v>276</v>
      </c>
      <c r="J154" s="29"/>
      <c r="K154" s="636">
        <f>'Stmt H'!$U64</f>
        <v>0</v>
      </c>
      <c r="M154" s="1624">
        <f t="shared" si="21"/>
        <v>0</v>
      </c>
      <c r="N154" s="1628">
        <f t="shared" si="22"/>
        <v>0</v>
      </c>
      <c r="O154" s="1628"/>
      <c r="Q154" s="1699">
        <v>0</v>
      </c>
      <c r="R154" s="256"/>
      <c r="S154" s="1699">
        <v>0</v>
      </c>
      <c r="T154" s="1700"/>
      <c r="U154" s="256"/>
      <c r="V154" s="1699">
        <v>0</v>
      </c>
      <c r="W154" s="1700"/>
      <c r="X154" s="256"/>
      <c r="Y154" s="1699">
        <v>0</v>
      </c>
      <c r="Z154" s="1700"/>
      <c r="AA154" s="256"/>
      <c r="AB154" s="1699">
        <v>0</v>
      </c>
      <c r="AC154" s="1700"/>
      <c r="AD154" s="256"/>
      <c r="AE154" s="1699">
        <v>0</v>
      </c>
      <c r="AF154" s="1700"/>
      <c r="AG154" s="256"/>
      <c r="AH154" s="1699">
        <v>0</v>
      </c>
      <c r="AI154" s="1700"/>
      <c r="AJ154" s="256"/>
      <c r="AK154" s="1699">
        <v>0</v>
      </c>
      <c r="AL154" s="1700"/>
      <c r="AM154" s="256"/>
      <c r="AN154" s="1699">
        <v>0</v>
      </c>
      <c r="AO154" s="1700"/>
      <c r="AP154" s="256"/>
      <c r="AQ154" s="1699">
        <v>0</v>
      </c>
      <c r="AR154" s="1700"/>
      <c r="AS154" s="256"/>
      <c r="AT154" s="1699">
        <v>0</v>
      </c>
      <c r="AU154" s="1699"/>
      <c r="AV154" s="256"/>
      <c r="AW154" s="1699">
        <v>0</v>
      </c>
      <c r="AX154" s="1699"/>
      <c r="AY154" s="256"/>
      <c r="AZ154" s="1699">
        <v>0</v>
      </c>
      <c r="BA154" s="1699"/>
      <c r="BB154" s="256"/>
      <c r="BC154" s="1699">
        <v>0</v>
      </c>
      <c r="BD154" s="1699"/>
      <c r="BE154" s="256"/>
      <c r="BF154" s="1699">
        <v>0</v>
      </c>
      <c r="BG154" s="1699"/>
      <c r="BH154" s="256"/>
      <c r="BI154" s="1699">
        <v>0</v>
      </c>
      <c r="BJ154" s="1699"/>
      <c r="BK154" s="256"/>
      <c r="BL154" s="1699">
        <v>0</v>
      </c>
      <c r="BM154" s="1699"/>
      <c r="BN154" s="256"/>
      <c r="BO154" s="1699">
        <v>0</v>
      </c>
      <c r="BP154" s="1699"/>
      <c r="BQ154" s="256"/>
      <c r="BR154" s="1699">
        <v>0</v>
      </c>
      <c r="BS154" s="1699"/>
      <c r="BT154" s="256"/>
      <c r="BU154" s="1699">
        <v>0</v>
      </c>
      <c r="BV154" s="1699"/>
      <c r="BW154" s="256"/>
      <c r="BX154" s="1699">
        <v>0</v>
      </c>
      <c r="BY154" s="1699"/>
      <c r="BZ154" s="256"/>
      <c r="CA154" s="1699">
        <v>0</v>
      </c>
      <c r="CB154" s="1699"/>
      <c r="CC154" s="256"/>
      <c r="CD154" s="1699">
        <v>0</v>
      </c>
      <c r="CE154" s="1699"/>
      <c r="CF154" s="256"/>
      <c r="CG154" s="1699">
        <v>0</v>
      </c>
      <c r="CH154" s="1699"/>
      <c r="CI154" s="1684">
        <f t="shared" si="17"/>
        <v>0</v>
      </c>
      <c r="CJ154" s="1699">
        <v>0</v>
      </c>
      <c r="CK154" s="1699"/>
      <c r="CL154" s="256"/>
      <c r="CM154" s="1699">
        <v>0</v>
      </c>
      <c r="CN154" s="1699"/>
      <c r="CO154" s="256"/>
      <c r="CP154" s="636">
        <v>0</v>
      </c>
      <c r="CQ154" s="1699"/>
      <c r="CR154" s="256"/>
      <c r="CS154" s="636">
        <v>0</v>
      </c>
      <c r="CT154" s="1699"/>
      <c r="CU154" s="256"/>
      <c r="CV154" s="1699">
        <v>0</v>
      </c>
      <c r="CW154" s="1699"/>
      <c r="CX154" s="256"/>
      <c r="CY154" s="1699"/>
      <c r="CZ154" s="1699"/>
    </row>
    <row r="155" spans="1:104">
      <c r="A155" s="260">
        <f t="shared" si="20"/>
        <v>148</v>
      </c>
      <c r="B155" s="495">
        <f>'Stmt H'!B65</f>
        <v>833</v>
      </c>
      <c r="C155" s="750" t="str">
        <f>'Stmt H'!D65</f>
        <v>Maintenance of Lines</v>
      </c>
      <c r="D155" s="266"/>
      <c r="E155" s="265" t="s">
        <v>276</v>
      </c>
      <c r="F155" s="264"/>
      <c r="G155" s="209">
        <f>'Stmt H'!$F65</f>
        <v>0</v>
      </c>
      <c r="H155" s="29"/>
      <c r="I155" s="268" t="s">
        <v>276</v>
      </c>
      <c r="J155" s="29"/>
      <c r="K155" s="636">
        <f>'Stmt H'!$U65</f>
        <v>0</v>
      </c>
      <c r="M155" s="1624">
        <f t="shared" si="21"/>
        <v>0</v>
      </c>
      <c r="N155" s="1628">
        <f t="shared" si="22"/>
        <v>0</v>
      </c>
      <c r="O155" s="1628"/>
      <c r="Q155" s="1699">
        <v>0</v>
      </c>
      <c r="R155" s="256"/>
      <c r="S155" s="1699">
        <v>0</v>
      </c>
      <c r="T155" s="1700"/>
      <c r="U155" s="256"/>
      <c r="V155" s="1699">
        <v>0</v>
      </c>
      <c r="W155" s="1700"/>
      <c r="X155" s="256"/>
      <c r="Y155" s="1699">
        <v>0</v>
      </c>
      <c r="Z155" s="1700"/>
      <c r="AA155" s="256"/>
      <c r="AB155" s="1699">
        <v>0</v>
      </c>
      <c r="AC155" s="1700"/>
      <c r="AD155" s="256"/>
      <c r="AE155" s="1699">
        <v>0</v>
      </c>
      <c r="AF155" s="1700"/>
      <c r="AG155" s="256"/>
      <c r="AH155" s="1699">
        <v>0</v>
      </c>
      <c r="AI155" s="1700"/>
      <c r="AJ155" s="256"/>
      <c r="AK155" s="1699">
        <v>0</v>
      </c>
      <c r="AL155" s="1700"/>
      <c r="AM155" s="256"/>
      <c r="AN155" s="1699">
        <v>0</v>
      </c>
      <c r="AO155" s="1700"/>
      <c r="AP155" s="256"/>
      <c r="AQ155" s="1699">
        <v>0</v>
      </c>
      <c r="AR155" s="1700"/>
      <c r="AS155" s="256"/>
      <c r="AT155" s="1699">
        <v>0</v>
      </c>
      <c r="AU155" s="1699"/>
      <c r="AV155" s="256"/>
      <c r="AW155" s="1699">
        <v>0</v>
      </c>
      <c r="AX155" s="1699"/>
      <c r="AY155" s="256"/>
      <c r="AZ155" s="1699">
        <v>0</v>
      </c>
      <c r="BA155" s="1699"/>
      <c r="BB155" s="256"/>
      <c r="BC155" s="1699">
        <v>0</v>
      </c>
      <c r="BD155" s="1699"/>
      <c r="BE155" s="256"/>
      <c r="BF155" s="1699">
        <v>0</v>
      </c>
      <c r="BG155" s="1699"/>
      <c r="BH155" s="256"/>
      <c r="BI155" s="1699">
        <v>0</v>
      </c>
      <c r="BJ155" s="1699"/>
      <c r="BK155" s="256"/>
      <c r="BL155" s="1699">
        <v>0</v>
      </c>
      <c r="BM155" s="1699"/>
      <c r="BN155" s="256"/>
      <c r="BO155" s="1699">
        <v>0</v>
      </c>
      <c r="BP155" s="1699"/>
      <c r="BQ155" s="256"/>
      <c r="BR155" s="1699">
        <v>0</v>
      </c>
      <c r="BS155" s="1699"/>
      <c r="BT155" s="256"/>
      <c r="BU155" s="1699">
        <v>0</v>
      </c>
      <c r="BV155" s="1699"/>
      <c r="BW155" s="256"/>
      <c r="BX155" s="1699">
        <v>0</v>
      </c>
      <c r="BY155" s="1699"/>
      <c r="BZ155" s="256"/>
      <c r="CA155" s="1699">
        <v>0</v>
      </c>
      <c r="CB155" s="1699"/>
      <c r="CC155" s="256"/>
      <c r="CD155" s="1699">
        <v>0</v>
      </c>
      <c r="CE155" s="1699"/>
      <c r="CF155" s="256"/>
      <c r="CG155" s="1699">
        <v>0</v>
      </c>
      <c r="CH155" s="1699"/>
      <c r="CI155" s="1684">
        <f t="shared" si="17"/>
        <v>0</v>
      </c>
      <c r="CJ155" s="1699">
        <v>0</v>
      </c>
      <c r="CK155" s="1699"/>
      <c r="CL155" s="256"/>
      <c r="CM155" s="1699">
        <v>0</v>
      </c>
      <c r="CN155" s="1699"/>
      <c r="CO155" s="256"/>
      <c r="CP155" s="636">
        <v>0</v>
      </c>
      <c r="CQ155" s="1699"/>
      <c r="CR155" s="256"/>
      <c r="CS155" s="636">
        <v>0</v>
      </c>
      <c r="CT155" s="1699"/>
      <c r="CU155" s="256"/>
      <c r="CV155" s="1699">
        <v>0</v>
      </c>
      <c r="CW155" s="1699"/>
      <c r="CX155" s="256"/>
      <c r="CY155" s="1699"/>
      <c r="CZ155" s="1699"/>
    </row>
    <row r="156" spans="1:104">
      <c r="A156" s="260">
        <f t="shared" si="20"/>
        <v>149</v>
      </c>
      <c r="B156" s="495">
        <f>'Stmt H'!B66</f>
        <v>834</v>
      </c>
      <c r="C156" s="750" t="str">
        <f>'Stmt H'!D66</f>
        <v>Maintenance of Compressor Station Equipment</v>
      </c>
      <c r="D156" s="266"/>
      <c r="E156" s="265" t="s">
        <v>276</v>
      </c>
      <c r="F156" s="264"/>
      <c r="G156" s="209">
        <f>'Stmt H'!$F66</f>
        <v>0</v>
      </c>
      <c r="H156" s="29"/>
      <c r="I156" s="268" t="s">
        <v>276</v>
      </c>
      <c r="J156" s="29"/>
      <c r="K156" s="636">
        <f>'Stmt H'!$U66</f>
        <v>0</v>
      </c>
      <c r="M156" s="1624">
        <f t="shared" si="21"/>
        <v>0</v>
      </c>
      <c r="N156" s="1628">
        <f t="shared" si="22"/>
        <v>0</v>
      </c>
      <c r="O156" s="1628"/>
      <c r="Q156" s="1699">
        <v>0</v>
      </c>
      <c r="R156" s="256"/>
      <c r="S156" s="1699">
        <v>0</v>
      </c>
      <c r="T156" s="1700"/>
      <c r="U156" s="256"/>
      <c r="V156" s="1699">
        <v>0</v>
      </c>
      <c r="W156" s="1700"/>
      <c r="X156" s="256"/>
      <c r="Y156" s="1699">
        <v>0</v>
      </c>
      <c r="Z156" s="1700"/>
      <c r="AA156" s="256"/>
      <c r="AB156" s="1699">
        <v>0</v>
      </c>
      <c r="AC156" s="1700"/>
      <c r="AD156" s="256"/>
      <c r="AE156" s="1699">
        <v>0</v>
      </c>
      <c r="AF156" s="1700"/>
      <c r="AG156" s="256"/>
      <c r="AH156" s="1699">
        <v>0</v>
      </c>
      <c r="AI156" s="1700"/>
      <c r="AJ156" s="256"/>
      <c r="AK156" s="1699">
        <v>0</v>
      </c>
      <c r="AL156" s="1700"/>
      <c r="AM156" s="256"/>
      <c r="AN156" s="1699">
        <v>0</v>
      </c>
      <c r="AO156" s="1700"/>
      <c r="AP156" s="256"/>
      <c r="AQ156" s="1699">
        <v>0</v>
      </c>
      <c r="AR156" s="1700"/>
      <c r="AS156" s="256"/>
      <c r="AT156" s="1699">
        <v>0</v>
      </c>
      <c r="AU156" s="1699"/>
      <c r="AV156" s="256"/>
      <c r="AW156" s="1699">
        <v>0</v>
      </c>
      <c r="AX156" s="1699"/>
      <c r="AY156" s="256"/>
      <c r="AZ156" s="1699">
        <v>0</v>
      </c>
      <c r="BA156" s="1699"/>
      <c r="BB156" s="256"/>
      <c r="BC156" s="1699">
        <v>0</v>
      </c>
      <c r="BD156" s="1699"/>
      <c r="BE156" s="256"/>
      <c r="BF156" s="1699">
        <v>0</v>
      </c>
      <c r="BG156" s="1699"/>
      <c r="BH156" s="256"/>
      <c r="BI156" s="1699">
        <v>0</v>
      </c>
      <c r="BJ156" s="1699"/>
      <c r="BK156" s="256"/>
      <c r="BL156" s="1699">
        <v>0</v>
      </c>
      <c r="BM156" s="1699"/>
      <c r="BN156" s="256"/>
      <c r="BO156" s="1699">
        <v>0</v>
      </c>
      <c r="BP156" s="1699"/>
      <c r="BQ156" s="256"/>
      <c r="BR156" s="1699">
        <v>0</v>
      </c>
      <c r="BS156" s="1699"/>
      <c r="BT156" s="256"/>
      <c r="BU156" s="1699">
        <v>0</v>
      </c>
      <c r="BV156" s="1699"/>
      <c r="BW156" s="256"/>
      <c r="BX156" s="1699">
        <v>0</v>
      </c>
      <c r="BY156" s="1699"/>
      <c r="BZ156" s="256"/>
      <c r="CA156" s="1699">
        <v>0</v>
      </c>
      <c r="CB156" s="1699"/>
      <c r="CC156" s="256"/>
      <c r="CD156" s="1699">
        <v>0</v>
      </c>
      <c r="CE156" s="1699"/>
      <c r="CF156" s="256"/>
      <c r="CG156" s="1699">
        <v>0</v>
      </c>
      <c r="CH156" s="1699"/>
      <c r="CI156" s="1684">
        <f t="shared" si="17"/>
        <v>0</v>
      </c>
      <c r="CJ156" s="1699">
        <v>0</v>
      </c>
      <c r="CK156" s="1699"/>
      <c r="CL156" s="256"/>
      <c r="CM156" s="1699">
        <v>0</v>
      </c>
      <c r="CN156" s="1699"/>
      <c r="CO156" s="256"/>
      <c r="CP156" s="636">
        <v>0</v>
      </c>
      <c r="CQ156" s="1699"/>
      <c r="CR156" s="256"/>
      <c r="CS156" s="636">
        <v>0</v>
      </c>
      <c r="CT156" s="1699"/>
      <c r="CU156" s="256"/>
      <c r="CV156" s="1699">
        <v>0</v>
      </c>
      <c r="CW156" s="1699"/>
      <c r="CX156" s="256"/>
      <c r="CY156" s="1699"/>
      <c r="CZ156" s="1699"/>
    </row>
    <row r="157" spans="1:104">
      <c r="A157" s="260">
        <f t="shared" si="20"/>
        <v>150</v>
      </c>
      <c r="B157" s="495">
        <f>'Stmt H'!B67</f>
        <v>835</v>
      </c>
      <c r="C157" s="750" t="str">
        <f>'Stmt H'!D67</f>
        <v>Maintenance of Measuring &amp; Regulating Station Equipment</v>
      </c>
      <c r="D157" s="266"/>
      <c r="E157" s="265" t="s">
        <v>276</v>
      </c>
      <c r="F157" s="264"/>
      <c r="G157" s="209">
        <f>'Stmt H'!$F67</f>
        <v>0</v>
      </c>
      <c r="H157" s="29"/>
      <c r="I157" s="268" t="s">
        <v>276</v>
      </c>
      <c r="J157" s="29"/>
      <c r="K157" s="636">
        <f>'Stmt H'!$U67</f>
        <v>0</v>
      </c>
      <c r="M157" s="1624">
        <f t="shared" si="21"/>
        <v>0</v>
      </c>
      <c r="N157" s="1628">
        <f t="shared" si="22"/>
        <v>0</v>
      </c>
      <c r="O157" s="1628"/>
      <c r="Q157" s="1699">
        <v>0</v>
      </c>
      <c r="R157" s="256"/>
      <c r="S157" s="1699">
        <v>0</v>
      </c>
      <c r="T157" s="1700"/>
      <c r="U157" s="256"/>
      <c r="V157" s="1699">
        <v>0</v>
      </c>
      <c r="W157" s="1700"/>
      <c r="X157" s="256"/>
      <c r="Y157" s="1699">
        <v>0</v>
      </c>
      <c r="Z157" s="1700"/>
      <c r="AA157" s="256"/>
      <c r="AB157" s="1699">
        <v>0</v>
      </c>
      <c r="AC157" s="1700"/>
      <c r="AD157" s="256"/>
      <c r="AE157" s="1699">
        <v>0</v>
      </c>
      <c r="AF157" s="1700"/>
      <c r="AG157" s="256"/>
      <c r="AH157" s="1699">
        <v>0</v>
      </c>
      <c r="AI157" s="1700"/>
      <c r="AJ157" s="256"/>
      <c r="AK157" s="1699">
        <v>0</v>
      </c>
      <c r="AL157" s="1700"/>
      <c r="AM157" s="256"/>
      <c r="AN157" s="1699">
        <v>0</v>
      </c>
      <c r="AO157" s="1700"/>
      <c r="AP157" s="256"/>
      <c r="AQ157" s="1699">
        <v>0</v>
      </c>
      <c r="AR157" s="1700"/>
      <c r="AS157" s="256"/>
      <c r="AT157" s="1699">
        <v>0</v>
      </c>
      <c r="AU157" s="1699"/>
      <c r="AV157" s="256"/>
      <c r="AW157" s="1699">
        <v>0</v>
      </c>
      <c r="AX157" s="1699"/>
      <c r="AY157" s="256"/>
      <c r="AZ157" s="1699">
        <v>0</v>
      </c>
      <c r="BA157" s="1699"/>
      <c r="BB157" s="256"/>
      <c r="BC157" s="1699">
        <v>0</v>
      </c>
      <c r="BD157" s="1699"/>
      <c r="BE157" s="256"/>
      <c r="BF157" s="1699">
        <v>0</v>
      </c>
      <c r="BG157" s="1699"/>
      <c r="BH157" s="256"/>
      <c r="BI157" s="1699">
        <v>0</v>
      </c>
      <c r="BJ157" s="1699"/>
      <c r="BK157" s="256"/>
      <c r="BL157" s="1699">
        <v>0</v>
      </c>
      <c r="BM157" s="1699"/>
      <c r="BN157" s="256"/>
      <c r="BO157" s="1699">
        <v>0</v>
      </c>
      <c r="BP157" s="1699"/>
      <c r="BQ157" s="256"/>
      <c r="BR157" s="1699">
        <v>0</v>
      </c>
      <c r="BS157" s="1699"/>
      <c r="BT157" s="256"/>
      <c r="BU157" s="1699">
        <v>0</v>
      </c>
      <c r="BV157" s="1699"/>
      <c r="BW157" s="256"/>
      <c r="BX157" s="1699">
        <v>0</v>
      </c>
      <c r="BY157" s="1699"/>
      <c r="BZ157" s="256"/>
      <c r="CA157" s="1699">
        <v>0</v>
      </c>
      <c r="CB157" s="1699"/>
      <c r="CC157" s="256"/>
      <c r="CD157" s="1699">
        <v>0</v>
      </c>
      <c r="CE157" s="1699"/>
      <c r="CF157" s="256"/>
      <c r="CG157" s="1699">
        <v>0</v>
      </c>
      <c r="CH157" s="1699"/>
      <c r="CI157" s="1684">
        <f t="shared" si="17"/>
        <v>0</v>
      </c>
      <c r="CJ157" s="1699">
        <v>0</v>
      </c>
      <c r="CK157" s="1699"/>
      <c r="CL157" s="256"/>
      <c r="CM157" s="1699">
        <v>0</v>
      </c>
      <c r="CN157" s="1699"/>
      <c r="CO157" s="256"/>
      <c r="CP157" s="636">
        <v>0</v>
      </c>
      <c r="CQ157" s="1699"/>
      <c r="CR157" s="256"/>
      <c r="CS157" s="636">
        <v>0</v>
      </c>
      <c r="CT157" s="1699"/>
      <c r="CU157" s="256"/>
      <c r="CV157" s="1699">
        <v>0</v>
      </c>
      <c r="CW157" s="1699"/>
      <c r="CX157" s="256"/>
      <c r="CY157" s="1699"/>
      <c r="CZ157" s="1699"/>
    </row>
    <row r="158" spans="1:104">
      <c r="A158" s="260">
        <f t="shared" si="20"/>
        <v>151</v>
      </c>
      <c r="B158" s="495">
        <f>'Stmt H'!B68</f>
        <v>836</v>
      </c>
      <c r="C158" s="750" t="str">
        <f>'Stmt H'!D68</f>
        <v>Maintenance of Purification Equipment</v>
      </c>
      <c r="D158" s="266"/>
      <c r="E158" s="265" t="s">
        <v>276</v>
      </c>
      <c r="F158" s="264"/>
      <c r="G158" s="787">
        <f>'Stmt H'!$F68</f>
        <v>0</v>
      </c>
      <c r="H158" s="29"/>
      <c r="I158" s="268" t="s">
        <v>276</v>
      </c>
      <c r="J158" s="29"/>
      <c r="K158" s="637">
        <f>'Stmt H'!$U68</f>
        <v>0</v>
      </c>
      <c r="M158" s="1624">
        <f t="shared" si="21"/>
        <v>0</v>
      </c>
      <c r="N158" s="1626">
        <f t="shared" si="22"/>
        <v>0</v>
      </c>
      <c r="O158" s="1626"/>
      <c r="Q158" s="1701">
        <v>0</v>
      </c>
      <c r="R158" s="256"/>
      <c r="S158" s="1701">
        <v>0</v>
      </c>
      <c r="T158" s="1702"/>
      <c r="U158" s="256"/>
      <c r="V158" s="1701">
        <v>0</v>
      </c>
      <c r="W158" s="1702"/>
      <c r="X158" s="256"/>
      <c r="Y158" s="1701">
        <v>0</v>
      </c>
      <c r="Z158" s="1702"/>
      <c r="AA158" s="256"/>
      <c r="AB158" s="1701">
        <v>0</v>
      </c>
      <c r="AC158" s="1702"/>
      <c r="AD158" s="256"/>
      <c r="AE158" s="1701">
        <v>0</v>
      </c>
      <c r="AF158" s="1702"/>
      <c r="AG158" s="256"/>
      <c r="AH158" s="1701">
        <v>0</v>
      </c>
      <c r="AI158" s="1702"/>
      <c r="AJ158" s="256"/>
      <c r="AK158" s="1701">
        <v>0</v>
      </c>
      <c r="AL158" s="1702"/>
      <c r="AM158" s="256"/>
      <c r="AN158" s="1701">
        <v>0</v>
      </c>
      <c r="AO158" s="1702"/>
      <c r="AP158" s="256"/>
      <c r="AQ158" s="1701">
        <v>0</v>
      </c>
      <c r="AR158" s="1702"/>
      <c r="AS158" s="256"/>
      <c r="AT158" s="1701">
        <v>0</v>
      </c>
      <c r="AU158" s="1701"/>
      <c r="AV158" s="256"/>
      <c r="AW158" s="1701">
        <v>0</v>
      </c>
      <c r="AX158" s="1701"/>
      <c r="AY158" s="256"/>
      <c r="AZ158" s="1701">
        <v>0</v>
      </c>
      <c r="BA158" s="1701"/>
      <c r="BB158" s="256"/>
      <c r="BC158" s="1701">
        <v>0</v>
      </c>
      <c r="BD158" s="1701"/>
      <c r="BE158" s="256"/>
      <c r="BF158" s="1701">
        <v>0</v>
      </c>
      <c r="BG158" s="1701"/>
      <c r="BH158" s="256"/>
      <c r="BI158" s="1701">
        <v>0</v>
      </c>
      <c r="BJ158" s="1701"/>
      <c r="BK158" s="256"/>
      <c r="BL158" s="1701">
        <v>0</v>
      </c>
      <c r="BM158" s="1701"/>
      <c r="BN158" s="256"/>
      <c r="BO158" s="1701">
        <v>0</v>
      </c>
      <c r="BP158" s="1701"/>
      <c r="BQ158" s="256"/>
      <c r="BR158" s="1701">
        <v>0</v>
      </c>
      <c r="BS158" s="1701"/>
      <c r="BT158" s="256"/>
      <c r="BU158" s="1701">
        <v>0</v>
      </c>
      <c r="BV158" s="1701"/>
      <c r="BW158" s="256"/>
      <c r="BX158" s="1701">
        <v>0</v>
      </c>
      <c r="BY158" s="1701"/>
      <c r="BZ158" s="256"/>
      <c r="CA158" s="1701">
        <v>0</v>
      </c>
      <c r="CB158" s="1701"/>
      <c r="CC158" s="256"/>
      <c r="CD158" s="1701">
        <v>0</v>
      </c>
      <c r="CE158" s="1701"/>
      <c r="CF158" s="256"/>
      <c r="CG158" s="1701">
        <v>0</v>
      </c>
      <c r="CH158" s="1701"/>
      <c r="CI158" s="1684">
        <f t="shared" si="17"/>
        <v>0</v>
      </c>
      <c r="CJ158" s="1701">
        <v>0</v>
      </c>
      <c r="CK158" s="1701"/>
      <c r="CL158" s="256"/>
      <c r="CM158" s="1701">
        <v>0</v>
      </c>
      <c r="CN158" s="1701"/>
      <c r="CO158" s="256"/>
      <c r="CP158" s="637">
        <v>0</v>
      </c>
      <c r="CQ158" s="1701"/>
      <c r="CR158" s="256"/>
      <c r="CS158" s="637">
        <v>0</v>
      </c>
      <c r="CT158" s="1701"/>
      <c r="CU158" s="256"/>
      <c r="CV158" s="1701">
        <v>0</v>
      </c>
      <c r="CW158" s="1701"/>
      <c r="CX158" s="256"/>
      <c r="CY158" s="1701"/>
      <c r="CZ158" s="1701"/>
    </row>
    <row r="159" spans="1:104">
      <c r="A159" s="260">
        <f t="shared" si="20"/>
        <v>152</v>
      </c>
      <c r="B159" s="495"/>
      <c r="C159" s="67" t="s">
        <v>701</v>
      </c>
      <c r="D159" s="266"/>
      <c r="E159" s="265" t="s">
        <v>276</v>
      </c>
      <c r="F159" s="264"/>
      <c r="G159" s="361">
        <f>'Stmt H'!$F69</f>
        <v>0</v>
      </c>
      <c r="H159" s="29"/>
      <c r="I159" s="268" t="s">
        <v>276</v>
      </c>
      <c r="J159" s="29"/>
      <c r="K159" s="361">
        <f>'Stmt H'!$U69</f>
        <v>0</v>
      </c>
      <c r="M159" s="1630" t="s">
        <v>1528</v>
      </c>
      <c r="N159" s="1614">
        <f>SUM(N153:N158)</f>
        <v>0</v>
      </c>
      <c r="O159" s="1614">
        <v>0</v>
      </c>
      <c r="Q159" s="333">
        <v>0</v>
      </c>
      <c r="R159" s="256"/>
      <c r="S159" s="333">
        <v>0</v>
      </c>
      <c r="T159" s="1693">
        <v>0</v>
      </c>
      <c r="U159" s="256"/>
      <c r="V159" s="333">
        <v>0</v>
      </c>
      <c r="W159" s="1693">
        <v>0</v>
      </c>
      <c r="X159" s="256"/>
      <c r="Y159" s="333">
        <v>0</v>
      </c>
      <c r="Z159" s="1693">
        <v>0</v>
      </c>
      <c r="AA159" s="256"/>
      <c r="AB159" s="333">
        <v>0</v>
      </c>
      <c r="AC159" s="1693">
        <v>0</v>
      </c>
      <c r="AD159" s="256"/>
      <c r="AE159" s="333">
        <v>0</v>
      </c>
      <c r="AF159" s="1693">
        <v>0</v>
      </c>
      <c r="AG159" s="256"/>
      <c r="AH159" s="333">
        <v>0</v>
      </c>
      <c r="AI159" s="1693">
        <v>0</v>
      </c>
      <c r="AJ159" s="256"/>
      <c r="AK159" s="333">
        <v>0</v>
      </c>
      <c r="AL159" s="1693">
        <v>0</v>
      </c>
      <c r="AM159" s="256"/>
      <c r="AN159" s="333">
        <v>0</v>
      </c>
      <c r="AO159" s="1693">
        <v>0</v>
      </c>
      <c r="AP159" s="256"/>
      <c r="AQ159" s="333">
        <v>0</v>
      </c>
      <c r="AR159" s="1693">
        <v>0</v>
      </c>
      <c r="AS159" s="256"/>
      <c r="AT159" s="333">
        <v>0</v>
      </c>
      <c r="AU159" s="333">
        <v>0</v>
      </c>
      <c r="AV159" s="256"/>
      <c r="AW159" s="333">
        <v>0</v>
      </c>
      <c r="AX159" s="333">
        <v>0</v>
      </c>
      <c r="AY159" s="256"/>
      <c r="AZ159" s="333">
        <v>0</v>
      </c>
      <c r="BA159" s="333">
        <v>0</v>
      </c>
      <c r="BB159" s="256"/>
      <c r="BC159" s="333">
        <v>0</v>
      </c>
      <c r="BD159" s="333">
        <v>0</v>
      </c>
      <c r="BE159" s="256"/>
      <c r="BF159" s="333">
        <v>0</v>
      </c>
      <c r="BG159" s="333">
        <v>0</v>
      </c>
      <c r="BH159" s="256"/>
      <c r="BI159" s="333">
        <v>0</v>
      </c>
      <c r="BJ159" s="333">
        <v>0</v>
      </c>
      <c r="BK159" s="256"/>
      <c r="BL159" s="333">
        <v>0</v>
      </c>
      <c r="BM159" s="333">
        <v>0</v>
      </c>
      <c r="BN159" s="256"/>
      <c r="BO159" s="333">
        <v>0</v>
      </c>
      <c r="BP159" s="333">
        <v>0</v>
      </c>
      <c r="BQ159" s="256"/>
      <c r="BR159" s="333">
        <v>0</v>
      </c>
      <c r="BS159" s="333">
        <v>0</v>
      </c>
      <c r="BT159" s="256"/>
      <c r="BU159" s="333">
        <v>0</v>
      </c>
      <c r="BV159" s="333">
        <v>0</v>
      </c>
      <c r="BW159" s="256"/>
      <c r="BX159" s="333">
        <v>0</v>
      </c>
      <c r="BY159" s="333">
        <v>0</v>
      </c>
      <c r="BZ159" s="256"/>
      <c r="CA159" s="333">
        <v>0</v>
      </c>
      <c r="CB159" s="333">
        <v>0</v>
      </c>
      <c r="CC159" s="256"/>
      <c r="CD159" s="333">
        <v>0</v>
      </c>
      <c r="CE159" s="333">
        <v>0</v>
      </c>
      <c r="CF159" s="256"/>
      <c r="CG159" s="333">
        <v>0</v>
      </c>
      <c r="CH159" s="333">
        <v>0</v>
      </c>
      <c r="CI159" s="1684">
        <f t="shared" si="17"/>
        <v>0</v>
      </c>
      <c r="CJ159" s="333">
        <v>0</v>
      </c>
      <c r="CK159" s="333">
        <v>0</v>
      </c>
      <c r="CL159" s="256"/>
      <c r="CM159" s="333">
        <v>0</v>
      </c>
      <c r="CN159" s="333">
        <v>0</v>
      </c>
      <c r="CO159" s="256"/>
      <c r="CP159" s="361">
        <v>0</v>
      </c>
      <c r="CQ159" s="333">
        <v>0</v>
      </c>
      <c r="CR159" s="256"/>
      <c r="CS159" s="361">
        <v>0</v>
      </c>
      <c r="CT159" s="333">
        <v>0</v>
      </c>
      <c r="CU159" s="256"/>
      <c r="CV159" s="333">
        <v>0</v>
      </c>
      <c r="CW159" s="333">
        <v>0</v>
      </c>
      <c r="CX159" s="256"/>
      <c r="CY159" s="333"/>
      <c r="CZ159" s="333"/>
    </row>
    <row r="160" spans="1:104">
      <c r="A160" s="260">
        <f t="shared" si="20"/>
        <v>153</v>
      </c>
      <c r="B160" s="495"/>
      <c r="C160" s="67"/>
      <c r="D160" s="266"/>
      <c r="E160" s="265"/>
      <c r="F160" s="264"/>
      <c r="G160" s="622"/>
      <c r="H160" s="29"/>
      <c r="I160" s="738"/>
      <c r="J160" s="29"/>
      <c r="K160" s="621"/>
      <c r="M160" s="1624"/>
      <c r="N160" s="1108"/>
      <c r="O160" s="1108"/>
      <c r="Q160" s="1709"/>
      <c r="R160" s="256"/>
      <c r="S160" s="1709"/>
      <c r="T160" s="1710"/>
      <c r="U160" s="256"/>
      <c r="V160" s="1709"/>
      <c r="W160" s="1710"/>
      <c r="X160" s="256"/>
      <c r="Y160" s="1709"/>
      <c r="Z160" s="1710"/>
      <c r="AA160" s="256"/>
      <c r="AB160" s="1709"/>
      <c r="AC160" s="1710"/>
      <c r="AD160" s="256"/>
      <c r="AE160" s="1709"/>
      <c r="AF160" s="1710"/>
      <c r="AG160" s="256"/>
      <c r="AH160" s="1709"/>
      <c r="AI160" s="1710"/>
      <c r="AJ160" s="256"/>
      <c r="AK160" s="1709"/>
      <c r="AL160" s="1710"/>
      <c r="AM160" s="256"/>
      <c r="AN160" s="1709"/>
      <c r="AO160" s="1710"/>
      <c r="AP160" s="256"/>
      <c r="AQ160" s="1709"/>
      <c r="AR160" s="1710"/>
      <c r="AS160" s="256"/>
      <c r="AT160" s="1709"/>
      <c r="AU160" s="1709"/>
      <c r="AV160" s="256"/>
      <c r="AW160" s="1709"/>
      <c r="AX160" s="1709"/>
      <c r="AY160" s="256"/>
      <c r="AZ160" s="1709"/>
      <c r="BA160" s="1709"/>
      <c r="BB160" s="256"/>
      <c r="BC160" s="1709"/>
      <c r="BD160" s="1709"/>
      <c r="BE160" s="256"/>
      <c r="BF160" s="1709"/>
      <c r="BG160" s="1709"/>
      <c r="BH160" s="256"/>
      <c r="BI160" s="1709"/>
      <c r="BJ160" s="1709"/>
      <c r="BK160" s="256"/>
      <c r="BL160" s="1709"/>
      <c r="BM160" s="1709"/>
      <c r="BN160" s="256"/>
      <c r="BO160" s="1709"/>
      <c r="BP160" s="1709"/>
      <c r="BQ160" s="256"/>
      <c r="BR160" s="1709"/>
      <c r="BS160" s="1709"/>
      <c r="BT160" s="256"/>
      <c r="BU160" s="1709"/>
      <c r="BV160" s="1709"/>
      <c r="BW160" s="256"/>
      <c r="BX160" s="1709"/>
      <c r="BY160" s="1709"/>
      <c r="BZ160" s="256"/>
      <c r="CA160" s="1709"/>
      <c r="CB160" s="1709"/>
      <c r="CC160" s="256"/>
      <c r="CD160" s="1709"/>
      <c r="CE160" s="1709"/>
      <c r="CF160" s="256"/>
      <c r="CG160" s="1709"/>
      <c r="CH160" s="1709"/>
      <c r="CI160" s="1684">
        <f t="shared" si="17"/>
        <v>0</v>
      </c>
      <c r="CJ160" s="1709"/>
      <c r="CK160" s="1709"/>
      <c r="CL160" s="256"/>
      <c r="CM160" s="1709"/>
      <c r="CN160" s="1709"/>
      <c r="CO160" s="256"/>
      <c r="CP160" s="621"/>
      <c r="CQ160" s="1709"/>
      <c r="CR160" s="256"/>
      <c r="CS160" s="621"/>
      <c r="CT160" s="1709"/>
      <c r="CU160" s="256"/>
      <c r="CV160" s="1709"/>
      <c r="CW160" s="1709"/>
      <c r="CX160" s="256"/>
      <c r="CY160" s="1709"/>
      <c r="CZ160" s="1709"/>
    </row>
    <row r="161" spans="1:104">
      <c r="A161" s="260">
        <f t="shared" si="20"/>
        <v>154</v>
      </c>
      <c r="B161" s="495"/>
      <c r="C161" s="67" t="s">
        <v>702</v>
      </c>
      <c r="D161" s="266"/>
      <c r="E161" s="265"/>
      <c r="F161" s="264"/>
      <c r="G161" s="622">
        <f>G150+G159</f>
        <v>0</v>
      </c>
      <c r="H161" s="622"/>
      <c r="I161" s="622"/>
      <c r="J161" s="622"/>
      <c r="K161" s="622">
        <f>K150+K159</f>
        <v>0</v>
      </c>
      <c r="L161" s="622"/>
      <c r="M161" s="1630" t="s">
        <v>1528</v>
      </c>
      <c r="N161" s="1108">
        <f>N150+N159</f>
        <v>0</v>
      </c>
      <c r="O161" s="1108">
        <v>0</v>
      </c>
      <c r="Q161" s="1695">
        <v>0</v>
      </c>
      <c r="R161" s="256"/>
      <c r="S161" s="1695">
        <v>0</v>
      </c>
      <c r="T161" s="1696">
        <v>0</v>
      </c>
      <c r="U161" s="256"/>
      <c r="V161" s="1695">
        <v>0</v>
      </c>
      <c r="W161" s="1696">
        <v>0</v>
      </c>
      <c r="X161" s="256"/>
      <c r="Y161" s="1695">
        <v>0</v>
      </c>
      <c r="Z161" s="1696">
        <v>0</v>
      </c>
      <c r="AA161" s="256"/>
      <c r="AB161" s="1695">
        <v>0</v>
      </c>
      <c r="AC161" s="1696">
        <v>0</v>
      </c>
      <c r="AD161" s="256"/>
      <c r="AE161" s="1695">
        <v>0</v>
      </c>
      <c r="AF161" s="1696">
        <v>0</v>
      </c>
      <c r="AG161" s="256"/>
      <c r="AH161" s="1695">
        <v>0</v>
      </c>
      <c r="AI161" s="1696">
        <v>0</v>
      </c>
      <c r="AJ161" s="256"/>
      <c r="AK161" s="1695">
        <v>0</v>
      </c>
      <c r="AL161" s="1696">
        <v>0</v>
      </c>
      <c r="AM161" s="256"/>
      <c r="AN161" s="1695">
        <v>0</v>
      </c>
      <c r="AO161" s="1696">
        <v>0</v>
      </c>
      <c r="AP161" s="256"/>
      <c r="AQ161" s="1695">
        <v>0</v>
      </c>
      <c r="AR161" s="1696">
        <v>0</v>
      </c>
      <c r="AS161" s="256"/>
      <c r="AT161" s="1695">
        <v>0</v>
      </c>
      <c r="AU161" s="1695">
        <v>0</v>
      </c>
      <c r="AV161" s="256"/>
      <c r="AW161" s="1695">
        <v>0</v>
      </c>
      <c r="AX161" s="1695">
        <v>0</v>
      </c>
      <c r="AY161" s="256"/>
      <c r="AZ161" s="1695">
        <v>0</v>
      </c>
      <c r="BA161" s="1695">
        <v>0</v>
      </c>
      <c r="BB161" s="256"/>
      <c r="BC161" s="1695">
        <v>0</v>
      </c>
      <c r="BD161" s="1695">
        <v>0</v>
      </c>
      <c r="BE161" s="256"/>
      <c r="BF161" s="1695">
        <v>0</v>
      </c>
      <c r="BG161" s="1695">
        <v>0</v>
      </c>
      <c r="BH161" s="256"/>
      <c r="BI161" s="1695">
        <v>0</v>
      </c>
      <c r="BJ161" s="1695">
        <v>0</v>
      </c>
      <c r="BK161" s="256"/>
      <c r="BL161" s="1695">
        <v>0</v>
      </c>
      <c r="BM161" s="1695">
        <v>0</v>
      </c>
      <c r="BN161" s="256"/>
      <c r="BO161" s="1695">
        <v>0</v>
      </c>
      <c r="BP161" s="1695">
        <v>0</v>
      </c>
      <c r="BQ161" s="256"/>
      <c r="BR161" s="1695">
        <v>0</v>
      </c>
      <c r="BS161" s="1695">
        <v>0</v>
      </c>
      <c r="BT161" s="256"/>
      <c r="BU161" s="1695">
        <v>0</v>
      </c>
      <c r="BV161" s="1695">
        <v>0</v>
      </c>
      <c r="BW161" s="256"/>
      <c r="BX161" s="1695">
        <v>0</v>
      </c>
      <c r="BY161" s="1695">
        <v>0</v>
      </c>
      <c r="BZ161" s="256"/>
      <c r="CA161" s="1695">
        <v>0</v>
      </c>
      <c r="CB161" s="1695">
        <v>0</v>
      </c>
      <c r="CC161" s="256"/>
      <c r="CD161" s="1695">
        <v>0</v>
      </c>
      <c r="CE161" s="1695">
        <v>0</v>
      </c>
      <c r="CF161" s="256"/>
      <c r="CG161" s="1695">
        <v>0</v>
      </c>
      <c r="CH161" s="1695">
        <v>0</v>
      </c>
      <c r="CI161" s="1684">
        <f t="shared" si="17"/>
        <v>0</v>
      </c>
      <c r="CJ161" s="1695">
        <v>0</v>
      </c>
      <c r="CK161" s="1695">
        <v>0</v>
      </c>
      <c r="CL161" s="256"/>
      <c r="CM161" s="1695">
        <v>0</v>
      </c>
      <c r="CN161" s="1695">
        <v>0</v>
      </c>
      <c r="CO161" s="256"/>
      <c r="CP161" s="622">
        <v>0</v>
      </c>
      <c r="CQ161" s="1695">
        <v>0</v>
      </c>
      <c r="CR161" s="256"/>
      <c r="CS161" s="622">
        <v>0</v>
      </c>
      <c r="CT161" s="1695">
        <v>0</v>
      </c>
      <c r="CU161" s="256"/>
      <c r="CV161" s="1695">
        <v>0</v>
      </c>
      <c r="CW161" s="1695">
        <v>0</v>
      </c>
      <c r="CX161" s="256"/>
      <c r="CY161" s="1695"/>
      <c r="CZ161" s="1695"/>
    </row>
    <row r="162" spans="1:104">
      <c r="A162" s="260">
        <f t="shared" si="20"/>
        <v>155</v>
      </c>
      <c r="B162" s="495"/>
      <c r="D162" s="266"/>
      <c r="E162" s="265"/>
      <c r="F162" s="264"/>
      <c r="G162" s="361"/>
      <c r="H162" s="29"/>
      <c r="I162" s="24"/>
      <c r="J162" s="29"/>
      <c r="K162" s="29"/>
      <c r="M162" s="1624"/>
      <c r="N162" s="1113"/>
      <c r="O162" s="1113"/>
      <c r="Q162" s="29"/>
      <c r="R162" s="256"/>
      <c r="S162" s="29"/>
      <c r="T162" s="1697"/>
      <c r="U162" s="256"/>
      <c r="V162" s="29"/>
      <c r="W162" s="1697"/>
      <c r="X162" s="256"/>
      <c r="Y162" s="29"/>
      <c r="Z162" s="1697"/>
      <c r="AA162" s="256"/>
      <c r="AB162" s="29"/>
      <c r="AC162" s="1697"/>
      <c r="AD162" s="256"/>
      <c r="AE162" s="29"/>
      <c r="AF162" s="1697"/>
      <c r="AG162" s="256"/>
      <c r="AH162" s="29"/>
      <c r="AI162" s="1697"/>
      <c r="AJ162" s="256"/>
      <c r="AK162" s="29"/>
      <c r="AL162" s="1697"/>
      <c r="AM162" s="256"/>
      <c r="AN162" s="29"/>
      <c r="AO162" s="1697"/>
      <c r="AP162" s="256"/>
      <c r="AQ162" s="29"/>
      <c r="AR162" s="1697"/>
      <c r="AS162" s="256"/>
      <c r="AT162" s="29"/>
      <c r="AU162" s="29"/>
      <c r="AV162" s="256"/>
      <c r="AW162" s="29"/>
      <c r="AX162" s="29"/>
      <c r="AY162" s="256"/>
      <c r="AZ162" s="29"/>
      <c r="BA162" s="29"/>
      <c r="BB162" s="256"/>
      <c r="BC162" s="29"/>
      <c r="BD162" s="29"/>
      <c r="BE162" s="256"/>
      <c r="BF162" s="29"/>
      <c r="BG162" s="29"/>
      <c r="BH162" s="256"/>
      <c r="BI162" s="29"/>
      <c r="BJ162" s="29"/>
      <c r="BK162" s="256"/>
      <c r="BL162" s="29"/>
      <c r="BM162" s="29"/>
      <c r="BN162" s="256"/>
      <c r="BO162" s="29"/>
      <c r="BP162" s="29"/>
      <c r="BQ162" s="256"/>
      <c r="BR162" s="29"/>
      <c r="BS162" s="29"/>
      <c r="BT162" s="256"/>
      <c r="BU162" s="29"/>
      <c r="BV162" s="29"/>
      <c r="BW162" s="256"/>
      <c r="BX162" s="29"/>
      <c r="BY162" s="29"/>
      <c r="BZ162" s="256"/>
      <c r="CA162" s="29"/>
      <c r="CB162" s="29"/>
      <c r="CC162" s="256"/>
      <c r="CD162" s="29"/>
      <c r="CE162" s="29"/>
      <c r="CF162" s="256"/>
      <c r="CG162" s="29"/>
      <c r="CH162" s="29"/>
      <c r="CI162" s="1684">
        <f t="shared" si="17"/>
        <v>0</v>
      </c>
      <c r="CJ162" s="29"/>
      <c r="CK162" s="29"/>
      <c r="CL162" s="256"/>
      <c r="CM162" s="29"/>
      <c r="CN162" s="29"/>
      <c r="CO162" s="256"/>
      <c r="CP162" s="29"/>
      <c r="CQ162" s="29"/>
      <c r="CR162" s="256"/>
      <c r="CS162" s="29"/>
      <c r="CT162" s="29"/>
      <c r="CU162" s="256"/>
      <c r="CV162" s="29"/>
      <c r="CW162" s="29"/>
      <c r="CX162" s="256"/>
      <c r="CY162" s="29"/>
      <c r="CZ162" s="29"/>
    </row>
    <row r="163" spans="1:104">
      <c r="A163" s="260">
        <f t="shared" si="20"/>
        <v>156</v>
      </c>
      <c r="B163" s="495"/>
      <c r="C163" s="275" t="s">
        <v>129</v>
      </c>
      <c r="D163" s="266"/>
      <c r="E163" s="265"/>
      <c r="F163" s="264"/>
      <c r="G163" s="744"/>
      <c r="H163" s="29"/>
      <c r="I163" s="24"/>
      <c r="J163" s="29"/>
      <c r="K163" s="36"/>
      <c r="M163" s="1624"/>
      <c r="N163" s="1633"/>
      <c r="O163" s="1633"/>
      <c r="Q163" s="36"/>
      <c r="R163" s="256"/>
      <c r="S163" s="36"/>
      <c r="T163" s="1711"/>
      <c r="U163" s="256"/>
      <c r="V163" s="36"/>
      <c r="W163" s="1711"/>
      <c r="X163" s="256"/>
      <c r="Y163" s="36"/>
      <c r="Z163" s="1711"/>
      <c r="AA163" s="256"/>
      <c r="AB163" s="36"/>
      <c r="AC163" s="1711"/>
      <c r="AD163" s="256"/>
      <c r="AE163" s="36"/>
      <c r="AF163" s="1711"/>
      <c r="AG163" s="256"/>
      <c r="AH163" s="36"/>
      <c r="AI163" s="1711"/>
      <c r="AJ163" s="256"/>
      <c r="AK163" s="36"/>
      <c r="AL163" s="1711"/>
      <c r="AM163" s="256"/>
      <c r="AN163" s="36"/>
      <c r="AO163" s="1711"/>
      <c r="AP163" s="256"/>
      <c r="AQ163" s="36"/>
      <c r="AR163" s="1711"/>
      <c r="AS163" s="256"/>
      <c r="AT163" s="36"/>
      <c r="AU163" s="36"/>
      <c r="AV163" s="256"/>
      <c r="AW163" s="36"/>
      <c r="AX163" s="36"/>
      <c r="AY163" s="256"/>
      <c r="AZ163" s="36"/>
      <c r="BA163" s="36"/>
      <c r="BB163" s="256"/>
      <c r="BC163" s="36"/>
      <c r="BD163" s="36"/>
      <c r="BE163" s="256"/>
      <c r="BF163" s="36"/>
      <c r="BG163" s="36"/>
      <c r="BH163" s="256"/>
      <c r="BI163" s="36"/>
      <c r="BJ163" s="36"/>
      <c r="BK163" s="256"/>
      <c r="BL163" s="36"/>
      <c r="BM163" s="36"/>
      <c r="BN163" s="256"/>
      <c r="BO163" s="36"/>
      <c r="BP163" s="36"/>
      <c r="BQ163" s="256"/>
      <c r="BR163" s="36"/>
      <c r="BS163" s="36"/>
      <c r="BT163" s="256"/>
      <c r="BU163" s="36"/>
      <c r="BV163" s="36"/>
      <c r="BW163" s="256"/>
      <c r="BX163" s="36"/>
      <c r="BY163" s="36"/>
      <c r="BZ163" s="256"/>
      <c r="CA163" s="36"/>
      <c r="CB163" s="36"/>
      <c r="CC163" s="256"/>
      <c r="CD163" s="36"/>
      <c r="CE163" s="36"/>
      <c r="CF163" s="256"/>
      <c r="CG163" s="36"/>
      <c r="CH163" s="36"/>
      <c r="CI163" s="1684">
        <f t="shared" si="17"/>
        <v>0</v>
      </c>
      <c r="CJ163" s="36"/>
      <c r="CK163" s="36"/>
      <c r="CL163" s="256"/>
      <c r="CM163" s="36"/>
      <c r="CN163" s="36"/>
      <c r="CO163" s="256"/>
      <c r="CP163" s="36"/>
      <c r="CQ163" s="36"/>
      <c r="CR163" s="256"/>
      <c r="CS163" s="36"/>
      <c r="CT163" s="36"/>
      <c r="CU163" s="256"/>
      <c r="CV163" s="36"/>
      <c r="CW163" s="36"/>
      <c r="CX163" s="256"/>
      <c r="CY163" s="36"/>
      <c r="CZ163" s="36"/>
    </row>
    <row r="164" spans="1:104" ht="13.5">
      <c r="A164" s="260">
        <f t="shared" si="20"/>
        <v>157</v>
      </c>
      <c r="B164" s="495"/>
      <c r="C164" s="295" t="s">
        <v>49</v>
      </c>
      <c r="D164" s="266"/>
      <c r="E164" s="265"/>
      <c r="F164" s="264"/>
      <c r="G164" s="744"/>
      <c r="H164" s="29"/>
      <c r="I164" s="24"/>
      <c r="J164" s="29"/>
      <c r="K164" s="36"/>
      <c r="M164" s="1624"/>
      <c r="N164" s="1633"/>
      <c r="O164" s="1633"/>
      <c r="Q164" s="36"/>
      <c r="R164" s="256"/>
      <c r="S164" s="36"/>
      <c r="T164" s="1711"/>
      <c r="U164" s="256"/>
      <c r="V164" s="36"/>
      <c r="W164" s="1711"/>
      <c r="X164" s="256"/>
      <c r="Y164" s="36"/>
      <c r="Z164" s="1711"/>
      <c r="AA164" s="256"/>
      <c r="AB164" s="36"/>
      <c r="AC164" s="1711"/>
      <c r="AD164" s="256"/>
      <c r="AE164" s="36"/>
      <c r="AF164" s="1711"/>
      <c r="AG164" s="256"/>
      <c r="AH164" s="36"/>
      <c r="AI164" s="1711"/>
      <c r="AJ164" s="256"/>
      <c r="AK164" s="36"/>
      <c r="AL164" s="1711"/>
      <c r="AM164" s="256"/>
      <c r="AN164" s="36"/>
      <c r="AO164" s="1711"/>
      <c r="AP164" s="256"/>
      <c r="AQ164" s="36"/>
      <c r="AR164" s="1711"/>
      <c r="AS164" s="256"/>
      <c r="AT164" s="36"/>
      <c r="AU164" s="36"/>
      <c r="AV164" s="256"/>
      <c r="AW164" s="36"/>
      <c r="AX164" s="36"/>
      <c r="AY164" s="256"/>
      <c r="AZ164" s="36"/>
      <c r="BA164" s="36"/>
      <c r="BB164" s="256"/>
      <c r="BC164" s="36"/>
      <c r="BD164" s="36"/>
      <c r="BE164" s="256"/>
      <c r="BF164" s="36"/>
      <c r="BG164" s="36"/>
      <c r="BH164" s="256"/>
      <c r="BI164" s="36"/>
      <c r="BJ164" s="36"/>
      <c r="BK164" s="256"/>
      <c r="BL164" s="36"/>
      <c r="BM164" s="36"/>
      <c r="BN164" s="256"/>
      <c r="BO164" s="36"/>
      <c r="BP164" s="36"/>
      <c r="BQ164" s="256"/>
      <c r="BR164" s="36"/>
      <c r="BS164" s="36"/>
      <c r="BT164" s="256"/>
      <c r="BU164" s="36"/>
      <c r="BV164" s="36"/>
      <c r="BW164" s="256"/>
      <c r="BX164" s="36"/>
      <c r="BY164" s="36"/>
      <c r="BZ164" s="256"/>
      <c r="CA164" s="36"/>
      <c r="CB164" s="36"/>
      <c r="CC164" s="256"/>
      <c r="CD164" s="36"/>
      <c r="CE164" s="36"/>
      <c r="CF164" s="256"/>
      <c r="CG164" s="36"/>
      <c r="CH164" s="36"/>
      <c r="CI164" s="1684">
        <f t="shared" si="17"/>
        <v>0</v>
      </c>
      <c r="CJ164" s="36"/>
      <c r="CK164" s="36"/>
      <c r="CL164" s="256"/>
      <c r="CM164" s="36"/>
      <c r="CN164" s="36"/>
      <c r="CO164" s="256"/>
      <c r="CP164" s="36"/>
      <c r="CQ164" s="36"/>
      <c r="CR164" s="256"/>
      <c r="CS164" s="36"/>
      <c r="CT164" s="36"/>
      <c r="CU164" s="256"/>
      <c r="CV164" s="36"/>
      <c r="CW164" s="36"/>
      <c r="CX164" s="256"/>
      <c r="CY164" s="36"/>
      <c r="CZ164" s="36"/>
    </row>
    <row r="165" spans="1:104">
      <c r="A165" s="260">
        <f t="shared" si="20"/>
        <v>158</v>
      </c>
      <c r="B165" s="495">
        <f>'Stmt H'!B75</f>
        <v>850</v>
      </c>
      <c r="C165" s="98" t="s">
        <v>131</v>
      </c>
      <c r="D165" s="266"/>
      <c r="E165" s="289" t="s">
        <v>276</v>
      </c>
      <c r="F165" s="264"/>
      <c r="G165" s="744">
        <f>'Stmt H'!F75</f>
        <v>203253.98</v>
      </c>
      <c r="H165" s="29"/>
      <c r="I165" s="583" t="s">
        <v>276</v>
      </c>
      <c r="J165" s="29"/>
      <c r="K165" s="48">
        <f>'Stmt H'!U75</f>
        <v>198452.86149800004</v>
      </c>
      <c r="M165" s="1624">
        <f t="shared" ref="M165:M172" si="23">IF(ISERROR(O165/K165),0,O165/K165)</f>
        <v>0.55248182696507231</v>
      </c>
      <c r="N165" s="1633">
        <f t="shared" ref="N165:N172" si="24">M165*G165</f>
        <v>112294.13020832227</v>
      </c>
      <c r="O165" s="1633">
        <v>109641.59948686152</v>
      </c>
      <c r="Q165" s="48">
        <v>203755.72763100005</v>
      </c>
      <c r="R165" s="256"/>
      <c r="S165" s="48">
        <v>203755.72763100005</v>
      </c>
      <c r="T165" s="1712">
        <v>112571.33665617256</v>
      </c>
      <c r="U165" s="256"/>
      <c r="V165" s="48">
        <v>203755.72763100005</v>
      </c>
      <c r="W165" s="1712">
        <v>112571.33665617256</v>
      </c>
      <c r="X165" s="256"/>
      <c r="Y165" s="48">
        <v>203739.76763100005</v>
      </c>
      <c r="Z165" s="1712">
        <v>112562.51904621422</v>
      </c>
      <c r="AA165" s="256"/>
      <c r="AB165" s="48">
        <v>203739.76763100005</v>
      </c>
      <c r="AC165" s="1712">
        <v>112562.51904621422</v>
      </c>
      <c r="AD165" s="256"/>
      <c r="AE165" s="48">
        <v>203739.76763100005</v>
      </c>
      <c r="AF165" s="1712">
        <v>112562.51904621422</v>
      </c>
      <c r="AG165" s="256"/>
      <c r="AH165" s="48">
        <v>203739.76763100005</v>
      </c>
      <c r="AI165" s="1712">
        <v>112562.51904621422</v>
      </c>
      <c r="AJ165" s="256"/>
      <c r="AK165" s="48">
        <v>203739.76763100005</v>
      </c>
      <c r="AL165" s="1712">
        <v>112562.51904621422</v>
      </c>
      <c r="AM165" s="256"/>
      <c r="AN165" s="48">
        <v>203739.76763100005</v>
      </c>
      <c r="AO165" s="1712">
        <v>112562.51904621422</v>
      </c>
      <c r="AP165" s="256"/>
      <c r="AQ165" s="48">
        <v>203739.76763100005</v>
      </c>
      <c r="AR165" s="1712">
        <v>112562.51904621422</v>
      </c>
      <c r="AS165" s="256"/>
      <c r="AT165" s="48">
        <v>203739.76763100005</v>
      </c>
      <c r="AU165" s="48">
        <v>112562.51904621422</v>
      </c>
      <c r="AV165" s="256"/>
      <c r="AW165" s="48">
        <v>203739.76763100005</v>
      </c>
      <c r="AX165" s="48">
        <v>112562.51904621422</v>
      </c>
      <c r="AY165" s="256"/>
      <c r="AZ165" s="48">
        <v>203739.76763100005</v>
      </c>
      <c r="BA165" s="48">
        <v>112562.51904621422</v>
      </c>
      <c r="BB165" s="256"/>
      <c r="BC165" s="48">
        <v>203739.76763100005</v>
      </c>
      <c r="BD165" s="48">
        <v>112562.51904621422</v>
      </c>
      <c r="BE165" s="256"/>
      <c r="BF165" s="48">
        <v>203739.76763100005</v>
      </c>
      <c r="BG165" s="48">
        <v>112562.51904621422</v>
      </c>
      <c r="BH165" s="256"/>
      <c r="BI165" s="48">
        <v>203739.76763100005</v>
      </c>
      <c r="BJ165" s="48">
        <v>112562.51904621422</v>
      </c>
      <c r="BK165" s="256"/>
      <c r="BL165" s="48">
        <v>203739.76763100005</v>
      </c>
      <c r="BM165" s="48">
        <v>112562.51904621422</v>
      </c>
      <c r="BN165" s="256"/>
      <c r="BO165" s="48">
        <v>203739.76763100005</v>
      </c>
      <c r="BP165" s="48">
        <v>112562.51904621422</v>
      </c>
      <c r="BQ165" s="256"/>
      <c r="BR165" s="48">
        <v>203739.76763100005</v>
      </c>
      <c r="BS165" s="48">
        <v>112562.51904621422</v>
      </c>
      <c r="BT165" s="256"/>
      <c r="BU165" s="48">
        <v>203739.76763100005</v>
      </c>
      <c r="BV165" s="48">
        <v>112562.51904621422</v>
      </c>
      <c r="BW165" s="256"/>
      <c r="BX165" s="48">
        <v>203739.76763100005</v>
      </c>
      <c r="BY165" s="48">
        <v>112562.51904621422</v>
      </c>
      <c r="BZ165" s="256"/>
      <c r="CA165" s="48">
        <v>203734.07763100005</v>
      </c>
      <c r="CB165" s="48">
        <v>112559.3754246188</v>
      </c>
      <c r="CC165" s="256"/>
      <c r="CD165" s="48">
        <v>203734.07763100005</v>
      </c>
      <c r="CE165" s="48">
        <v>112559.3754246188</v>
      </c>
      <c r="CF165" s="256"/>
      <c r="CG165" s="48">
        <v>203734.07763100005</v>
      </c>
      <c r="CH165" s="48">
        <v>112559.3754246188</v>
      </c>
      <c r="CI165" s="1684">
        <f t="shared" si="17"/>
        <v>0</v>
      </c>
      <c r="CJ165" s="48">
        <v>203734.07763100005</v>
      </c>
      <c r="CK165" s="48">
        <v>112559.3754246188</v>
      </c>
      <c r="CL165" s="256"/>
      <c r="CM165" s="48">
        <v>203734.07763100005</v>
      </c>
      <c r="CN165" s="48">
        <v>112559.37542461877</v>
      </c>
      <c r="CO165" s="256"/>
      <c r="CP165" s="48">
        <v>203734.07763100005</v>
      </c>
      <c r="CQ165" s="48">
        <v>112559.37542461877</v>
      </c>
      <c r="CR165" s="256"/>
      <c r="CS165" s="48">
        <v>198452.86149800004</v>
      </c>
      <c r="CT165" s="48">
        <v>109641.59948686152</v>
      </c>
      <c r="CU165" s="256"/>
      <c r="CV165" s="48">
        <v>198452.86149800004</v>
      </c>
      <c r="CW165" s="48">
        <v>109641.59948686152</v>
      </c>
      <c r="CX165" s="256"/>
      <c r="CY165" s="48"/>
      <c r="CZ165" s="48"/>
    </row>
    <row r="166" spans="1:104">
      <c r="A166" s="260">
        <f t="shared" si="20"/>
        <v>159</v>
      </c>
      <c r="B166" s="495">
        <f>'Stmt H'!B76</f>
        <v>851</v>
      </c>
      <c r="C166" s="98" t="s">
        <v>375</v>
      </c>
      <c r="D166" s="266"/>
      <c r="E166" s="289" t="s">
        <v>276</v>
      </c>
      <c r="F166" s="264"/>
      <c r="G166" s="1242">
        <f>'Stmt H'!F76</f>
        <v>1179.78</v>
      </c>
      <c r="H166" s="29"/>
      <c r="I166" s="635" t="s">
        <v>276</v>
      </c>
      <c r="J166" s="29"/>
      <c r="K166" s="36">
        <f>'Stmt H'!U76</f>
        <v>1170.3591529706164</v>
      </c>
      <c r="M166" s="1624">
        <f t="shared" si="23"/>
        <v>0.54207982220053474</v>
      </c>
      <c r="N166" s="1634">
        <f t="shared" si="24"/>
        <v>639.53493263574683</v>
      </c>
      <c r="O166" s="1634">
        <v>634.42808155308012</v>
      </c>
      <c r="Q166" s="36">
        <v>1213.1931542360473</v>
      </c>
      <c r="R166" s="256"/>
      <c r="S166" s="36">
        <v>1213.1931542360473</v>
      </c>
      <c r="T166" s="1711">
        <v>657.64752934318244</v>
      </c>
      <c r="U166" s="256"/>
      <c r="V166" s="36">
        <v>1213.1931542360473</v>
      </c>
      <c r="W166" s="1711">
        <v>657.64752934318244</v>
      </c>
      <c r="X166" s="256"/>
      <c r="Y166" s="36">
        <v>1211.3631542360472</v>
      </c>
      <c r="Z166" s="1711">
        <v>656.65552326855538</v>
      </c>
      <c r="AA166" s="256"/>
      <c r="AB166" s="36">
        <v>1211.3631542360472</v>
      </c>
      <c r="AC166" s="1711">
        <v>656.65552326855538</v>
      </c>
      <c r="AD166" s="256"/>
      <c r="AE166" s="36">
        <v>1211.3631542360472</v>
      </c>
      <c r="AF166" s="1711">
        <v>656.65552326855538</v>
      </c>
      <c r="AG166" s="256"/>
      <c r="AH166" s="36">
        <v>1211.3631542360472</v>
      </c>
      <c r="AI166" s="1711">
        <v>656.65552326855538</v>
      </c>
      <c r="AJ166" s="256"/>
      <c r="AK166" s="36">
        <v>1211.3631542360472</v>
      </c>
      <c r="AL166" s="1711">
        <v>656.65552326855538</v>
      </c>
      <c r="AM166" s="256"/>
      <c r="AN166" s="36">
        <v>1208.7511655518761</v>
      </c>
      <c r="AO166" s="1711">
        <v>655.23961690705005</v>
      </c>
      <c r="AP166" s="256"/>
      <c r="AQ166" s="36">
        <v>1208.7511655518761</v>
      </c>
      <c r="AR166" s="1711">
        <v>655.23961690705005</v>
      </c>
      <c r="AS166" s="256"/>
      <c r="AT166" s="36">
        <v>1208.7511655518761</v>
      </c>
      <c r="AU166" s="36">
        <v>655.23961690705005</v>
      </c>
      <c r="AV166" s="256"/>
      <c r="AW166" s="36">
        <v>1208.7511655518761</v>
      </c>
      <c r="AX166" s="36">
        <v>655.23961690705005</v>
      </c>
      <c r="AY166" s="256"/>
      <c r="AZ166" s="36">
        <v>1208.7511655518761</v>
      </c>
      <c r="BA166" s="36">
        <v>655.23961690705005</v>
      </c>
      <c r="BB166" s="256"/>
      <c r="BC166" s="36">
        <v>1208.7511655518761</v>
      </c>
      <c r="BD166" s="36">
        <v>655.23961690705005</v>
      </c>
      <c r="BE166" s="256"/>
      <c r="BF166" s="36">
        <v>1208.7511655518761</v>
      </c>
      <c r="BG166" s="36">
        <v>655.23961690705005</v>
      </c>
      <c r="BH166" s="256"/>
      <c r="BI166" s="36">
        <v>1208.7511655518761</v>
      </c>
      <c r="BJ166" s="36">
        <v>655.23961690705005</v>
      </c>
      <c r="BK166" s="256"/>
      <c r="BL166" s="36">
        <v>1208.7511655518761</v>
      </c>
      <c r="BM166" s="36">
        <v>655.23961690705005</v>
      </c>
      <c r="BN166" s="256"/>
      <c r="BO166" s="36">
        <v>1208.7511655518761</v>
      </c>
      <c r="BP166" s="36">
        <v>655.23961690705005</v>
      </c>
      <c r="BQ166" s="256"/>
      <c r="BR166" s="36">
        <v>1208.7511655518761</v>
      </c>
      <c r="BS166" s="36">
        <v>655.23961690705005</v>
      </c>
      <c r="BT166" s="256"/>
      <c r="BU166" s="36">
        <v>1208.7511655518761</v>
      </c>
      <c r="BV166" s="36">
        <v>655.23961690705005</v>
      </c>
      <c r="BW166" s="256"/>
      <c r="BX166" s="36">
        <v>1208.7511655518761</v>
      </c>
      <c r="BY166" s="36">
        <v>655.23961690705005</v>
      </c>
      <c r="BZ166" s="256"/>
      <c r="CA166" s="36">
        <v>1208.0911655518762</v>
      </c>
      <c r="CB166" s="36">
        <v>654.88184422439781</v>
      </c>
      <c r="CC166" s="256"/>
      <c r="CD166" s="36">
        <v>1208.0911655518762</v>
      </c>
      <c r="CE166" s="36">
        <v>654.88184422439781</v>
      </c>
      <c r="CF166" s="256"/>
      <c r="CG166" s="36">
        <v>1208.0911655518762</v>
      </c>
      <c r="CH166" s="36">
        <v>654.88184422439781</v>
      </c>
      <c r="CI166" s="1684">
        <f t="shared" si="17"/>
        <v>0</v>
      </c>
      <c r="CJ166" s="36">
        <v>1208.0911655518762</v>
      </c>
      <c r="CK166" s="36">
        <v>654.88184422439781</v>
      </c>
      <c r="CL166" s="256"/>
      <c r="CM166" s="36">
        <v>1199.8699869706161</v>
      </c>
      <c r="CN166" s="36">
        <v>650.42530920078946</v>
      </c>
      <c r="CO166" s="256"/>
      <c r="CP166" s="36">
        <v>1199.8699869706161</v>
      </c>
      <c r="CQ166" s="36">
        <v>650.42530920078946</v>
      </c>
      <c r="CR166" s="256"/>
      <c r="CS166" s="36">
        <v>1170.3591529706164</v>
      </c>
      <c r="CT166" s="36">
        <v>634.42808155308012</v>
      </c>
      <c r="CU166" s="256"/>
      <c r="CV166" s="36">
        <v>1170.3591529706164</v>
      </c>
      <c r="CW166" s="36">
        <v>634.42808155308012</v>
      </c>
      <c r="CX166" s="256"/>
      <c r="CY166" s="36"/>
      <c r="CZ166" s="36"/>
    </row>
    <row r="167" spans="1:104">
      <c r="A167" s="260">
        <f t="shared" si="20"/>
        <v>160</v>
      </c>
      <c r="B167" s="495">
        <f>'Stmt H'!B77</f>
        <v>852</v>
      </c>
      <c r="C167" s="98" t="s">
        <v>376</v>
      </c>
      <c r="D167" s="266"/>
      <c r="E167" s="289" t="s">
        <v>276</v>
      </c>
      <c r="F167" s="264"/>
      <c r="G167" s="1242">
        <f>'Stmt H'!F77</f>
        <v>0</v>
      </c>
      <c r="H167" s="29"/>
      <c r="I167" s="635" t="s">
        <v>276</v>
      </c>
      <c r="J167" s="29"/>
      <c r="K167" s="36">
        <f>'Stmt H'!U77</f>
        <v>0</v>
      </c>
      <c r="M167" s="1624">
        <f t="shared" si="23"/>
        <v>0</v>
      </c>
      <c r="N167" s="1634">
        <f t="shared" si="24"/>
        <v>0</v>
      </c>
      <c r="O167" s="1634">
        <v>0</v>
      </c>
      <c r="Q167" s="36">
        <v>0</v>
      </c>
      <c r="R167" s="256"/>
      <c r="S167" s="36">
        <v>0</v>
      </c>
      <c r="T167" s="1711">
        <v>0</v>
      </c>
      <c r="U167" s="256"/>
      <c r="V167" s="36">
        <v>0</v>
      </c>
      <c r="W167" s="1711">
        <v>0</v>
      </c>
      <c r="X167" s="256"/>
      <c r="Y167" s="36">
        <v>0</v>
      </c>
      <c r="Z167" s="1711">
        <v>0</v>
      </c>
      <c r="AA167" s="256"/>
      <c r="AB167" s="36">
        <v>0</v>
      </c>
      <c r="AC167" s="1711">
        <v>0</v>
      </c>
      <c r="AD167" s="256"/>
      <c r="AE167" s="36">
        <v>0</v>
      </c>
      <c r="AF167" s="1711">
        <v>0</v>
      </c>
      <c r="AG167" s="256"/>
      <c r="AH167" s="36">
        <v>0</v>
      </c>
      <c r="AI167" s="1711">
        <v>0</v>
      </c>
      <c r="AJ167" s="256"/>
      <c r="AK167" s="36">
        <v>0</v>
      </c>
      <c r="AL167" s="1711">
        <v>0</v>
      </c>
      <c r="AM167" s="256"/>
      <c r="AN167" s="36">
        <v>0</v>
      </c>
      <c r="AO167" s="1711">
        <v>0</v>
      </c>
      <c r="AP167" s="256"/>
      <c r="AQ167" s="36">
        <v>0</v>
      </c>
      <c r="AR167" s="1711">
        <v>0</v>
      </c>
      <c r="AS167" s="256"/>
      <c r="AT167" s="36">
        <v>0</v>
      </c>
      <c r="AU167" s="36">
        <v>0</v>
      </c>
      <c r="AV167" s="256"/>
      <c r="AW167" s="36">
        <v>0</v>
      </c>
      <c r="AX167" s="36">
        <v>0</v>
      </c>
      <c r="AY167" s="256"/>
      <c r="AZ167" s="36">
        <v>0</v>
      </c>
      <c r="BA167" s="36">
        <v>0</v>
      </c>
      <c r="BB167" s="256"/>
      <c r="BC167" s="36">
        <v>0</v>
      </c>
      <c r="BD167" s="36">
        <v>0</v>
      </c>
      <c r="BE167" s="256"/>
      <c r="BF167" s="36">
        <v>0</v>
      </c>
      <c r="BG167" s="36">
        <v>0</v>
      </c>
      <c r="BH167" s="256"/>
      <c r="BI167" s="36">
        <v>0</v>
      </c>
      <c r="BJ167" s="36">
        <v>0</v>
      </c>
      <c r="BK167" s="256"/>
      <c r="BL167" s="36">
        <v>0</v>
      </c>
      <c r="BM167" s="36">
        <v>0</v>
      </c>
      <c r="BN167" s="256"/>
      <c r="BO167" s="36">
        <v>0</v>
      </c>
      <c r="BP167" s="36">
        <v>0</v>
      </c>
      <c r="BQ167" s="256"/>
      <c r="BR167" s="36">
        <v>0</v>
      </c>
      <c r="BS167" s="36">
        <v>0</v>
      </c>
      <c r="BT167" s="256"/>
      <c r="BU167" s="36">
        <v>0</v>
      </c>
      <c r="BV167" s="36">
        <v>0</v>
      </c>
      <c r="BW167" s="256"/>
      <c r="BX167" s="36">
        <v>0</v>
      </c>
      <c r="BY167" s="36">
        <v>0</v>
      </c>
      <c r="BZ167" s="256"/>
      <c r="CA167" s="36">
        <v>0</v>
      </c>
      <c r="CB167" s="36">
        <v>0</v>
      </c>
      <c r="CC167" s="256"/>
      <c r="CD167" s="36">
        <v>0</v>
      </c>
      <c r="CE167" s="36">
        <v>0</v>
      </c>
      <c r="CF167" s="256"/>
      <c r="CG167" s="36">
        <v>0</v>
      </c>
      <c r="CH167" s="36">
        <v>0</v>
      </c>
      <c r="CI167" s="1684">
        <f t="shared" si="17"/>
        <v>0</v>
      </c>
      <c r="CJ167" s="36">
        <v>0</v>
      </c>
      <c r="CK167" s="36">
        <v>0</v>
      </c>
      <c r="CL167" s="256"/>
      <c r="CM167" s="36">
        <v>0</v>
      </c>
      <c r="CN167" s="36">
        <v>0</v>
      </c>
      <c r="CO167" s="256"/>
      <c r="CP167" s="36">
        <v>0</v>
      </c>
      <c r="CQ167" s="36">
        <v>0</v>
      </c>
      <c r="CR167" s="256"/>
      <c r="CS167" s="36">
        <v>0</v>
      </c>
      <c r="CT167" s="36">
        <v>0</v>
      </c>
      <c r="CU167" s="256"/>
      <c r="CV167" s="36">
        <v>0</v>
      </c>
      <c r="CW167" s="36">
        <v>0</v>
      </c>
      <c r="CX167" s="256"/>
      <c r="CY167" s="36"/>
      <c r="CZ167" s="36"/>
    </row>
    <row r="168" spans="1:104">
      <c r="A168" s="260">
        <f t="shared" si="20"/>
        <v>161</v>
      </c>
      <c r="B168" s="495">
        <f>'Stmt H'!B78</f>
        <v>853</v>
      </c>
      <c r="C168" s="98" t="s">
        <v>571</v>
      </c>
      <c r="D168" s="266"/>
      <c r="E168" s="289" t="s">
        <v>276</v>
      </c>
      <c r="F168" s="264"/>
      <c r="G168" s="1242">
        <f>'Stmt H'!F78</f>
        <v>0</v>
      </c>
      <c r="H168" s="29"/>
      <c r="I168" s="635" t="s">
        <v>276</v>
      </c>
      <c r="J168" s="29"/>
      <c r="K168" s="36">
        <f>'Stmt H'!U78</f>
        <v>0</v>
      </c>
      <c r="M168" s="1624">
        <f t="shared" si="23"/>
        <v>0</v>
      </c>
      <c r="N168" s="1634">
        <f t="shared" si="24"/>
        <v>0</v>
      </c>
      <c r="O168" s="1634">
        <v>0</v>
      </c>
      <c r="Q168" s="36">
        <v>0</v>
      </c>
      <c r="R168" s="256"/>
      <c r="S168" s="36">
        <v>0</v>
      </c>
      <c r="T168" s="1711">
        <v>0</v>
      </c>
      <c r="U168" s="256"/>
      <c r="V168" s="36">
        <v>0</v>
      </c>
      <c r="W168" s="1711">
        <v>0</v>
      </c>
      <c r="X168" s="256"/>
      <c r="Y168" s="36">
        <v>0</v>
      </c>
      <c r="Z168" s="1711">
        <v>0</v>
      </c>
      <c r="AA168" s="256"/>
      <c r="AB168" s="36">
        <v>0</v>
      </c>
      <c r="AC168" s="1711">
        <v>0</v>
      </c>
      <c r="AD168" s="256"/>
      <c r="AE168" s="36">
        <v>0</v>
      </c>
      <c r="AF168" s="1711">
        <v>0</v>
      </c>
      <c r="AG168" s="256"/>
      <c r="AH168" s="36">
        <v>0</v>
      </c>
      <c r="AI168" s="1711">
        <v>0</v>
      </c>
      <c r="AJ168" s="256"/>
      <c r="AK168" s="36">
        <v>0</v>
      </c>
      <c r="AL168" s="1711">
        <v>0</v>
      </c>
      <c r="AM168" s="256"/>
      <c r="AN168" s="36">
        <v>0</v>
      </c>
      <c r="AO168" s="1711">
        <v>0</v>
      </c>
      <c r="AP168" s="256"/>
      <c r="AQ168" s="36">
        <v>0</v>
      </c>
      <c r="AR168" s="1711">
        <v>0</v>
      </c>
      <c r="AS168" s="256"/>
      <c r="AT168" s="36">
        <v>0</v>
      </c>
      <c r="AU168" s="36">
        <v>0</v>
      </c>
      <c r="AV168" s="256"/>
      <c r="AW168" s="36">
        <v>0</v>
      </c>
      <c r="AX168" s="36">
        <v>0</v>
      </c>
      <c r="AY168" s="256"/>
      <c r="AZ168" s="36">
        <v>0</v>
      </c>
      <c r="BA168" s="36">
        <v>0</v>
      </c>
      <c r="BB168" s="256"/>
      <c r="BC168" s="36">
        <v>0</v>
      </c>
      <c r="BD168" s="36">
        <v>0</v>
      </c>
      <c r="BE168" s="256"/>
      <c r="BF168" s="36">
        <v>0</v>
      </c>
      <c r="BG168" s="36">
        <v>0</v>
      </c>
      <c r="BH168" s="256"/>
      <c r="BI168" s="36">
        <v>0</v>
      </c>
      <c r="BJ168" s="36">
        <v>0</v>
      </c>
      <c r="BK168" s="256"/>
      <c r="BL168" s="36">
        <v>0</v>
      </c>
      <c r="BM168" s="36">
        <v>0</v>
      </c>
      <c r="BN168" s="256"/>
      <c r="BO168" s="36">
        <v>0</v>
      </c>
      <c r="BP168" s="36">
        <v>0</v>
      </c>
      <c r="BQ168" s="256"/>
      <c r="BR168" s="36">
        <v>0</v>
      </c>
      <c r="BS168" s="36">
        <v>0</v>
      </c>
      <c r="BT168" s="256"/>
      <c r="BU168" s="36">
        <v>0</v>
      </c>
      <c r="BV168" s="36">
        <v>0</v>
      </c>
      <c r="BW168" s="256"/>
      <c r="BX168" s="36">
        <v>0</v>
      </c>
      <c r="BY168" s="36">
        <v>0</v>
      </c>
      <c r="BZ168" s="256"/>
      <c r="CA168" s="36">
        <v>0</v>
      </c>
      <c r="CB168" s="36">
        <v>0</v>
      </c>
      <c r="CC168" s="256"/>
      <c r="CD168" s="36">
        <v>0</v>
      </c>
      <c r="CE168" s="36">
        <v>0</v>
      </c>
      <c r="CF168" s="256"/>
      <c r="CG168" s="36">
        <v>0</v>
      </c>
      <c r="CH168" s="36">
        <v>0</v>
      </c>
      <c r="CI168" s="1684">
        <f t="shared" si="17"/>
        <v>0</v>
      </c>
      <c r="CJ168" s="36">
        <v>0</v>
      </c>
      <c r="CK168" s="36">
        <v>0</v>
      </c>
      <c r="CL168" s="256"/>
      <c r="CM168" s="36">
        <v>0</v>
      </c>
      <c r="CN168" s="36">
        <v>0</v>
      </c>
      <c r="CO168" s="256"/>
      <c r="CP168" s="36">
        <v>0</v>
      </c>
      <c r="CQ168" s="36">
        <v>0</v>
      </c>
      <c r="CR168" s="256"/>
      <c r="CS168" s="36">
        <v>0</v>
      </c>
      <c r="CT168" s="36">
        <v>0</v>
      </c>
      <c r="CU168" s="256"/>
      <c r="CV168" s="36">
        <v>0</v>
      </c>
      <c r="CW168" s="36">
        <v>0</v>
      </c>
      <c r="CX168" s="256"/>
      <c r="CY168" s="36"/>
      <c r="CZ168" s="36"/>
    </row>
    <row r="169" spans="1:104">
      <c r="A169" s="260">
        <f t="shared" si="20"/>
        <v>162</v>
      </c>
      <c r="B169" s="495">
        <f>'Stmt H'!B79</f>
        <v>856</v>
      </c>
      <c r="C169" s="98" t="s">
        <v>377</v>
      </c>
      <c r="D169" s="266"/>
      <c r="E169" s="289" t="s">
        <v>276</v>
      </c>
      <c r="F169" s="264"/>
      <c r="G169" s="1242">
        <f>'Stmt H'!F79</f>
        <v>63014.31</v>
      </c>
      <c r="H169" s="29"/>
      <c r="I169" s="635" t="s">
        <v>276</v>
      </c>
      <c r="J169" s="29"/>
      <c r="K169" s="36">
        <f>'Stmt H'!U79</f>
        <v>63026.282280066924</v>
      </c>
      <c r="M169" s="1624">
        <f t="shared" si="23"/>
        <v>0.55248182696507242</v>
      </c>
      <c r="N169" s="1634">
        <f t="shared" si="24"/>
        <v>34814.261113743429</v>
      </c>
      <c r="O169" s="1634">
        <v>34820.875580907741</v>
      </c>
      <c r="Q169" s="36">
        <v>63038.599162927858</v>
      </c>
      <c r="R169" s="256"/>
      <c r="S169" s="36">
        <v>63038.599162927858</v>
      </c>
      <c r="T169" s="1711">
        <v>34827.680434853261</v>
      </c>
      <c r="U169" s="256"/>
      <c r="V169" s="36">
        <v>63038.599162927858</v>
      </c>
      <c r="W169" s="1711">
        <v>34827.680434853261</v>
      </c>
      <c r="X169" s="256"/>
      <c r="Y169" s="36">
        <v>63037.829162927861</v>
      </c>
      <c r="Z169" s="1711">
        <v>34827.255023846505</v>
      </c>
      <c r="AA169" s="256"/>
      <c r="AB169" s="36">
        <v>63037.829162927861</v>
      </c>
      <c r="AC169" s="1711">
        <v>34827.255023846505</v>
      </c>
      <c r="AD169" s="256"/>
      <c r="AE169" s="36">
        <v>63037.829162927861</v>
      </c>
      <c r="AF169" s="1711">
        <v>34827.255023846505</v>
      </c>
      <c r="AG169" s="256"/>
      <c r="AH169" s="36">
        <v>63037.829162927861</v>
      </c>
      <c r="AI169" s="1711">
        <v>34827.255023846505</v>
      </c>
      <c r="AJ169" s="256"/>
      <c r="AK169" s="36">
        <v>63037.829162927861</v>
      </c>
      <c r="AL169" s="1711">
        <v>34827.255023846505</v>
      </c>
      <c r="AM169" s="256"/>
      <c r="AN169" s="36">
        <v>63035.110189823892</v>
      </c>
      <c r="AO169" s="1711">
        <v>34825.752840618559</v>
      </c>
      <c r="AP169" s="256"/>
      <c r="AQ169" s="36">
        <v>63035.110189823892</v>
      </c>
      <c r="AR169" s="1711">
        <v>34825.752840618559</v>
      </c>
      <c r="AS169" s="256"/>
      <c r="AT169" s="36">
        <v>63035.110189823892</v>
      </c>
      <c r="AU169" s="36">
        <v>34825.752840618559</v>
      </c>
      <c r="AV169" s="256"/>
      <c r="AW169" s="36">
        <v>63035.110189823892</v>
      </c>
      <c r="AX169" s="36">
        <v>34825.752840618559</v>
      </c>
      <c r="AY169" s="256"/>
      <c r="AZ169" s="36">
        <v>63035.110189823892</v>
      </c>
      <c r="BA169" s="36">
        <v>34825.752840618559</v>
      </c>
      <c r="BB169" s="256"/>
      <c r="BC169" s="36">
        <v>63035.110189823892</v>
      </c>
      <c r="BD169" s="36">
        <v>34825.752840618559</v>
      </c>
      <c r="BE169" s="256"/>
      <c r="BF169" s="36">
        <v>63035.110189823892</v>
      </c>
      <c r="BG169" s="36">
        <v>34825.752840618559</v>
      </c>
      <c r="BH169" s="256"/>
      <c r="BI169" s="36">
        <v>63035.110189823892</v>
      </c>
      <c r="BJ169" s="36">
        <v>34825.752840618559</v>
      </c>
      <c r="BK169" s="256"/>
      <c r="BL169" s="36">
        <v>63035.110189823892</v>
      </c>
      <c r="BM169" s="36">
        <v>34825.752840618559</v>
      </c>
      <c r="BN169" s="256"/>
      <c r="BO169" s="36">
        <v>63035.110189823892</v>
      </c>
      <c r="BP169" s="36">
        <v>34825.752840618559</v>
      </c>
      <c r="BQ169" s="256"/>
      <c r="BR169" s="36">
        <v>63035.110189823892</v>
      </c>
      <c r="BS169" s="36">
        <v>34825.752840618559</v>
      </c>
      <c r="BT169" s="256"/>
      <c r="BU169" s="36">
        <v>63035.110189823892</v>
      </c>
      <c r="BV169" s="36">
        <v>34825.752840618559</v>
      </c>
      <c r="BW169" s="256"/>
      <c r="BX169" s="36">
        <v>63035.110189823892</v>
      </c>
      <c r="BY169" s="36">
        <v>34825.752840618559</v>
      </c>
      <c r="BZ169" s="256"/>
      <c r="CA169" s="36">
        <v>63034.840189823888</v>
      </c>
      <c r="CB169" s="36">
        <v>34825.60367052527</v>
      </c>
      <c r="CC169" s="256"/>
      <c r="CD169" s="36">
        <v>63034.840189823888</v>
      </c>
      <c r="CE169" s="36">
        <v>34825.60367052527</v>
      </c>
      <c r="CF169" s="256"/>
      <c r="CG169" s="36">
        <v>63034.840189823888</v>
      </c>
      <c r="CH169" s="36">
        <v>34825.60367052527</v>
      </c>
      <c r="CI169" s="1684">
        <f t="shared" si="17"/>
        <v>0</v>
      </c>
      <c r="CJ169" s="36">
        <v>63034.840189823888</v>
      </c>
      <c r="CK169" s="36">
        <v>34825.60367052527</v>
      </c>
      <c r="CL169" s="256"/>
      <c r="CM169" s="36">
        <v>63026.282280066924</v>
      </c>
      <c r="CN169" s="36">
        <v>34820.875580907741</v>
      </c>
      <c r="CO169" s="256"/>
      <c r="CP169" s="36">
        <v>63026.282280066924</v>
      </c>
      <c r="CQ169" s="36">
        <v>34820.875580907741</v>
      </c>
      <c r="CR169" s="256"/>
      <c r="CS169" s="36">
        <v>63026.282280066924</v>
      </c>
      <c r="CT169" s="36">
        <v>34820.875580907741</v>
      </c>
      <c r="CU169" s="256"/>
      <c r="CV169" s="36">
        <v>63026.282280066924</v>
      </c>
      <c r="CW169" s="36">
        <v>34820.875580907741</v>
      </c>
      <c r="CX169" s="256"/>
      <c r="CY169" s="36"/>
      <c r="CZ169" s="36"/>
    </row>
    <row r="170" spans="1:104">
      <c r="A170" s="260">
        <f t="shared" si="20"/>
        <v>163</v>
      </c>
      <c r="B170" s="495">
        <f>'Stmt H'!B80</f>
        <v>857</v>
      </c>
      <c r="C170" s="98" t="s">
        <v>378</v>
      </c>
      <c r="D170" s="266"/>
      <c r="E170" s="289" t="s">
        <v>276</v>
      </c>
      <c r="F170" s="264"/>
      <c r="G170" s="1242">
        <f>'Stmt H'!F80</f>
        <v>12310.56</v>
      </c>
      <c r="H170" s="29"/>
      <c r="I170" s="635" t="s">
        <v>276</v>
      </c>
      <c r="J170" s="29"/>
      <c r="K170" s="36">
        <f>'Stmt H'!U80</f>
        <v>12313.30793924924</v>
      </c>
      <c r="M170" s="1624">
        <f t="shared" si="23"/>
        <v>0.55248182696507242</v>
      </c>
      <c r="N170" s="1634">
        <f t="shared" si="24"/>
        <v>6801.3606797631419</v>
      </c>
      <c r="O170" s="1634">
        <v>6802.8788662599509</v>
      </c>
      <c r="Q170" s="36">
        <v>12316.609019755038</v>
      </c>
      <c r="R170" s="256"/>
      <c r="S170" s="36">
        <v>12316.609019755038</v>
      </c>
      <c r="T170" s="1711">
        <v>6804.7026532487525</v>
      </c>
      <c r="U170" s="256"/>
      <c r="V170" s="36">
        <v>12316.609019755038</v>
      </c>
      <c r="W170" s="1711">
        <v>6804.7026532487525</v>
      </c>
      <c r="X170" s="256"/>
      <c r="Y170" s="36">
        <v>12316.329019755038</v>
      </c>
      <c r="Z170" s="1711">
        <v>6804.5479583372016</v>
      </c>
      <c r="AA170" s="256"/>
      <c r="AB170" s="36">
        <v>12316.329019755038</v>
      </c>
      <c r="AC170" s="1711">
        <v>6804.5479583372016</v>
      </c>
      <c r="AD170" s="256"/>
      <c r="AE170" s="36">
        <v>12316.329019755038</v>
      </c>
      <c r="AF170" s="1711">
        <v>6804.5479583372016</v>
      </c>
      <c r="AG170" s="256"/>
      <c r="AH170" s="36">
        <v>12316.329019755038</v>
      </c>
      <c r="AI170" s="1711">
        <v>6804.5479583372016</v>
      </c>
      <c r="AJ170" s="256"/>
      <c r="AK170" s="36">
        <v>12316.329019755038</v>
      </c>
      <c r="AL170" s="1711">
        <v>6804.5479583372016</v>
      </c>
      <c r="AM170" s="256"/>
      <c r="AN170" s="36">
        <v>12315.627128133359</v>
      </c>
      <c r="AO170" s="1711">
        <v>6804.160175971725</v>
      </c>
      <c r="AP170" s="256"/>
      <c r="AQ170" s="36">
        <v>12315.627128133359</v>
      </c>
      <c r="AR170" s="1711">
        <v>6804.160175971725</v>
      </c>
      <c r="AS170" s="256"/>
      <c r="AT170" s="36">
        <v>12315.627128133359</v>
      </c>
      <c r="AU170" s="36">
        <v>6804.160175971725</v>
      </c>
      <c r="AV170" s="256"/>
      <c r="AW170" s="36">
        <v>12315.627128133359</v>
      </c>
      <c r="AX170" s="36">
        <v>6804.160175971725</v>
      </c>
      <c r="AY170" s="256"/>
      <c r="AZ170" s="36">
        <v>12315.627128133359</v>
      </c>
      <c r="BA170" s="36">
        <v>6804.160175971725</v>
      </c>
      <c r="BB170" s="256"/>
      <c r="BC170" s="36">
        <v>12315.627128133359</v>
      </c>
      <c r="BD170" s="36">
        <v>6804.160175971725</v>
      </c>
      <c r="BE170" s="256"/>
      <c r="BF170" s="36">
        <v>12315.627128133359</v>
      </c>
      <c r="BG170" s="36">
        <v>6804.160175971725</v>
      </c>
      <c r="BH170" s="256"/>
      <c r="BI170" s="36">
        <v>12315.627128133359</v>
      </c>
      <c r="BJ170" s="36">
        <v>6804.160175971725</v>
      </c>
      <c r="BK170" s="256"/>
      <c r="BL170" s="36">
        <v>12315.627128133359</v>
      </c>
      <c r="BM170" s="36">
        <v>6804.160175971725</v>
      </c>
      <c r="BN170" s="256"/>
      <c r="BO170" s="36">
        <v>12315.627128133359</v>
      </c>
      <c r="BP170" s="36">
        <v>6804.160175971725</v>
      </c>
      <c r="BQ170" s="256"/>
      <c r="BR170" s="36">
        <v>12315.627128133359</v>
      </c>
      <c r="BS170" s="36">
        <v>6804.160175971725</v>
      </c>
      <c r="BT170" s="256"/>
      <c r="BU170" s="36">
        <v>12315.627128133359</v>
      </c>
      <c r="BV170" s="36">
        <v>6804.160175971725</v>
      </c>
      <c r="BW170" s="256"/>
      <c r="BX170" s="36">
        <v>12315.627128133359</v>
      </c>
      <c r="BY170" s="36">
        <v>6804.160175971725</v>
      </c>
      <c r="BZ170" s="256"/>
      <c r="CA170" s="36">
        <v>12315.517128133361</v>
      </c>
      <c r="CB170" s="36">
        <v>6804.0994029707599</v>
      </c>
      <c r="CC170" s="256"/>
      <c r="CD170" s="36">
        <v>12315.517128133361</v>
      </c>
      <c r="CE170" s="36">
        <v>6804.0994029707599</v>
      </c>
      <c r="CF170" s="256"/>
      <c r="CG170" s="36">
        <v>12315.517128133361</v>
      </c>
      <c r="CH170" s="36">
        <v>6804.0994029707599</v>
      </c>
      <c r="CI170" s="1684">
        <f t="shared" si="17"/>
        <v>0</v>
      </c>
      <c r="CJ170" s="36">
        <v>12315.517128133361</v>
      </c>
      <c r="CK170" s="36">
        <v>6804.0994029707599</v>
      </c>
      <c r="CL170" s="256"/>
      <c r="CM170" s="36">
        <v>12313.30793924924</v>
      </c>
      <c r="CN170" s="36">
        <v>6802.8788662599509</v>
      </c>
      <c r="CO170" s="256"/>
      <c r="CP170" s="36">
        <v>12313.30793924924</v>
      </c>
      <c r="CQ170" s="36">
        <v>6802.8788662599509</v>
      </c>
      <c r="CR170" s="256"/>
      <c r="CS170" s="36">
        <v>12313.30793924924</v>
      </c>
      <c r="CT170" s="36">
        <v>6802.8788662599509</v>
      </c>
      <c r="CU170" s="256"/>
      <c r="CV170" s="36">
        <v>12313.30793924924</v>
      </c>
      <c r="CW170" s="36">
        <v>6802.8788662599509</v>
      </c>
      <c r="CX170" s="256"/>
      <c r="CY170" s="36"/>
      <c r="CZ170" s="36"/>
    </row>
    <row r="171" spans="1:104">
      <c r="A171" s="260">
        <f t="shared" si="20"/>
        <v>164</v>
      </c>
      <c r="B171" s="495">
        <f>'Stmt H'!B81</f>
        <v>859</v>
      </c>
      <c r="C171" s="98" t="s">
        <v>192</v>
      </c>
      <c r="D171" s="266"/>
      <c r="E171" s="289" t="s">
        <v>276</v>
      </c>
      <c r="F171" s="264"/>
      <c r="G171" s="1242">
        <f>'Stmt H'!F81</f>
        <v>64899.89</v>
      </c>
      <c r="H171" s="29"/>
      <c r="I171" s="635" t="s">
        <v>276</v>
      </c>
      <c r="J171" s="29"/>
      <c r="K171" s="36">
        <f>'Stmt H'!U81</f>
        <v>63760.820262780602</v>
      </c>
      <c r="M171" s="1624">
        <f t="shared" si="23"/>
        <v>0.55248182696507242</v>
      </c>
      <c r="N171" s="1634">
        <f t="shared" si="24"/>
        <v>35856.009797032231</v>
      </c>
      <c r="O171" s="1634">
        <v>35226.694467572634</v>
      </c>
      <c r="Q171" s="36">
        <v>65929.607336401925</v>
      </c>
      <c r="R171" s="256"/>
      <c r="S171" s="36">
        <v>65929.607336401925</v>
      </c>
      <c r="T171" s="1711">
        <v>36424.909912305164</v>
      </c>
      <c r="U171" s="256"/>
      <c r="V171" s="36">
        <v>65929.607336401925</v>
      </c>
      <c r="W171" s="1711">
        <v>36424.909912305164</v>
      </c>
      <c r="X171" s="256"/>
      <c r="Y171" s="36">
        <v>65911.507336401919</v>
      </c>
      <c r="Z171" s="1711">
        <v>36414.909991237102</v>
      </c>
      <c r="AA171" s="256"/>
      <c r="AB171" s="36">
        <v>65911.507336401919</v>
      </c>
      <c r="AC171" s="1711">
        <v>36414.909991237102</v>
      </c>
      <c r="AD171" s="256"/>
      <c r="AE171" s="36">
        <v>65911.507336401919</v>
      </c>
      <c r="AF171" s="1711">
        <v>36414.909991237102</v>
      </c>
      <c r="AG171" s="256"/>
      <c r="AH171" s="36">
        <v>65911.507336401919</v>
      </c>
      <c r="AI171" s="1711">
        <v>36414.909991237102</v>
      </c>
      <c r="AJ171" s="256"/>
      <c r="AK171" s="36">
        <v>65911.507336401919</v>
      </c>
      <c r="AL171" s="1711">
        <v>36414.909991237102</v>
      </c>
      <c r="AM171" s="256"/>
      <c r="AN171" s="36">
        <v>65893.678049958573</v>
      </c>
      <c r="AO171" s="1711">
        <v>36405.0596344894</v>
      </c>
      <c r="AP171" s="256"/>
      <c r="AQ171" s="36">
        <v>65893.678049958573</v>
      </c>
      <c r="AR171" s="1711">
        <v>36405.0596344894</v>
      </c>
      <c r="AS171" s="256"/>
      <c r="AT171" s="36">
        <v>65893.678049958573</v>
      </c>
      <c r="AU171" s="36">
        <v>36405.0596344894</v>
      </c>
      <c r="AV171" s="256"/>
      <c r="AW171" s="36">
        <v>65893.678049958573</v>
      </c>
      <c r="AX171" s="36">
        <v>36405.0596344894</v>
      </c>
      <c r="AY171" s="256"/>
      <c r="AZ171" s="36">
        <v>65893.678049958573</v>
      </c>
      <c r="BA171" s="36">
        <v>36405.0596344894</v>
      </c>
      <c r="BB171" s="256"/>
      <c r="BC171" s="36">
        <v>65893.678049958573</v>
      </c>
      <c r="BD171" s="36">
        <v>36405.0596344894</v>
      </c>
      <c r="BE171" s="256"/>
      <c r="BF171" s="36">
        <v>65893.678049958573</v>
      </c>
      <c r="BG171" s="36">
        <v>36405.0596344894</v>
      </c>
      <c r="BH171" s="256"/>
      <c r="BI171" s="36">
        <v>65893.678049958573</v>
      </c>
      <c r="BJ171" s="36">
        <v>36405.0596344894</v>
      </c>
      <c r="BK171" s="256"/>
      <c r="BL171" s="36">
        <v>65893.678049958573</v>
      </c>
      <c r="BM171" s="36">
        <v>36405.0596344894</v>
      </c>
      <c r="BN171" s="256"/>
      <c r="BO171" s="36">
        <v>65893.678049958573</v>
      </c>
      <c r="BP171" s="36">
        <v>36405.0596344894</v>
      </c>
      <c r="BQ171" s="256"/>
      <c r="BR171" s="36">
        <v>65893.678049958573</v>
      </c>
      <c r="BS171" s="36">
        <v>36405.0596344894</v>
      </c>
      <c r="BT171" s="256"/>
      <c r="BU171" s="36">
        <v>65893.678049958573</v>
      </c>
      <c r="BV171" s="36">
        <v>36405.0596344894</v>
      </c>
      <c r="BW171" s="256"/>
      <c r="BX171" s="36">
        <v>65893.678049958573</v>
      </c>
      <c r="BY171" s="36">
        <v>36405.0596344894</v>
      </c>
      <c r="BZ171" s="256"/>
      <c r="CA171" s="36">
        <v>65887.218049958581</v>
      </c>
      <c r="CB171" s="36">
        <v>36401.490601887199</v>
      </c>
      <c r="CC171" s="256"/>
      <c r="CD171" s="36">
        <v>65887.218049958581</v>
      </c>
      <c r="CE171" s="36">
        <v>36401.490601887199</v>
      </c>
      <c r="CF171" s="256"/>
      <c r="CG171" s="36">
        <v>65887.218049958581</v>
      </c>
      <c r="CH171" s="36">
        <v>36401.490601887199</v>
      </c>
      <c r="CI171" s="1684">
        <f t="shared" si="17"/>
        <v>0</v>
      </c>
      <c r="CJ171" s="36">
        <v>65887.218049958581</v>
      </c>
      <c r="CK171" s="36">
        <v>36401.490601887199</v>
      </c>
      <c r="CL171" s="256"/>
      <c r="CM171" s="36">
        <v>65831.100751780614</v>
      </c>
      <c r="CN171" s="36">
        <v>36370.486814465505</v>
      </c>
      <c r="CO171" s="256"/>
      <c r="CP171" s="36">
        <v>65831.100751780614</v>
      </c>
      <c r="CQ171" s="36">
        <v>36370.486814465505</v>
      </c>
      <c r="CR171" s="256"/>
      <c r="CS171" s="36">
        <v>63760.820262780602</v>
      </c>
      <c r="CT171" s="36">
        <v>35226.694467572634</v>
      </c>
      <c r="CU171" s="256"/>
      <c r="CV171" s="36">
        <v>63760.820262780602</v>
      </c>
      <c r="CW171" s="36">
        <v>35226.694467572634</v>
      </c>
      <c r="CX171" s="256"/>
      <c r="CY171" s="36"/>
      <c r="CZ171" s="36"/>
    </row>
    <row r="172" spans="1:104">
      <c r="A172" s="260">
        <f t="shared" si="20"/>
        <v>165</v>
      </c>
      <c r="B172" s="495">
        <f>'Stmt H'!B82</f>
        <v>860</v>
      </c>
      <c r="C172" s="98" t="s">
        <v>185</v>
      </c>
      <c r="D172" s="266"/>
      <c r="E172" s="289" t="s">
        <v>276</v>
      </c>
      <c r="F172" s="264"/>
      <c r="G172" s="1243">
        <f>'Stmt H'!F82</f>
        <v>0</v>
      </c>
      <c r="H172" s="29"/>
      <c r="I172" s="635" t="s">
        <v>276</v>
      </c>
      <c r="J172" s="29"/>
      <c r="K172" s="1244">
        <f>'Stmt H'!U82</f>
        <v>0</v>
      </c>
      <c r="M172" s="1624">
        <f t="shared" si="23"/>
        <v>0</v>
      </c>
      <c r="N172" s="1635">
        <f t="shared" si="24"/>
        <v>0</v>
      </c>
      <c r="O172" s="1635">
        <v>0</v>
      </c>
      <c r="Q172" s="1244">
        <v>0</v>
      </c>
      <c r="R172" s="256"/>
      <c r="S172" s="1244">
        <v>0</v>
      </c>
      <c r="T172" s="1713">
        <v>0</v>
      </c>
      <c r="U172" s="256"/>
      <c r="V172" s="1244">
        <v>0</v>
      </c>
      <c r="W172" s="1713">
        <v>0</v>
      </c>
      <c r="X172" s="256"/>
      <c r="Y172" s="1244">
        <v>0</v>
      </c>
      <c r="Z172" s="1713">
        <v>0</v>
      </c>
      <c r="AA172" s="256"/>
      <c r="AB172" s="1244">
        <v>0</v>
      </c>
      <c r="AC172" s="1713">
        <v>0</v>
      </c>
      <c r="AD172" s="256"/>
      <c r="AE172" s="1244">
        <v>0</v>
      </c>
      <c r="AF172" s="1713">
        <v>0</v>
      </c>
      <c r="AG172" s="256"/>
      <c r="AH172" s="1244">
        <v>0</v>
      </c>
      <c r="AI172" s="1713">
        <v>0</v>
      </c>
      <c r="AJ172" s="256"/>
      <c r="AK172" s="1244">
        <v>0</v>
      </c>
      <c r="AL172" s="1713">
        <v>0</v>
      </c>
      <c r="AM172" s="256"/>
      <c r="AN172" s="1244">
        <v>0</v>
      </c>
      <c r="AO172" s="1713">
        <v>0</v>
      </c>
      <c r="AP172" s="256"/>
      <c r="AQ172" s="1244">
        <v>0</v>
      </c>
      <c r="AR172" s="1713">
        <v>0</v>
      </c>
      <c r="AS172" s="256"/>
      <c r="AT172" s="1244">
        <v>0</v>
      </c>
      <c r="AU172" s="1244">
        <v>0</v>
      </c>
      <c r="AV172" s="256"/>
      <c r="AW172" s="1244">
        <v>0</v>
      </c>
      <c r="AX172" s="1244">
        <v>0</v>
      </c>
      <c r="AY172" s="256"/>
      <c r="AZ172" s="1244">
        <v>0</v>
      </c>
      <c r="BA172" s="1244">
        <v>0</v>
      </c>
      <c r="BB172" s="256"/>
      <c r="BC172" s="1244">
        <v>0</v>
      </c>
      <c r="BD172" s="1244">
        <v>0</v>
      </c>
      <c r="BE172" s="256"/>
      <c r="BF172" s="1244">
        <v>0</v>
      </c>
      <c r="BG172" s="1244">
        <v>0</v>
      </c>
      <c r="BH172" s="256"/>
      <c r="BI172" s="1244">
        <v>0</v>
      </c>
      <c r="BJ172" s="1244">
        <v>0</v>
      </c>
      <c r="BK172" s="256"/>
      <c r="BL172" s="1244">
        <v>0</v>
      </c>
      <c r="BM172" s="1244">
        <v>0</v>
      </c>
      <c r="BN172" s="256"/>
      <c r="BO172" s="1244">
        <v>0</v>
      </c>
      <c r="BP172" s="1244">
        <v>0</v>
      </c>
      <c r="BQ172" s="256"/>
      <c r="BR172" s="1244">
        <v>0</v>
      </c>
      <c r="BS172" s="1244">
        <v>0</v>
      </c>
      <c r="BT172" s="256"/>
      <c r="BU172" s="1244">
        <v>0</v>
      </c>
      <c r="BV172" s="1244">
        <v>0</v>
      </c>
      <c r="BW172" s="256"/>
      <c r="BX172" s="1244">
        <v>0</v>
      </c>
      <c r="BY172" s="1244">
        <v>0</v>
      </c>
      <c r="BZ172" s="256"/>
      <c r="CA172" s="1244">
        <v>0</v>
      </c>
      <c r="CB172" s="1244">
        <v>0</v>
      </c>
      <c r="CC172" s="256"/>
      <c r="CD172" s="1244">
        <v>0</v>
      </c>
      <c r="CE172" s="1244">
        <v>0</v>
      </c>
      <c r="CF172" s="256"/>
      <c r="CG172" s="1244">
        <v>0</v>
      </c>
      <c r="CH172" s="1244">
        <v>0</v>
      </c>
      <c r="CI172" s="1684">
        <f t="shared" si="17"/>
        <v>0</v>
      </c>
      <c r="CJ172" s="1244">
        <v>0</v>
      </c>
      <c r="CK172" s="1244">
        <v>0</v>
      </c>
      <c r="CL172" s="256"/>
      <c r="CM172" s="1244">
        <v>0</v>
      </c>
      <c r="CN172" s="1244">
        <v>0</v>
      </c>
      <c r="CO172" s="256"/>
      <c r="CP172" s="1244">
        <v>0</v>
      </c>
      <c r="CQ172" s="1244">
        <v>0</v>
      </c>
      <c r="CR172" s="256"/>
      <c r="CS172" s="1244">
        <v>0</v>
      </c>
      <c r="CT172" s="1244">
        <v>0</v>
      </c>
      <c r="CU172" s="256"/>
      <c r="CV172" s="1244">
        <v>0</v>
      </c>
      <c r="CW172" s="1244">
        <v>0</v>
      </c>
      <c r="CX172" s="256"/>
      <c r="CY172" s="1244"/>
      <c r="CZ172" s="1244"/>
    </row>
    <row r="173" spans="1:104">
      <c r="A173" s="260">
        <f t="shared" si="20"/>
        <v>166</v>
      </c>
      <c r="B173" s="495"/>
      <c r="C173" s="275" t="s">
        <v>138</v>
      </c>
      <c r="D173" s="266"/>
      <c r="E173" s="265"/>
      <c r="F173" s="264"/>
      <c r="G173" s="744">
        <f>SUM(G165:G172)</f>
        <v>344658.52</v>
      </c>
      <c r="H173" s="29"/>
      <c r="I173" s="1229"/>
      <c r="J173" s="29"/>
      <c r="K173" s="48">
        <f>SUM(K165:K172)</f>
        <v>338723.63113306742</v>
      </c>
      <c r="M173" s="1630" t="s">
        <v>1528</v>
      </c>
      <c r="N173" s="1614">
        <f>SUM(N165:N172)</f>
        <v>190405.29673149681</v>
      </c>
      <c r="O173" s="1614">
        <v>187126.47648315493</v>
      </c>
      <c r="Q173" s="48">
        <v>346253.73630432092</v>
      </c>
      <c r="R173" s="256"/>
      <c r="S173" s="48">
        <v>346253.73630432092</v>
      </c>
      <c r="T173" s="1712">
        <v>191286.27718592293</v>
      </c>
      <c r="U173" s="256"/>
      <c r="V173" s="48">
        <v>346253.73630432092</v>
      </c>
      <c r="W173" s="1712">
        <v>191286.27718592293</v>
      </c>
      <c r="X173" s="256"/>
      <c r="Y173" s="48">
        <v>346216.79630432086</v>
      </c>
      <c r="Z173" s="1712">
        <v>191265.88754290357</v>
      </c>
      <c r="AA173" s="256"/>
      <c r="AB173" s="48">
        <v>346216.79630432086</v>
      </c>
      <c r="AC173" s="1712">
        <v>191265.88754290357</v>
      </c>
      <c r="AD173" s="256"/>
      <c r="AE173" s="48">
        <v>346216.79630432086</v>
      </c>
      <c r="AF173" s="1712">
        <v>191265.88754290357</v>
      </c>
      <c r="AG173" s="256"/>
      <c r="AH173" s="48">
        <v>346216.79630432086</v>
      </c>
      <c r="AI173" s="1712">
        <v>191265.88754290357</v>
      </c>
      <c r="AJ173" s="256"/>
      <c r="AK173" s="48">
        <v>346216.79630432086</v>
      </c>
      <c r="AL173" s="1712">
        <v>191265.88754290357</v>
      </c>
      <c r="AM173" s="256"/>
      <c r="AN173" s="48">
        <v>346192.93416446773</v>
      </c>
      <c r="AO173" s="1712">
        <v>191252.73131420097</v>
      </c>
      <c r="AP173" s="256"/>
      <c r="AQ173" s="48">
        <v>346192.93416446773</v>
      </c>
      <c r="AR173" s="1712">
        <v>191252.73131420097</v>
      </c>
      <c r="AS173" s="256"/>
      <c r="AT173" s="48">
        <v>346192.93416446773</v>
      </c>
      <c r="AU173" s="48">
        <v>191252.73131420097</v>
      </c>
      <c r="AV173" s="256"/>
      <c r="AW173" s="48">
        <v>346192.93416446773</v>
      </c>
      <c r="AX173" s="48">
        <v>191252.73131420097</v>
      </c>
      <c r="AY173" s="256"/>
      <c r="AZ173" s="48">
        <v>346192.93416446773</v>
      </c>
      <c r="BA173" s="48">
        <v>191252.73131420097</v>
      </c>
      <c r="BB173" s="256"/>
      <c r="BC173" s="48">
        <v>346192.93416446773</v>
      </c>
      <c r="BD173" s="48">
        <v>191252.73131420097</v>
      </c>
      <c r="BE173" s="256"/>
      <c r="BF173" s="48">
        <v>346192.93416446773</v>
      </c>
      <c r="BG173" s="48">
        <v>191252.73131420097</v>
      </c>
      <c r="BH173" s="256"/>
      <c r="BI173" s="48">
        <v>346192.93416446773</v>
      </c>
      <c r="BJ173" s="48">
        <v>191252.73131420097</v>
      </c>
      <c r="BK173" s="256"/>
      <c r="BL173" s="48">
        <v>346192.93416446773</v>
      </c>
      <c r="BM173" s="48">
        <v>191252.73131420097</v>
      </c>
      <c r="BN173" s="256"/>
      <c r="BO173" s="48">
        <v>346192.93416446773</v>
      </c>
      <c r="BP173" s="48">
        <v>191252.73131420097</v>
      </c>
      <c r="BQ173" s="256"/>
      <c r="BR173" s="48">
        <v>346192.93416446773</v>
      </c>
      <c r="BS173" s="48">
        <v>191252.73131420097</v>
      </c>
      <c r="BT173" s="256"/>
      <c r="BU173" s="48">
        <v>346192.93416446773</v>
      </c>
      <c r="BV173" s="48">
        <v>191252.73131420097</v>
      </c>
      <c r="BW173" s="256"/>
      <c r="BX173" s="48">
        <v>346192.93416446773</v>
      </c>
      <c r="BY173" s="48">
        <v>191252.73131420097</v>
      </c>
      <c r="BZ173" s="256"/>
      <c r="CA173" s="48">
        <v>346179.74416446779</v>
      </c>
      <c r="CB173" s="48">
        <v>191245.45094422641</v>
      </c>
      <c r="CC173" s="256"/>
      <c r="CD173" s="48">
        <v>346179.74416446779</v>
      </c>
      <c r="CE173" s="48">
        <v>191245.45094422641</v>
      </c>
      <c r="CF173" s="256"/>
      <c r="CG173" s="48">
        <v>346179.74416446779</v>
      </c>
      <c r="CH173" s="48">
        <v>191245.45094422641</v>
      </c>
      <c r="CI173" s="1684">
        <f t="shared" si="17"/>
        <v>0</v>
      </c>
      <c r="CJ173" s="48">
        <v>346179.74416446779</v>
      </c>
      <c r="CK173" s="48">
        <v>191245.45094422641</v>
      </c>
      <c r="CL173" s="256"/>
      <c r="CM173" s="48">
        <v>346104.6385890675</v>
      </c>
      <c r="CN173" s="48">
        <v>191204.04199545272</v>
      </c>
      <c r="CO173" s="256"/>
      <c r="CP173" s="48">
        <v>346104.6385890675</v>
      </c>
      <c r="CQ173" s="48">
        <v>191204.04199545272</v>
      </c>
      <c r="CR173" s="256"/>
      <c r="CS173" s="48">
        <v>338723.63113306742</v>
      </c>
      <c r="CT173" s="48">
        <v>187126.47648315493</v>
      </c>
      <c r="CU173" s="256"/>
      <c r="CV173" s="48">
        <v>338723.63113306742</v>
      </c>
      <c r="CW173" s="48">
        <v>187126.47648315493</v>
      </c>
      <c r="CX173" s="256"/>
      <c r="CY173" s="48"/>
      <c r="CZ173" s="48"/>
    </row>
    <row r="174" spans="1:104">
      <c r="A174" s="260">
        <f t="shared" si="20"/>
        <v>167</v>
      </c>
      <c r="B174" s="495"/>
      <c r="D174" s="266"/>
      <c r="E174" s="265"/>
      <c r="F174" s="264"/>
      <c r="G174" s="744"/>
      <c r="H174" s="29"/>
      <c r="I174" s="24"/>
      <c r="J174" s="29"/>
      <c r="K174" s="36"/>
      <c r="M174" s="1624"/>
      <c r="N174" s="1633"/>
      <c r="O174" s="1633"/>
      <c r="Q174" s="36"/>
      <c r="R174" s="256"/>
      <c r="S174" s="36"/>
      <c r="T174" s="1711"/>
      <c r="U174" s="256"/>
      <c r="V174" s="36"/>
      <c r="W174" s="1711"/>
      <c r="X174" s="256"/>
      <c r="Y174" s="36"/>
      <c r="Z174" s="1711"/>
      <c r="AA174" s="256"/>
      <c r="AB174" s="36"/>
      <c r="AC174" s="1711"/>
      <c r="AD174" s="256"/>
      <c r="AE174" s="36"/>
      <c r="AF174" s="1711"/>
      <c r="AG174" s="256"/>
      <c r="AH174" s="36"/>
      <c r="AI174" s="1711"/>
      <c r="AJ174" s="256"/>
      <c r="AK174" s="36"/>
      <c r="AL174" s="1711"/>
      <c r="AM174" s="256"/>
      <c r="AN174" s="36"/>
      <c r="AO174" s="1711"/>
      <c r="AP174" s="256"/>
      <c r="AQ174" s="36"/>
      <c r="AR174" s="1711"/>
      <c r="AS174" s="256"/>
      <c r="AT174" s="36"/>
      <c r="AU174" s="36"/>
      <c r="AV174" s="256"/>
      <c r="AW174" s="36"/>
      <c r="AX174" s="36"/>
      <c r="AY174" s="256"/>
      <c r="AZ174" s="36"/>
      <c r="BA174" s="36"/>
      <c r="BB174" s="256"/>
      <c r="BC174" s="36"/>
      <c r="BD174" s="36"/>
      <c r="BE174" s="256"/>
      <c r="BF174" s="36"/>
      <c r="BG174" s="36"/>
      <c r="BH174" s="256"/>
      <c r="BI174" s="36"/>
      <c r="BJ174" s="36"/>
      <c r="BK174" s="256"/>
      <c r="BL174" s="36"/>
      <c r="BM174" s="36"/>
      <c r="BN174" s="256"/>
      <c r="BO174" s="36"/>
      <c r="BP174" s="36"/>
      <c r="BQ174" s="256"/>
      <c r="BR174" s="36"/>
      <c r="BS174" s="36"/>
      <c r="BT174" s="256"/>
      <c r="BU174" s="36"/>
      <c r="BV174" s="36"/>
      <c r="BW174" s="256"/>
      <c r="BX174" s="36"/>
      <c r="BY174" s="36"/>
      <c r="BZ174" s="256"/>
      <c r="CA174" s="36"/>
      <c r="CB174" s="36"/>
      <c r="CC174" s="256"/>
      <c r="CD174" s="36"/>
      <c r="CE174" s="36"/>
      <c r="CF174" s="256"/>
      <c r="CG174" s="36"/>
      <c r="CH174" s="36"/>
      <c r="CI174" s="1684">
        <f t="shared" si="17"/>
        <v>0</v>
      </c>
      <c r="CJ174" s="36"/>
      <c r="CK174" s="36"/>
      <c r="CL174" s="256"/>
      <c r="CM174" s="36"/>
      <c r="CN174" s="36"/>
      <c r="CO174" s="256"/>
      <c r="CP174" s="36"/>
      <c r="CQ174" s="36"/>
      <c r="CR174" s="256"/>
      <c r="CS174" s="36"/>
      <c r="CT174" s="36"/>
      <c r="CU174" s="256"/>
      <c r="CV174" s="36"/>
      <c r="CW174" s="36"/>
      <c r="CX174" s="256"/>
      <c r="CY174" s="36"/>
      <c r="CZ174" s="36"/>
    </row>
    <row r="175" spans="1:104" ht="13.5">
      <c r="A175" s="260">
        <f t="shared" si="20"/>
        <v>168</v>
      </c>
      <c r="B175" s="495"/>
      <c r="C175" s="295" t="s">
        <v>325</v>
      </c>
      <c r="D175" s="266"/>
      <c r="E175" s="265"/>
      <c r="F175" s="264"/>
      <c r="G175" s="744"/>
      <c r="H175" s="29"/>
      <c r="I175" s="265"/>
      <c r="J175" s="29"/>
      <c r="K175" s="36"/>
      <c r="M175" s="1624"/>
      <c r="N175" s="1633"/>
      <c r="O175" s="1633"/>
      <c r="Q175" s="36"/>
      <c r="R175" s="256"/>
      <c r="S175" s="36"/>
      <c r="T175" s="1711"/>
      <c r="U175" s="256"/>
      <c r="V175" s="36"/>
      <c r="W175" s="1711"/>
      <c r="X175" s="256"/>
      <c r="Y175" s="36"/>
      <c r="Z175" s="1711"/>
      <c r="AA175" s="256"/>
      <c r="AB175" s="36"/>
      <c r="AC175" s="1711"/>
      <c r="AD175" s="256"/>
      <c r="AE175" s="36"/>
      <c r="AF175" s="1711"/>
      <c r="AG175" s="256"/>
      <c r="AH175" s="36"/>
      <c r="AI175" s="1711"/>
      <c r="AJ175" s="256"/>
      <c r="AK175" s="36"/>
      <c r="AL175" s="1711"/>
      <c r="AM175" s="256"/>
      <c r="AN175" s="36"/>
      <c r="AO175" s="1711"/>
      <c r="AP175" s="256"/>
      <c r="AQ175" s="36"/>
      <c r="AR175" s="1711"/>
      <c r="AS175" s="256"/>
      <c r="AT175" s="36"/>
      <c r="AU175" s="36"/>
      <c r="AV175" s="256"/>
      <c r="AW175" s="36"/>
      <c r="AX175" s="36"/>
      <c r="AY175" s="256"/>
      <c r="AZ175" s="36"/>
      <c r="BA175" s="36"/>
      <c r="BB175" s="256"/>
      <c r="BC175" s="36"/>
      <c r="BD175" s="36"/>
      <c r="BE175" s="256"/>
      <c r="BF175" s="36"/>
      <c r="BG175" s="36"/>
      <c r="BH175" s="256"/>
      <c r="BI175" s="36"/>
      <c r="BJ175" s="36"/>
      <c r="BK175" s="256"/>
      <c r="BL175" s="36"/>
      <c r="BM175" s="36"/>
      <c r="BN175" s="256"/>
      <c r="BO175" s="36"/>
      <c r="BP175" s="36"/>
      <c r="BQ175" s="256"/>
      <c r="BR175" s="36"/>
      <c r="BS175" s="36"/>
      <c r="BT175" s="256"/>
      <c r="BU175" s="36"/>
      <c r="BV175" s="36"/>
      <c r="BW175" s="256"/>
      <c r="BX175" s="36"/>
      <c r="BY175" s="36"/>
      <c r="BZ175" s="256"/>
      <c r="CA175" s="36"/>
      <c r="CB175" s="36"/>
      <c r="CC175" s="256"/>
      <c r="CD175" s="36"/>
      <c r="CE175" s="36"/>
      <c r="CF175" s="256"/>
      <c r="CG175" s="36"/>
      <c r="CH175" s="36"/>
      <c r="CI175" s="1684">
        <f t="shared" si="17"/>
        <v>0</v>
      </c>
      <c r="CJ175" s="36"/>
      <c r="CK175" s="36"/>
      <c r="CL175" s="256"/>
      <c r="CM175" s="36"/>
      <c r="CN175" s="36"/>
      <c r="CO175" s="256"/>
      <c r="CP175" s="36"/>
      <c r="CQ175" s="36"/>
      <c r="CR175" s="256"/>
      <c r="CS175" s="36"/>
      <c r="CT175" s="36"/>
      <c r="CU175" s="256"/>
      <c r="CV175" s="36"/>
      <c r="CW175" s="36"/>
      <c r="CX175" s="256"/>
      <c r="CY175" s="36"/>
      <c r="CZ175" s="36"/>
    </row>
    <row r="176" spans="1:104">
      <c r="A176" s="260">
        <f t="shared" si="20"/>
        <v>169</v>
      </c>
      <c r="B176" s="495">
        <f>'Stmt H'!B86</f>
        <v>861</v>
      </c>
      <c r="C176" s="750" t="str">
        <f>'Stmt H'!D86</f>
        <v>Maintenance Supervision &amp; Engineering</v>
      </c>
      <c r="D176" s="266"/>
      <c r="E176" s="289" t="s">
        <v>276</v>
      </c>
      <c r="F176" s="264"/>
      <c r="G176" s="744">
        <f>'Stmt H'!$F86</f>
        <v>17231.27</v>
      </c>
      <c r="H176" s="29"/>
      <c r="I176" s="583" t="s">
        <v>276</v>
      </c>
      <c r="J176" s="29"/>
      <c r="K176" s="48">
        <f>'Stmt H'!$U86</f>
        <v>16567.326580000004</v>
      </c>
      <c r="M176" s="1624">
        <f t="shared" ref="M176:M182" si="25">IF(ISERROR(O176/K176),0,O176/K176)</f>
        <v>0.55248182696507231</v>
      </c>
      <c r="N176" s="1633">
        <f t="shared" ref="N176:N182" si="26">M176*G176</f>
        <v>9519.963530528441</v>
      </c>
      <c r="O176" s="1633">
        <v>9153.1468568454056</v>
      </c>
      <c r="Q176" s="48">
        <v>17529.897036999999</v>
      </c>
      <c r="R176" s="256"/>
      <c r="S176" s="48">
        <v>17529.897036999999</v>
      </c>
      <c r="T176" s="1712">
        <v>9684.949541511367</v>
      </c>
      <c r="U176" s="256"/>
      <c r="V176" s="48">
        <v>17529.897036999999</v>
      </c>
      <c r="W176" s="1712">
        <v>9684.949541511367</v>
      </c>
      <c r="X176" s="256"/>
      <c r="Y176" s="48">
        <v>17511.427037000001</v>
      </c>
      <c r="Z176" s="1712">
        <v>9674.7452021673216</v>
      </c>
      <c r="AA176" s="256"/>
      <c r="AB176" s="48">
        <v>17511.427037000001</v>
      </c>
      <c r="AC176" s="1712">
        <v>9674.7452021673216</v>
      </c>
      <c r="AD176" s="256"/>
      <c r="AE176" s="48">
        <v>17511.427037000001</v>
      </c>
      <c r="AF176" s="1712">
        <v>9674.7452021673216</v>
      </c>
      <c r="AG176" s="256"/>
      <c r="AH176" s="48">
        <v>17511.427037000001</v>
      </c>
      <c r="AI176" s="1712">
        <v>9674.7452021673216</v>
      </c>
      <c r="AJ176" s="256"/>
      <c r="AK176" s="48">
        <v>17511.427037000001</v>
      </c>
      <c r="AL176" s="1712">
        <v>9674.7452021673216</v>
      </c>
      <c r="AM176" s="256"/>
      <c r="AN176" s="48">
        <v>17511.427037000001</v>
      </c>
      <c r="AO176" s="1712">
        <v>9674.7452021673234</v>
      </c>
      <c r="AP176" s="256"/>
      <c r="AQ176" s="48">
        <v>17511.427037000001</v>
      </c>
      <c r="AR176" s="1712">
        <v>9674.7452021673234</v>
      </c>
      <c r="AS176" s="256"/>
      <c r="AT176" s="48">
        <v>17511.427037000001</v>
      </c>
      <c r="AU176" s="48">
        <v>9674.7452021673234</v>
      </c>
      <c r="AV176" s="256"/>
      <c r="AW176" s="48">
        <v>17511.427037000001</v>
      </c>
      <c r="AX176" s="48">
        <v>9674.7452021673234</v>
      </c>
      <c r="AY176" s="256"/>
      <c r="AZ176" s="48">
        <v>17511.427037000001</v>
      </c>
      <c r="BA176" s="48">
        <v>9674.7452021673234</v>
      </c>
      <c r="BB176" s="256"/>
      <c r="BC176" s="48">
        <v>17511.427037000001</v>
      </c>
      <c r="BD176" s="48">
        <v>9674.7452021673234</v>
      </c>
      <c r="BE176" s="256"/>
      <c r="BF176" s="48">
        <v>17511.427037000001</v>
      </c>
      <c r="BG176" s="48">
        <v>9674.7452021673234</v>
      </c>
      <c r="BH176" s="256"/>
      <c r="BI176" s="48">
        <v>17511.427037000001</v>
      </c>
      <c r="BJ176" s="48">
        <v>9674.7452021673234</v>
      </c>
      <c r="BK176" s="256"/>
      <c r="BL176" s="48">
        <v>17511.427037000001</v>
      </c>
      <c r="BM176" s="48">
        <v>9674.7452021673234</v>
      </c>
      <c r="BN176" s="256"/>
      <c r="BO176" s="48">
        <v>17511.427037000001</v>
      </c>
      <c r="BP176" s="48">
        <v>9674.7452021673234</v>
      </c>
      <c r="BQ176" s="256"/>
      <c r="BR176" s="48">
        <v>17511.427037000001</v>
      </c>
      <c r="BS176" s="48">
        <v>9674.7452021673234</v>
      </c>
      <c r="BT176" s="256"/>
      <c r="BU176" s="48">
        <v>17511.427037000001</v>
      </c>
      <c r="BV176" s="48">
        <v>9674.7452021673234</v>
      </c>
      <c r="BW176" s="256"/>
      <c r="BX176" s="48">
        <v>17511.427037000001</v>
      </c>
      <c r="BY176" s="48">
        <v>9674.7452021673234</v>
      </c>
      <c r="BZ176" s="256"/>
      <c r="CA176" s="48">
        <v>17504.837037000001</v>
      </c>
      <c r="CB176" s="48">
        <v>9671.1043469276246</v>
      </c>
      <c r="CC176" s="256"/>
      <c r="CD176" s="48">
        <v>17504.837037000001</v>
      </c>
      <c r="CE176" s="48">
        <v>9671.1043469276246</v>
      </c>
      <c r="CF176" s="256"/>
      <c r="CG176" s="48">
        <v>17504.837037000001</v>
      </c>
      <c r="CH176" s="48">
        <v>9671.1043469276246</v>
      </c>
      <c r="CI176" s="1684">
        <f t="shared" si="17"/>
        <v>0</v>
      </c>
      <c r="CJ176" s="48">
        <v>17504.837037000001</v>
      </c>
      <c r="CK176" s="48">
        <v>9671.1043469276246</v>
      </c>
      <c r="CL176" s="256"/>
      <c r="CM176" s="48">
        <v>17504.837037000001</v>
      </c>
      <c r="CN176" s="48">
        <v>9671.1043469276246</v>
      </c>
      <c r="CO176" s="256"/>
      <c r="CP176" s="48">
        <v>17504.837037000001</v>
      </c>
      <c r="CQ176" s="48">
        <v>9671.1043469276246</v>
      </c>
      <c r="CR176" s="256"/>
      <c r="CS176" s="48">
        <v>16567.326580000004</v>
      </c>
      <c r="CT176" s="48">
        <v>9153.1468568454056</v>
      </c>
      <c r="CU176" s="256"/>
      <c r="CV176" s="48">
        <v>16567.326580000004</v>
      </c>
      <c r="CW176" s="48">
        <v>9153.1468568454056</v>
      </c>
      <c r="CX176" s="256"/>
      <c r="CY176" s="48"/>
      <c r="CZ176" s="48"/>
    </row>
    <row r="177" spans="1:104">
      <c r="A177" s="260">
        <f t="shared" si="20"/>
        <v>170</v>
      </c>
      <c r="B177" s="495">
        <f>'Stmt H'!B87</f>
        <v>862</v>
      </c>
      <c r="C177" s="750" t="str">
        <f>'Stmt H'!D87</f>
        <v>Maintenance of Structures &amp; Improvements</v>
      </c>
      <c r="D177" s="266"/>
      <c r="E177" s="289" t="s">
        <v>276</v>
      </c>
      <c r="F177" s="264"/>
      <c r="G177" s="1242">
        <f>'Stmt H'!$F87</f>
        <v>0</v>
      </c>
      <c r="H177" s="29"/>
      <c r="I177" s="635" t="s">
        <v>276</v>
      </c>
      <c r="J177" s="29"/>
      <c r="K177" s="36">
        <f>'Stmt H'!$U87</f>
        <v>0</v>
      </c>
      <c r="M177" s="1624">
        <f t="shared" si="25"/>
        <v>0</v>
      </c>
      <c r="N177" s="1634">
        <f t="shared" si="26"/>
        <v>0</v>
      </c>
      <c r="O177" s="1634">
        <v>0</v>
      </c>
      <c r="Q177" s="36">
        <v>0</v>
      </c>
      <c r="R177" s="256"/>
      <c r="S177" s="36">
        <v>0</v>
      </c>
      <c r="T177" s="1711">
        <v>0</v>
      </c>
      <c r="U177" s="256"/>
      <c r="V177" s="36">
        <v>0</v>
      </c>
      <c r="W177" s="1711">
        <v>0</v>
      </c>
      <c r="X177" s="256"/>
      <c r="Y177" s="36">
        <v>0</v>
      </c>
      <c r="Z177" s="1711">
        <v>0</v>
      </c>
      <c r="AA177" s="256"/>
      <c r="AB177" s="36">
        <v>0</v>
      </c>
      <c r="AC177" s="1711">
        <v>0</v>
      </c>
      <c r="AD177" s="256"/>
      <c r="AE177" s="36">
        <v>0</v>
      </c>
      <c r="AF177" s="1711">
        <v>0</v>
      </c>
      <c r="AG177" s="256"/>
      <c r="AH177" s="36">
        <v>0</v>
      </c>
      <c r="AI177" s="1711">
        <v>0</v>
      </c>
      <c r="AJ177" s="256"/>
      <c r="AK177" s="36">
        <v>0</v>
      </c>
      <c r="AL177" s="1711">
        <v>0</v>
      </c>
      <c r="AM177" s="256"/>
      <c r="AN177" s="36">
        <v>0</v>
      </c>
      <c r="AO177" s="1711">
        <v>0</v>
      </c>
      <c r="AP177" s="256"/>
      <c r="AQ177" s="36">
        <v>0</v>
      </c>
      <c r="AR177" s="1711">
        <v>0</v>
      </c>
      <c r="AS177" s="256"/>
      <c r="AT177" s="36">
        <v>0</v>
      </c>
      <c r="AU177" s="36">
        <v>0</v>
      </c>
      <c r="AV177" s="256"/>
      <c r="AW177" s="36">
        <v>0</v>
      </c>
      <c r="AX177" s="36">
        <v>0</v>
      </c>
      <c r="AY177" s="256"/>
      <c r="AZ177" s="36">
        <v>0</v>
      </c>
      <c r="BA177" s="36">
        <v>0</v>
      </c>
      <c r="BB177" s="256"/>
      <c r="BC177" s="36">
        <v>0</v>
      </c>
      <c r="BD177" s="36">
        <v>0</v>
      </c>
      <c r="BE177" s="256"/>
      <c r="BF177" s="36">
        <v>0</v>
      </c>
      <c r="BG177" s="36">
        <v>0</v>
      </c>
      <c r="BH177" s="256"/>
      <c r="BI177" s="36">
        <v>0</v>
      </c>
      <c r="BJ177" s="36">
        <v>0</v>
      </c>
      <c r="BK177" s="256"/>
      <c r="BL177" s="36">
        <v>0</v>
      </c>
      <c r="BM177" s="36">
        <v>0</v>
      </c>
      <c r="BN177" s="256"/>
      <c r="BO177" s="36">
        <v>0</v>
      </c>
      <c r="BP177" s="36">
        <v>0</v>
      </c>
      <c r="BQ177" s="256"/>
      <c r="BR177" s="36">
        <v>0</v>
      </c>
      <c r="BS177" s="36">
        <v>0</v>
      </c>
      <c r="BT177" s="256"/>
      <c r="BU177" s="36">
        <v>0</v>
      </c>
      <c r="BV177" s="36">
        <v>0</v>
      </c>
      <c r="BW177" s="256"/>
      <c r="BX177" s="36">
        <v>0</v>
      </c>
      <c r="BY177" s="36">
        <v>0</v>
      </c>
      <c r="BZ177" s="256"/>
      <c r="CA177" s="36">
        <v>0</v>
      </c>
      <c r="CB177" s="36">
        <v>0</v>
      </c>
      <c r="CC177" s="256"/>
      <c r="CD177" s="36">
        <v>0</v>
      </c>
      <c r="CE177" s="36">
        <v>0</v>
      </c>
      <c r="CF177" s="256"/>
      <c r="CG177" s="36">
        <v>0</v>
      </c>
      <c r="CH177" s="36">
        <v>0</v>
      </c>
      <c r="CI177" s="1684">
        <f t="shared" si="17"/>
        <v>0</v>
      </c>
      <c r="CJ177" s="36">
        <v>0</v>
      </c>
      <c r="CK177" s="36">
        <v>0</v>
      </c>
      <c r="CL177" s="256"/>
      <c r="CM177" s="36">
        <v>0</v>
      </c>
      <c r="CN177" s="36">
        <v>0</v>
      </c>
      <c r="CO177" s="256"/>
      <c r="CP177" s="36">
        <v>0</v>
      </c>
      <c r="CQ177" s="36">
        <v>0</v>
      </c>
      <c r="CR177" s="256"/>
      <c r="CS177" s="36">
        <v>0</v>
      </c>
      <c r="CT177" s="36">
        <v>0</v>
      </c>
      <c r="CU177" s="256"/>
      <c r="CV177" s="36">
        <v>0</v>
      </c>
      <c r="CW177" s="36">
        <v>0</v>
      </c>
      <c r="CX177" s="256"/>
      <c r="CY177" s="36"/>
      <c r="CZ177" s="36"/>
    </row>
    <row r="178" spans="1:104">
      <c r="A178" s="260">
        <f t="shared" si="20"/>
        <v>171</v>
      </c>
      <c r="B178" s="495">
        <f>'Stmt H'!B88</f>
        <v>863</v>
      </c>
      <c r="C178" s="750" t="str">
        <f>'Stmt H'!D88</f>
        <v>Maintenance of Mains</v>
      </c>
      <c r="D178" s="266"/>
      <c r="E178" s="289" t="s">
        <v>276</v>
      </c>
      <c r="F178" s="264"/>
      <c r="G178" s="1242">
        <f>'Stmt H'!$F88</f>
        <v>3181.62</v>
      </c>
      <c r="H178" s="29"/>
      <c r="I178" s="635" t="s">
        <v>276</v>
      </c>
      <c r="J178" s="29"/>
      <c r="K178" s="36">
        <f>'Stmt H'!$U88</f>
        <v>3264.8465267218544</v>
      </c>
      <c r="M178" s="1624">
        <f t="shared" si="25"/>
        <v>0.55248182696507242</v>
      </c>
      <c r="N178" s="1634">
        <f t="shared" si="26"/>
        <v>1757.7872303086137</v>
      </c>
      <c r="O178" s="1634">
        <v>1803.7683738438611</v>
      </c>
      <c r="Q178" s="36">
        <v>3357.3704573723035</v>
      </c>
      <c r="R178" s="256"/>
      <c r="S178" s="36">
        <v>3357.3704573723035</v>
      </c>
      <c r="T178" s="1711">
        <v>1854.886164087611</v>
      </c>
      <c r="U178" s="256"/>
      <c r="V178" s="36">
        <v>3357.3704573723035</v>
      </c>
      <c r="W178" s="1711">
        <v>1854.886164087611</v>
      </c>
      <c r="X178" s="256"/>
      <c r="Y178" s="36">
        <v>3350.6204573723035</v>
      </c>
      <c r="Z178" s="1711">
        <v>1851.1569117555964</v>
      </c>
      <c r="AA178" s="256"/>
      <c r="AB178" s="36">
        <v>3350.6204573723035</v>
      </c>
      <c r="AC178" s="1711">
        <v>1851.1569117555964</v>
      </c>
      <c r="AD178" s="256"/>
      <c r="AE178" s="36">
        <v>3350.6204573723035</v>
      </c>
      <c r="AF178" s="1711">
        <v>1851.1569117555964</v>
      </c>
      <c r="AG178" s="256"/>
      <c r="AH178" s="36">
        <v>3350.6204573723035</v>
      </c>
      <c r="AI178" s="1711">
        <v>1851.1569117555964</v>
      </c>
      <c r="AJ178" s="256"/>
      <c r="AK178" s="36">
        <v>3350.6204573723035</v>
      </c>
      <c r="AL178" s="1711">
        <v>1851.1569117555964</v>
      </c>
      <c r="AM178" s="256"/>
      <c r="AN178" s="36">
        <v>3330.5998689774747</v>
      </c>
      <c r="AO178" s="1711">
        <v>1840.0959005023055</v>
      </c>
      <c r="AP178" s="256"/>
      <c r="AQ178" s="36">
        <v>3330.5998689774747</v>
      </c>
      <c r="AR178" s="1711">
        <v>1840.0959005023055</v>
      </c>
      <c r="AS178" s="256"/>
      <c r="AT178" s="36">
        <v>3330.5998689774747</v>
      </c>
      <c r="AU178" s="36">
        <v>1840.0959005023055</v>
      </c>
      <c r="AV178" s="256"/>
      <c r="AW178" s="36">
        <v>3330.5998689774747</v>
      </c>
      <c r="AX178" s="36">
        <v>1840.0959005023055</v>
      </c>
      <c r="AY178" s="256"/>
      <c r="AZ178" s="36">
        <v>3330.5998689774747</v>
      </c>
      <c r="BA178" s="36">
        <v>1840.0959005023055</v>
      </c>
      <c r="BB178" s="256"/>
      <c r="BC178" s="36">
        <v>3330.5998689774747</v>
      </c>
      <c r="BD178" s="36">
        <v>1840.0959005023055</v>
      </c>
      <c r="BE178" s="256"/>
      <c r="BF178" s="36">
        <v>3330.5998689774747</v>
      </c>
      <c r="BG178" s="36">
        <v>1840.0959005023055</v>
      </c>
      <c r="BH178" s="256"/>
      <c r="BI178" s="36">
        <v>3330.5998689774747</v>
      </c>
      <c r="BJ178" s="36">
        <v>1840.0959005023055</v>
      </c>
      <c r="BK178" s="256"/>
      <c r="BL178" s="36">
        <v>3330.5998689774747</v>
      </c>
      <c r="BM178" s="36">
        <v>1840.0959005023055</v>
      </c>
      <c r="BN178" s="256"/>
      <c r="BO178" s="36">
        <v>3330.5998689774747</v>
      </c>
      <c r="BP178" s="36">
        <v>1840.0959005023055</v>
      </c>
      <c r="BQ178" s="256"/>
      <c r="BR178" s="36">
        <v>3330.5998689774747</v>
      </c>
      <c r="BS178" s="36">
        <v>1840.0959005023055</v>
      </c>
      <c r="BT178" s="256"/>
      <c r="BU178" s="36">
        <v>3330.5998689774747</v>
      </c>
      <c r="BV178" s="36">
        <v>1840.0959005023055</v>
      </c>
      <c r="BW178" s="256"/>
      <c r="BX178" s="36">
        <v>3330.5998689774747</v>
      </c>
      <c r="BY178" s="36">
        <v>1840.0959005023055</v>
      </c>
      <c r="BZ178" s="256"/>
      <c r="CA178" s="36">
        <v>3328.1998689774746</v>
      </c>
      <c r="CB178" s="36">
        <v>1838.7699441175896</v>
      </c>
      <c r="CC178" s="256"/>
      <c r="CD178" s="36">
        <v>3328.1998689774746</v>
      </c>
      <c r="CE178" s="36">
        <v>1838.7699441175896</v>
      </c>
      <c r="CF178" s="256"/>
      <c r="CG178" s="36">
        <v>3328.1998689774746</v>
      </c>
      <c r="CH178" s="36">
        <v>1838.7699441175896</v>
      </c>
      <c r="CI178" s="1684">
        <f t="shared" si="17"/>
        <v>0</v>
      </c>
      <c r="CJ178" s="36">
        <v>3328.1998689774746</v>
      </c>
      <c r="CK178" s="36">
        <v>1838.7699441175896</v>
      </c>
      <c r="CL178" s="256"/>
      <c r="CM178" s="36">
        <v>3265.1854947218544</v>
      </c>
      <c r="CN178" s="36">
        <v>1803.9556475037837</v>
      </c>
      <c r="CO178" s="256"/>
      <c r="CP178" s="36">
        <v>3265.1854947218544</v>
      </c>
      <c r="CQ178" s="36">
        <v>1803.9556475037837</v>
      </c>
      <c r="CR178" s="256"/>
      <c r="CS178" s="36">
        <v>3264.8465267218544</v>
      </c>
      <c r="CT178" s="36">
        <v>1803.7683738438611</v>
      </c>
      <c r="CU178" s="256"/>
      <c r="CV178" s="36">
        <v>3264.8465267218544</v>
      </c>
      <c r="CW178" s="36">
        <v>1803.7683738438611</v>
      </c>
      <c r="CX178" s="256"/>
      <c r="CY178" s="36"/>
      <c r="CZ178" s="36"/>
    </row>
    <row r="179" spans="1:104">
      <c r="A179" s="260">
        <f t="shared" si="20"/>
        <v>172</v>
      </c>
      <c r="B179" s="495">
        <f>'Stmt H'!B89</f>
        <v>864</v>
      </c>
      <c r="C179" s="750" t="str">
        <f>'Stmt H'!D89</f>
        <v>Maintenance of Compressor Station Equipment</v>
      </c>
      <c r="D179" s="266"/>
      <c r="E179" s="289" t="s">
        <v>276</v>
      </c>
      <c r="F179" s="264"/>
      <c r="G179" s="1242">
        <f>'Stmt H'!$F89</f>
        <v>0</v>
      </c>
      <c r="H179" s="29"/>
      <c r="I179" s="635" t="s">
        <v>276</v>
      </c>
      <c r="J179" s="29"/>
      <c r="K179" s="36">
        <f>'Stmt H'!$U89</f>
        <v>0</v>
      </c>
      <c r="M179" s="1624">
        <f t="shared" si="25"/>
        <v>0</v>
      </c>
      <c r="N179" s="1634">
        <f t="shared" si="26"/>
        <v>0</v>
      </c>
      <c r="O179" s="1634">
        <v>0</v>
      </c>
      <c r="Q179" s="36">
        <v>0</v>
      </c>
      <c r="R179" s="256"/>
      <c r="S179" s="36">
        <v>0</v>
      </c>
      <c r="T179" s="1711">
        <v>0</v>
      </c>
      <c r="U179" s="256"/>
      <c r="V179" s="36">
        <v>0</v>
      </c>
      <c r="W179" s="1711">
        <v>0</v>
      </c>
      <c r="X179" s="256"/>
      <c r="Y179" s="36">
        <v>0</v>
      </c>
      <c r="Z179" s="1711">
        <v>0</v>
      </c>
      <c r="AA179" s="256"/>
      <c r="AB179" s="36">
        <v>0</v>
      </c>
      <c r="AC179" s="1711">
        <v>0</v>
      </c>
      <c r="AD179" s="256"/>
      <c r="AE179" s="36">
        <v>0</v>
      </c>
      <c r="AF179" s="1711">
        <v>0</v>
      </c>
      <c r="AG179" s="256"/>
      <c r="AH179" s="36">
        <v>0</v>
      </c>
      <c r="AI179" s="1711">
        <v>0</v>
      </c>
      <c r="AJ179" s="256"/>
      <c r="AK179" s="36">
        <v>0</v>
      </c>
      <c r="AL179" s="1711">
        <v>0</v>
      </c>
      <c r="AM179" s="256"/>
      <c r="AN179" s="36">
        <v>0</v>
      </c>
      <c r="AO179" s="1711">
        <v>0</v>
      </c>
      <c r="AP179" s="256"/>
      <c r="AQ179" s="36">
        <v>0</v>
      </c>
      <c r="AR179" s="1711">
        <v>0</v>
      </c>
      <c r="AS179" s="256"/>
      <c r="AT179" s="36">
        <v>0</v>
      </c>
      <c r="AU179" s="36">
        <v>0</v>
      </c>
      <c r="AV179" s="256"/>
      <c r="AW179" s="36">
        <v>0</v>
      </c>
      <c r="AX179" s="36">
        <v>0</v>
      </c>
      <c r="AY179" s="256"/>
      <c r="AZ179" s="36">
        <v>0</v>
      </c>
      <c r="BA179" s="36">
        <v>0</v>
      </c>
      <c r="BB179" s="256"/>
      <c r="BC179" s="36">
        <v>0</v>
      </c>
      <c r="BD179" s="36">
        <v>0</v>
      </c>
      <c r="BE179" s="256"/>
      <c r="BF179" s="36">
        <v>0</v>
      </c>
      <c r="BG179" s="36">
        <v>0</v>
      </c>
      <c r="BH179" s="256"/>
      <c r="BI179" s="36">
        <v>0</v>
      </c>
      <c r="BJ179" s="36">
        <v>0</v>
      </c>
      <c r="BK179" s="256"/>
      <c r="BL179" s="36">
        <v>0</v>
      </c>
      <c r="BM179" s="36">
        <v>0</v>
      </c>
      <c r="BN179" s="256"/>
      <c r="BO179" s="36">
        <v>0</v>
      </c>
      <c r="BP179" s="36">
        <v>0</v>
      </c>
      <c r="BQ179" s="256"/>
      <c r="BR179" s="36">
        <v>0</v>
      </c>
      <c r="BS179" s="36">
        <v>0</v>
      </c>
      <c r="BT179" s="256"/>
      <c r="BU179" s="36">
        <v>0</v>
      </c>
      <c r="BV179" s="36">
        <v>0</v>
      </c>
      <c r="BW179" s="256"/>
      <c r="BX179" s="36">
        <v>0</v>
      </c>
      <c r="BY179" s="36">
        <v>0</v>
      </c>
      <c r="BZ179" s="256"/>
      <c r="CA179" s="36">
        <v>0</v>
      </c>
      <c r="CB179" s="36">
        <v>0</v>
      </c>
      <c r="CC179" s="256"/>
      <c r="CD179" s="36">
        <v>0</v>
      </c>
      <c r="CE179" s="36">
        <v>0</v>
      </c>
      <c r="CF179" s="256"/>
      <c r="CG179" s="36">
        <v>0</v>
      </c>
      <c r="CH179" s="36">
        <v>0</v>
      </c>
      <c r="CI179" s="1684">
        <f t="shared" si="17"/>
        <v>0</v>
      </c>
      <c r="CJ179" s="36">
        <v>0</v>
      </c>
      <c r="CK179" s="36">
        <v>0</v>
      </c>
      <c r="CL179" s="256"/>
      <c r="CM179" s="36">
        <v>0</v>
      </c>
      <c r="CN179" s="36">
        <v>0</v>
      </c>
      <c r="CO179" s="256"/>
      <c r="CP179" s="36">
        <v>0</v>
      </c>
      <c r="CQ179" s="36">
        <v>0</v>
      </c>
      <c r="CR179" s="256"/>
      <c r="CS179" s="36">
        <v>0</v>
      </c>
      <c r="CT179" s="36">
        <v>0</v>
      </c>
      <c r="CU179" s="256"/>
      <c r="CV179" s="36">
        <v>0</v>
      </c>
      <c r="CW179" s="36">
        <v>0</v>
      </c>
      <c r="CX179" s="256"/>
      <c r="CY179" s="36"/>
      <c r="CZ179" s="36"/>
    </row>
    <row r="180" spans="1:104">
      <c r="A180" s="260">
        <f t="shared" si="20"/>
        <v>173</v>
      </c>
      <c r="B180" s="495">
        <f>'Stmt H'!B90</f>
        <v>865</v>
      </c>
      <c r="C180" s="750" t="str">
        <f>'Stmt H'!D90</f>
        <v>Maintenance of Measuring &amp; Regulating Station Equipment</v>
      </c>
      <c r="D180" s="266"/>
      <c r="E180" s="289" t="s">
        <v>276</v>
      </c>
      <c r="F180" s="264"/>
      <c r="G180" s="1242">
        <f>'Stmt H'!$F90</f>
        <v>0</v>
      </c>
      <c r="H180" s="29"/>
      <c r="I180" s="635" t="s">
        <v>276</v>
      </c>
      <c r="J180" s="29"/>
      <c r="K180" s="36">
        <f>'Stmt H'!$U90</f>
        <v>0</v>
      </c>
      <c r="M180" s="1624">
        <f t="shared" si="25"/>
        <v>0</v>
      </c>
      <c r="N180" s="1634">
        <f t="shared" si="26"/>
        <v>0</v>
      </c>
      <c r="O180" s="1634">
        <v>0</v>
      </c>
      <c r="Q180" s="36">
        <v>0</v>
      </c>
      <c r="R180" s="256"/>
      <c r="S180" s="36">
        <v>0</v>
      </c>
      <c r="T180" s="1711">
        <v>0</v>
      </c>
      <c r="U180" s="256"/>
      <c r="V180" s="36">
        <v>0</v>
      </c>
      <c r="W180" s="1711">
        <v>0</v>
      </c>
      <c r="X180" s="256"/>
      <c r="Y180" s="36">
        <v>0</v>
      </c>
      <c r="Z180" s="1711">
        <v>0</v>
      </c>
      <c r="AA180" s="256"/>
      <c r="AB180" s="36">
        <v>0</v>
      </c>
      <c r="AC180" s="1711">
        <v>0</v>
      </c>
      <c r="AD180" s="256"/>
      <c r="AE180" s="36">
        <v>0</v>
      </c>
      <c r="AF180" s="1711">
        <v>0</v>
      </c>
      <c r="AG180" s="256"/>
      <c r="AH180" s="36">
        <v>0</v>
      </c>
      <c r="AI180" s="1711">
        <v>0</v>
      </c>
      <c r="AJ180" s="256"/>
      <c r="AK180" s="36">
        <v>0</v>
      </c>
      <c r="AL180" s="1711">
        <v>0</v>
      </c>
      <c r="AM180" s="256"/>
      <c r="AN180" s="36">
        <v>0</v>
      </c>
      <c r="AO180" s="1711">
        <v>0</v>
      </c>
      <c r="AP180" s="256"/>
      <c r="AQ180" s="36">
        <v>0</v>
      </c>
      <c r="AR180" s="1711">
        <v>0</v>
      </c>
      <c r="AS180" s="256"/>
      <c r="AT180" s="36">
        <v>0</v>
      </c>
      <c r="AU180" s="36">
        <v>0</v>
      </c>
      <c r="AV180" s="256"/>
      <c r="AW180" s="36">
        <v>0</v>
      </c>
      <c r="AX180" s="36">
        <v>0</v>
      </c>
      <c r="AY180" s="256"/>
      <c r="AZ180" s="36">
        <v>0</v>
      </c>
      <c r="BA180" s="36">
        <v>0</v>
      </c>
      <c r="BB180" s="256"/>
      <c r="BC180" s="36">
        <v>0</v>
      </c>
      <c r="BD180" s="36">
        <v>0</v>
      </c>
      <c r="BE180" s="256"/>
      <c r="BF180" s="36">
        <v>0</v>
      </c>
      <c r="BG180" s="36">
        <v>0</v>
      </c>
      <c r="BH180" s="256"/>
      <c r="BI180" s="36">
        <v>0</v>
      </c>
      <c r="BJ180" s="36">
        <v>0</v>
      </c>
      <c r="BK180" s="256"/>
      <c r="BL180" s="36">
        <v>0</v>
      </c>
      <c r="BM180" s="36">
        <v>0</v>
      </c>
      <c r="BN180" s="256"/>
      <c r="BO180" s="36">
        <v>0</v>
      </c>
      <c r="BP180" s="36">
        <v>0</v>
      </c>
      <c r="BQ180" s="256"/>
      <c r="BR180" s="36">
        <v>0</v>
      </c>
      <c r="BS180" s="36">
        <v>0</v>
      </c>
      <c r="BT180" s="256"/>
      <c r="BU180" s="36">
        <v>0</v>
      </c>
      <c r="BV180" s="36">
        <v>0</v>
      </c>
      <c r="BW180" s="256"/>
      <c r="BX180" s="36">
        <v>0</v>
      </c>
      <c r="BY180" s="36">
        <v>0</v>
      </c>
      <c r="BZ180" s="256"/>
      <c r="CA180" s="36">
        <v>0</v>
      </c>
      <c r="CB180" s="36">
        <v>0</v>
      </c>
      <c r="CC180" s="256"/>
      <c r="CD180" s="36">
        <v>0</v>
      </c>
      <c r="CE180" s="36">
        <v>0</v>
      </c>
      <c r="CF180" s="256"/>
      <c r="CG180" s="36">
        <v>0</v>
      </c>
      <c r="CH180" s="36">
        <v>0</v>
      </c>
      <c r="CI180" s="1684">
        <f t="shared" si="17"/>
        <v>0</v>
      </c>
      <c r="CJ180" s="36">
        <v>0</v>
      </c>
      <c r="CK180" s="36">
        <v>0</v>
      </c>
      <c r="CL180" s="256"/>
      <c r="CM180" s="36">
        <v>0</v>
      </c>
      <c r="CN180" s="36">
        <v>0</v>
      </c>
      <c r="CO180" s="256"/>
      <c r="CP180" s="36">
        <v>0</v>
      </c>
      <c r="CQ180" s="36">
        <v>0</v>
      </c>
      <c r="CR180" s="256"/>
      <c r="CS180" s="36">
        <v>0</v>
      </c>
      <c r="CT180" s="36">
        <v>0</v>
      </c>
      <c r="CU180" s="256"/>
      <c r="CV180" s="36">
        <v>0</v>
      </c>
      <c r="CW180" s="36">
        <v>0</v>
      </c>
      <c r="CX180" s="256"/>
      <c r="CY180" s="36"/>
      <c r="CZ180" s="36"/>
    </row>
    <row r="181" spans="1:104">
      <c r="A181" s="260">
        <f t="shared" si="20"/>
        <v>174</v>
      </c>
      <c r="B181" s="495">
        <f>'Stmt H'!B91</f>
        <v>866</v>
      </c>
      <c r="C181" s="750" t="str">
        <f>'Stmt H'!D91</f>
        <v>Maintenance of Communication Equipment</v>
      </c>
      <c r="D181" s="266"/>
      <c r="E181" s="289" t="s">
        <v>276</v>
      </c>
      <c r="F181" s="264"/>
      <c r="G181" s="1242">
        <f>'Stmt H'!$F91</f>
        <v>134.19999999999999</v>
      </c>
      <c r="H181" s="29"/>
      <c r="I181" s="635" t="s">
        <v>276</v>
      </c>
      <c r="J181" s="29"/>
      <c r="K181" s="36">
        <f>'Stmt H'!$U91</f>
        <v>138.95768981197887</v>
      </c>
      <c r="M181" s="1624">
        <f t="shared" si="25"/>
        <v>0.55248182696507231</v>
      </c>
      <c r="N181" s="1634">
        <f t="shared" si="26"/>
        <v>74.143061178712699</v>
      </c>
      <c r="O181" s="1634">
        <v>76.771598338167905</v>
      </c>
      <c r="Q181" s="36">
        <v>142.66026657424862</v>
      </c>
      <c r="R181" s="256"/>
      <c r="S181" s="36">
        <v>142.66026657424862</v>
      </c>
      <c r="T181" s="1711">
        <v>78.817204712265124</v>
      </c>
      <c r="U181" s="256"/>
      <c r="V181" s="36">
        <v>142.66026657424862</v>
      </c>
      <c r="W181" s="1711">
        <v>78.817204712265124</v>
      </c>
      <c r="X181" s="256"/>
      <c r="Y181" s="36">
        <v>142.66026657424862</v>
      </c>
      <c r="Z181" s="1711">
        <v>78.817204712265109</v>
      </c>
      <c r="AA181" s="256"/>
      <c r="AB181" s="36">
        <v>142.66026657424862</v>
      </c>
      <c r="AC181" s="1711">
        <v>78.817204712265109</v>
      </c>
      <c r="AD181" s="256"/>
      <c r="AE181" s="36">
        <v>142.66026657424862</v>
      </c>
      <c r="AF181" s="1711">
        <v>78.817204712265109</v>
      </c>
      <c r="AG181" s="256"/>
      <c r="AH181" s="36">
        <v>142.66026657424862</v>
      </c>
      <c r="AI181" s="1711">
        <v>78.817204712265109</v>
      </c>
      <c r="AJ181" s="256"/>
      <c r="AK181" s="36">
        <v>142.66026657424862</v>
      </c>
      <c r="AL181" s="1711">
        <v>78.817204712265109</v>
      </c>
      <c r="AM181" s="256"/>
      <c r="AN181" s="36">
        <v>141.78909831052613</v>
      </c>
      <c r="AO181" s="1711">
        <v>78.335900078329729</v>
      </c>
      <c r="AP181" s="256"/>
      <c r="AQ181" s="36">
        <v>141.78909831052613</v>
      </c>
      <c r="AR181" s="1711">
        <v>78.335900078329729</v>
      </c>
      <c r="AS181" s="256"/>
      <c r="AT181" s="36">
        <v>141.78909831052613</v>
      </c>
      <c r="AU181" s="36">
        <v>78.335900078329729</v>
      </c>
      <c r="AV181" s="256"/>
      <c r="AW181" s="36">
        <v>141.78909831052613</v>
      </c>
      <c r="AX181" s="36">
        <v>78.335900078329729</v>
      </c>
      <c r="AY181" s="256"/>
      <c r="AZ181" s="36">
        <v>141.78909831052613</v>
      </c>
      <c r="BA181" s="36">
        <v>78.335900078329729</v>
      </c>
      <c r="BB181" s="256"/>
      <c r="BC181" s="36">
        <v>141.78909831052613</v>
      </c>
      <c r="BD181" s="36">
        <v>78.335900078329729</v>
      </c>
      <c r="BE181" s="256"/>
      <c r="BF181" s="36">
        <v>141.78909831052613</v>
      </c>
      <c r="BG181" s="36">
        <v>78.335900078329729</v>
      </c>
      <c r="BH181" s="256"/>
      <c r="BI181" s="36">
        <v>141.78909831052613</v>
      </c>
      <c r="BJ181" s="36">
        <v>78.335900078329729</v>
      </c>
      <c r="BK181" s="256"/>
      <c r="BL181" s="36">
        <v>141.78909831052613</v>
      </c>
      <c r="BM181" s="36">
        <v>78.335900078329729</v>
      </c>
      <c r="BN181" s="256"/>
      <c r="BO181" s="36">
        <v>141.78909831052613</v>
      </c>
      <c r="BP181" s="36">
        <v>78.335900078329729</v>
      </c>
      <c r="BQ181" s="256"/>
      <c r="BR181" s="36">
        <v>141.78909831052613</v>
      </c>
      <c r="BS181" s="36">
        <v>78.335900078329729</v>
      </c>
      <c r="BT181" s="256"/>
      <c r="BU181" s="36">
        <v>141.78909831052613</v>
      </c>
      <c r="BV181" s="36">
        <v>78.335900078329729</v>
      </c>
      <c r="BW181" s="256"/>
      <c r="BX181" s="36">
        <v>141.78909831052613</v>
      </c>
      <c r="BY181" s="36">
        <v>78.335900078329729</v>
      </c>
      <c r="BZ181" s="256"/>
      <c r="CA181" s="36">
        <v>141.78909831052613</v>
      </c>
      <c r="CB181" s="36">
        <v>78.335900078329729</v>
      </c>
      <c r="CC181" s="256"/>
      <c r="CD181" s="36">
        <v>141.78909831052613</v>
      </c>
      <c r="CE181" s="36">
        <v>78.335900078329729</v>
      </c>
      <c r="CF181" s="256"/>
      <c r="CG181" s="36">
        <v>141.78909831052613</v>
      </c>
      <c r="CH181" s="36">
        <v>78.335900078329729</v>
      </c>
      <c r="CI181" s="1684">
        <f t="shared" si="17"/>
        <v>0</v>
      </c>
      <c r="CJ181" s="36">
        <v>141.78909831052613</v>
      </c>
      <c r="CK181" s="36">
        <v>78.335900078329729</v>
      </c>
      <c r="CL181" s="256"/>
      <c r="CM181" s="36">
        <v>139.04711481197887</v>
      </c>
      <c r="CN181" s="36">
        <v>76.821004025544269</v>
      </c>
      <c r="CO181" s="256"/>
      <c r="CP181" s="36">
        <v>139.04711481197887</v>
      </c>
      <c r="CQ181" s="36">
        <v>76.821004025544269</v>
      </c>
      <c r="CR181" s="256"/>
      <c r="CS181" s="36">
        <v>138.95768981197887</v>
      </c>
      <c r="CT181" s="36">
        <v>76.771598338167905</v>
      </c>
      <c r="CU181" s="256"/>
      <c r="CV181" s="36">
        <v>138.95768981197887</v>
      </c>
      <c r="CW181" s="36">
        <v>76.771598338167905</v>
      </c>
      <c r="CX181" s="256"/>
      <c r="CY181" s="36"/>
      <c r="CZ181" s="36"/>
    </row>
    <row r="182" spans="1:104">
      <c r="A182" s="260">
        <f t="shared" si="20"/>
        <v>175</v>
      </c>
      <c r="B182" s="495">
        <f>'Stmt H'!B92</f>
        <v>867</v>
      </c>
      <c r="C182" s="98" t="s">
        <v>374</v>
      </c>
      <c r="D182" s="266"/>
      <c r="E182" s="289" t="s">
        <v>276</v>
      </c>
      <c r="F182" s="264"/>
      <c r="G182" s="1243">
        <f>'Stmt H'!$F92</f>
        <v>0</v>
      </c>
      <c r="H182" s="29"/>
      <c r="I182" s="635" t="s">
        <v>276</v>
      </c>
      <c r="J182" s="29"/>
      <c r="K182" s="1244">
        <f>'Stmt H'!$U92</f>
        <v>0</v>
      </c>
      <c r="M182" s="1624">
        <f t="shared" si="25"/>
        <v>0</v>
      </c>
      <c r="N182" s="1635">
        <f t="shared" si="26"/>
        <v>0</v>
      </c>
      <c r="O182" s="1635">
        <v>0</v>
      </c>
      <c r="Q182" s="1244">
        <v>0</v>
      </c>
      <c r="R182" s="256"/>
      <c r="S182" s="1244">
        <v>0</v>
      </c>
      <c r="T182" s="1713">
        <v>0</v>
      </c>
      <c r="U182" s="256"/>
      <c r="V182" s="1244">
        <v>0</v>
      </c>
      <c r="W182" s="1713">
        <v>0</v>
      </c>
      <c r="X182" s="256"/>
      <c r="Y182" s="1244">
        <v>0</v>
      </c>
      <c r="Z182" s="1713">
        <v>0</v>
      </c>
      <c r="AA182" s="256"/>
      <c r="AB182" s="1244">
        <v>0</v>
      </c>
      <c r="AC182" s="1713">
        <v>0</v>
      </c>
      <c r="AD182" s="256"/>
      <c r="AE182" s="1244">
        <v>0</v>
      </c>
      <c r="AF182" s="1713">
        <v>0</v>
      </c>
      <c r="AG182" s="256"/>
      <c r="AH182" s="1244">
        <v>0</v>
      </c>
      <c r="AI182" s="1713">
        <v>0</v>
      </c>
      <c r="AJ182" s="256"/>
      <c r="AK182" s="1244">
        <v>0</v>
      </c>
      <c r="AL182" s="1713">
        <v>0</v>
      </c>
      <c r="AM182" s="256"/>
      <c r="AN182" s="1244">
        <v>0</v>
      </c>
      <c r="AO182" s="1713">
        <v>0</v>
      </c>
      <c r="AP182" s="256"/>
      <c r="AQ182" s="1244">
        <v>0</v>
      </c>
      <c r="AR182" s="1713">
        <v>0</v>
      </c>
      <c r="AS182" s="256"/>
      <c r="AT182" s="1244">
        <v>0</v>
      </c>
      <c r="AU182" s="1244">
        <v>0</v>
      </c>
      <c r="AV182" s="256"/>
      <c r="AW182" s="1244">
        <v>0</v>
      </c>
      <c r="AX182" s="1244">
        <v>0</v>
      </c>
      <c r="AY182" s="256"/>
      <c r="AZ182" s="1244">
        <v>0</v>
      </c>
      <c r="BA182" s="1244">
        <v>0</v>
      </c>
      <c r="BB182" s="256"/>
      <c r="BC182" s="1244">
        <v>0</v>
      </c>
      <c r="BD182" s="1244">
        <v>0</v>
      </c>
      <c r="BE182" s="256"/>
      <c r="BF182" s="1244">
        <v>0</v>
      </c>
      <c r="BG182" s="1244">
        <v>0</v>
      </c>
      <c r="BH182" s="256"/>
      <c r="BI182" s="1244">
        <v>0</v>
      </c>
      <c r="BJ182" s="1244">
        <v>0</v>
      </c>
      <c r="BK182" s="256"/>
      <c r="BL182" s="1244">
        <v>0</v>
      </c>
      <c r="BM182" s="1244">
        <v>0</v>
      </c>
      <c r="BN182" s="256"/>
      <c r="BO182" s="1244">
        <v>0</v>
      </c>
      <c r="BP182" s="1244">
        <v>0</v>
      </c>
      <c r="BQ182" s="256"/>
      <c r="BR182" s="1244">
        <v>0</v>
      </c>
      <c r="BS182" s="1244">
        <v>0</v>
      </c>
      <c r="BT182" s="256"/>
      <c r="BU182" s="1244">
        <v>0</v>
      </c>
      <c r="BV182" s="1244">
        <v>0</v>
      </c>
      <c r="BW182" s="256"/>
      <c r="BX182" s="1244">
        <v>0</v>
      </c>
      <c r="BY182" s="1244">
        <v>0</v>
      </c>
      <c r="BZ182" s="256"/>
      <c r="CA182" s="1244">
        <v>0</v>
      </c>
      <c r="CB182" s="1244">
        <v>0</v>
      </c>
      <c r="CC182" s="256"/>
      <c r="CD182" s="1244">
        <v>0</v>
      </c>
      <c r="CE182" s="1244">
        <v>0</v>
      </c>
      <c r="CF182" s="256"/>
      <c r="CG182" s="1244">
        <v>0</v>
      </c>
      <c r="CH182" s="1244">
        <v>0</v>
      </c>
      <c r="CI182" s="1684">
        <f t="shared" si="17"/>
        <v>0</v>
      </c>
      <c r="CJ182" s="1244">
        <v>0</v>
      </c>
      <c r="CK182" s="1244">
        <v>0</v>
      </c>
      <c r="CL182" s="256"/>
      <c r="CM182" s="1244">
        <v>0</v>
      </c>
      <c r="CN182" s="1244">
        <v>0</v>
      </c>
      <c r="CO182" s="256"/>
      <c r="CP182" s="1244">
        <v>0</v>
      </c>
      <c r="CQ182" s="1244">
        <v>0</v>
      </c>
      <c r="CR182" s="256"/>
      <c r="CS182" s="1244">
        <v>0</v>
      </c>
      <c r="CT182" s="1244">
        <v>0</v>
      </c>
      <c r="CU182" s="256"/>
      <c r="CV182" s="1244">
        <v>0</v>
      </c>
      <c r="CW182" s="1244">
        <v>0</v>
      </c>
      <c r="CX182" s="256"/>
      <c r="CY182" s="1244"/>
      <c r="CZ182" s="1244"/>
    </row>
    <row r="183" spans="1:104">
      <c r="A183" s="260">
        <f t="shared" si="20"/>
        <v>176</v>
      </c>
      <c r="B183" s="495"/>
      <c r="C183" s="275" t="s">
        <v>139</v>
      </c>
      <c r="D183" s="266"/>
      <c r="E183" s="265"/>
      <c r="F183" s="264"/>
      <c r="G183" s="744">
        <f>SUM(G176:G182)</f>
        <v>20547.09</v>
      </c>
      <c r="H183" s="29"/>
      <c r="I183" s="24"/>
      <c r="J183" s="29"/>
      <c r="K183" s="48">
        <f>SUM(K176:K182)</f>
        <v>19971.130796533835</v>
      </c>
      <c r="M183" s="1630" t="s">
        <v>1528</v>
      </c>
      <c r="N183" s="1614">
        <f>SUM(N176:N182)</f>
        <v>11351.893822015767</v>
      </c>
      <c r="O183" s="1614">
        <v>11033.686829027434</v>
      </c>
      <c r="Q183" s="48">
        <v>21029.927760946553</v>
      </c>
      <c r="R183" s="256"/>
      <c r="S183" s="48">
        <v>21029.927760946553</v>
      </c>
      <c r="T183" s="1712">
        <v>11618.652910311243</v>
      </c>
      <c r="U183" s="256"/>
      <c r="V183" s="48">
        <v>21029.927760946553</v>
      </c>
      <c r="W183" s="1712">
        <v>11618.652910311243</v>
      </c>
      <c r="X183" s="256"/>
      <c r="Y183" s="48">
        <v>21004.707760946556</v>
      </c>
      <c r="Z183" s="1712">
        <v>11604.719318635183</v>
      </c>
      <c r="AA183" s="256"/>
      <c r="AB183" s="48">
        <v>21004.707760946556</v>
      </c>
      <c r="AC183" s="1712">
        <v>11604.719318635183</v>
      </c>
      <c r="AD183" s="256"/>
      <c r="AE183" s="48">
        <v>21004.707760946556</v>
      </c>
      <c r="AF183" s="1712">
        <v>11604.719318635183</v>
      </c>
      <c r="AG183" s="256"/>
      <c r="AH183" s="48">
        <v>21004.707760946556</v>
      </c>
      <c r="AI183" s="1712">
        <v>11604.719318635183</v>
      </c>
      <c r="AJ183" s="256"/>
      <c r="AK183" s="48">
        <v>21004.707760946556</v>
      </c>
      <c r="AL183" s="1712">
        <v>11604.719318635183</v>
      </c>
      <c r="AM183" s="256"/>
      <c r="AN183" s="48">
        <v>20983.816004288001</v>
      </c>
      <c r="AO183" s="1712">
        <v>11593.177002747958</v>
      </c>
      <c r="AP183" s="256"/>
      <c r="AQ183" s="48">
        <v>20983.816004288001</v>
      </c>
      <c r="AR183" s="1712">
        <v>11593.177002747958</v>
      </c>
      <c r="AS183" s="256"/>
      <c r="AT183" s="48">
        <v>20983.816004288001</v>
      </c>
      <c r="AU183" s="48">
        <v>11593.177002747958</v>
      </c>
      <c r="AV183" s="256"/>
      <c r="AW183" s="48">
        <v>20983.816004288001</v>
      </c>
      <c r="AX183" s="48">
        <v>11593.177002747958</v>
      </c>
      <c r="AY183" s="256"/>
      <c r="AZ183" s="48">
        <v>20983.816004288001</v>
      </c>
      <c r="BA183" s="48">
        <v>11593.177002747958</v>
      </c>
      <c r="BB183" s="256"/>
      <c r="BC183" s="48">
        <v>20983.816004288001</v>
      </c>
      <c r="BD183" s="48">
        <v>11593.177002747958</v>
      </c>
      <c r="BE183" s="256"/>
      <c r="BF183" s="48">
        <v>20983.816004288001</v>
      </c>
      <c r="BG183" s="48">
        <v>11593.177002747958</v>
      </c>
      <c r="BH183" s="256"/>
      <c r="BI183" s="48">
        <v>20983.816004288001</v>
      </c>
      <c r="BJ183" s="48">
        <v>11593.177002747958</v>
      </c>
      <c r="BK183" s="256"/>
      <c r="BL183" s="48">
        <v>20983.816004288001</v>
      </c>
      <c r="BM183" s="48">
        <v>11593.177002747958</v>
      </c>
      <c r="BN183" s="256"/>
      <c r="BO183" s="48">
        <v>20983.816004288001</v>
      </c>
      <c r="BP183" s="48">
        <v>11593.177002747958</v>
      </c>
      <c r="BQ183" s="256"/>
      <c r="BR183" s="48">
        <v>20983.816004288001</v>
      </c>
      <c r="BS183" s="48">
        <v>11593.177002747958</v>
      </c>
      <c r="BT183" s="256"/>
      <c r="BU183" s="48">
        <v>20983.816004288001</v>
      </c>
      <c r="BV183" s="48">
        <v>11593.177002747958</v>
      </c>
      <c r="BW183" s="256"/>
      <c r="BX183" s="48">
        <v>20983.816004288001</v>
      </c>
      <c r="BY183" s="48">
        <v>11593.177002747958</v>
      </c>
      <c r="BZ183" s="256"/>
      <c r="CA183" s="48">
        <v>20974.826004287999</v>
      </c>
      <c r="CB183" s="48">
        <v>11588.210191123544</v>
      </c>
      <c r="CC183" s="256"/>
      <c r="CD183" s="48">
        <v>20974.826004287999</v>
      </c>
      <c r="CE183" s="48">
        <v>11588.210191123544</v>
      </c>
      <c r="CF183" s="256"/>
      <c r="CG183" s="48">
        <v>20974.826004287999</v>
      </c>
      <c r="CH183" s="48">
        <v>11588.210191123544</v>
      </c>
      <c r="CI183" s="1684">
        <f t="shared" si="17"/>
        <v>0</v>
      </c>
      <c r="CJ183" s="48">
        <v>20974.826004287999</v>
      </c>
      <c r="CK183" s="48">
        <v>11588.210191123544</v>
      </c>
      <c r="CL183" s="256"/>
      <c r="CM183" s="48">
        <v>20909.069646533837</v>
      </c>
      <c r="CN183" s="48">
        <v>11551.880998456953</v>
      </c>
      <c r="CO183" s="256"/>
      <c r="CP183" s="48">
        <v>20909.069646533837</v>
      </c>
      <c r="CQ183" s="48">
        <v>11551.880998456953</v>
      </c>
      <c r="CR183" s="256"/>
      <c r="CS183" s="48">
        <v>19971.130796533835</v>
      </c>
      <c r="CT183" s="48">
        <v>11033.686829027434</v>
      </c>
      <c r="CU183" s="256"/>
      <c r="CV183" s="48">
        <v>19971.130796533835</v>
      </c>
      <c r="CW183" s="48">
        <v>11033.686829027434</v>
      </c>
      <c r="CX183" s="256"/>
      <c r="CY183" s="48"/>
      <c r="CZ183" s="48"/>
    </row>
    <row r="184" spans="1:104">
      <c r="A184" s="260">
        <f t="shared" si="20"/>
        <v>177</v>
      </c>
      <c r="B184" s="495"/>
      <c r="D184" s="266"/>
      <c r="E184" s="265"/>
      <c r="F184" s="264"/>
      <c r="G184" s="744"/>
      <c r="H184" s="29"/>
      <c r="I184" s="24"/>
      <c r="J184" s="29"/>
      <c r="K184" s="36"/>
      <c r="M184" s="1624"/>
      <c r="N184" s="1614"/>
      <c r="O184" s="1614"/>
      <c r="Q184" s="36"/>
      <c r="R184" s="256"/>
      <c r="S184" s="36"/>
      <c r="T184" s="1711"/>
      <c r="U184" s="256"/>
      <c r="V184" s="36"/>
      <c r="W184" s="1711"/>
      <c r="X184" s="256"/>
      <c r="Y184" s="36"/>
      <c r="Z184" s="1711"/>
      <c r="AA184" s="256"/>
      <c r="AB184" s="36"/>
      <c r="AC184" s="1711"/>
      <c r="AD184" s="256"/>
      <c r="AE184" s="36"/>
      <c r="AF184" s="1711"/>
      <c r="AG184" s="256"/>
      <c r="AH184" s="36"/>
      <c r="AI184" s="1711"/>
      <c r="AJ184" s="256"/>
      <c r="AK184" s="36"/>
      <c r="AL184" s="1711"/>
      <c r="AM184" s="256"/>
      <c r="AN184" s="36"/>
      <c r="AO184" s="1711"/>
      <c r="AP184" s="256"/>
      <c r="AQ184" s="36"/>
      <c r="AR184" s="1711"/>
      <c r="AS184" s="256"/>
      <c r="AT184" s="36"/>
      <c r="AU184" s="36"/>
      <c r="AV184" s="256"/>
      <c r="AW184" s="36"/>
      <c r="AX184" s="36"/>
      <c r="AY184" s="256"/>
      <c r="AZ184" s="36"/>
      <c r="BA184" s="36"/>
      <c r="BB184" s="256"/>
      <c r="BC184" s="36"/>
      <c r="BD184" s="36"/>
      <c r="BE184" s="256"/>
      <c r="BF184" s="36"/>
      <c r="BG184" s="36"/>
      <c r="BH184" s="256"/>
      <c r="BI184" s="36"/>
      <c r="BJ184" s="36"/>
      <c r="BK184" s="256"/>
      <c r="BL184" s="36"/>
      <c r="BM184" s="36"/>
      <c r="BN184" s="256"/>
      <c r="BO184" s="36"/>
      <c r="BP184" s="36"/>
      <c r="BQ184" s="256"/>
      <c r="BR184" s="36"/>
      <c r="BS184" s="36"/>
      <c r="BT184" s="256"/>
      <c r="BU184" s="36"/>
      <c r="BV184" s="36"/>
      <c r="BW184" s="256"/>
      <c r="BX184" s="36"/>
      <c r="BY184" s="36"/>
      <c r="BZ184" s="256"/>
      <c r="CA184" s="36"/>
      <c r="CB184" s="36"/>
      <c r="CC184" s="256"/>
      <c r="CD184" s="36"/>
      <c r="CE184" s="36"/>
      <c r="CF184" s="256"/>
      <c r="CG184" s="36"/>
      <c r="CH184" s="36"/>
      <c r="CI184" s="1684">
        <f t="shared" si="17"/>
        <v>0</v>
      </c>
      <c r="CJ184" s="36"/>
      <c r="CK184" s="36"/>
      <c r="CL184" s="256"/>
      <c r="CM184" s="36"/>
      <c r="CN184" s="36"/>
      <c r="CO184" s="256"/>
      <c r="CP184" s="36"/>
      <c r="CQ184" s="36"/>
      <c r="CR184" s="256"/>
      <c r="CS184" s="36"/>
      <c r="CT184" s="36"/>
      <c r="CU184" s="256"/>
      <c r="CV184" s="36"/>
      <c r="CW184" s="36"/>
      <c r="CX184" s="256"/>
      <c r="CY184" s="36"/>
      <c r="CZ184" s="36"/>
    </row>
    <row r="185" spans="1:104">
      <c r="A185" s="260">
        <f t="shared" si="20"/>
        <v>178</v>
      </c>
      <c r="B185" s="495"/>
      <c r="C185" s="275" t="s">
        <v>29</v>
      </c>
      <c r="D185" s="266"/>
      <c r="E185" s="265"/>
      <c r="F185" s="264"/>
      <c r="G185" s="745">
        <f>+G173+G183</f>
        <v>365205.61000000004</v>
      </c>
      <c r="H185" s="29"/>
      <c r="I185" s="24"/>
      <c r="J185" s="29"/>
      <c r="K185" s="317">
        <f>+K173+K183</f>
        <v>358694.76192960126</v>
      </c>
      <c r="M185" s="1630" t="s">
        <v>1528</v>
      </c>
      <c r="N185" s="1111">
        <f>+N173+N183</f>
        <v>201757.19055351257</v>
      </c>
      <c r="O185" s="1111">
        <v>198160.16331218235</v>
      </c>
      <c r="Q185" s="317">
        <v>367283.66406526748</v>
      </c>
      <c r="R185" s="256"/>
      <c r="S185" s="317">
        <v>367283.66406526748</v>
      </c>
      <c r="T185" s="1714">
        <v>202904.93009623417</v>
      </c>
      <c r="U185" s="256"/>
      <c r="V185" s="317">
        <v>367283.66406526748</v>
      </c>
      <c r="W185" s="1714">
        <v>202904.93009623417</v>
      </c>
      <c r="X185" s="256"/>
      <c r="Y185" s="317">
        <v>367221.50406526739</v>
      </c>
      <c r="Z185" s="1714">
        <v>202870.60686153875</v>
      </c>
      <c r="AA185" s="256"/>
      <c r="AB185" s="317">
        <v>367221.50406526739</v>
      </c>
      <c r="AC185" s="1714">
        <v>202870.60686153875</v>
      </c>
      <c r="AD185" s="256"/>
      <c r="AE185" s="317">
        <v>367221.50406526739</v>
      </c>
      <c r="AF185" s="1714">
        <v>202870.60686153875</v>
      </c>
      <c r="AG185" s="256"/>
      <c r="AH185" s="317">
        <v>367221.50406526739</v>
      </c>
      <c r="AI185" s="1714">
        <v>202870.60686153875</v>
      </c>
      <c r="AJ185" s="256"/>
      <c r="AK185" s="317">
        <v>367221.50406526739</v>
      </c>
      <c r="AL185" s="1714">
        <v>202870.60686153875</v>
      </c>
      <c r="AM185" s="256"/>
      <c r="AN185" s="317">
        <v>367176.75016875571</v>
      </c>
      <c r="AO185" s="1714">
        <v>202845.90831694892</v>
      </c>
      <c r="AP185" s="256"/>
      <c r="AQ185" s="317">
        <v>367176.75016875571</v>
      </c>
      <c r="AR185" s="1714">
        <v>202845.90831694892</v>
      </c>
      <c r="AS185" s="256"/>
      <c r="AT185" s="317">
        <v>367176.75016875571</v>
      </c>
      <c r="AU185" s="317">
        <v>202845.90831694892</v>
      </c>
      <c r="AV185" s="256"/>
      <c r="AW185" s="317">
        <v>367176.75016875571</v>
      </c>
      <c r="AX185" s="317">
        <v>202845.90831694892</v>
      </c>
      <c r="AY185" s="256"/>
      <c r="AZ185" s="317">
        <v>367176.75016875571</v>
      </c>
      <c r="BA185" s="317">
        <v>202845.90831694892</v>
      </c>
      <c r="BB185" s="256"/>
      <c r="BC185" s="317">
        <v>367176.75016875571</v>
      </c>
      <c r="BD185" s="317">
        <v>202845.90831694892</v>
      </c>
      <c r="BE185" s="256"/>
      <c r="BF185" s="317">
        <v>367176.75016875571</v>
      </c>
      <c r="BG185" s="317">
        <v>202845.90831694892</v>
      </c>
      <c r="BH185" s="256"/>
      <c r="BI185" s="317">
        <v>367176.75016875571</v>
      </c>
      <c r="BJ185" s="317">
        <v>202845.90831694892</v>
      </c>
      <c r="BK185" s="256"/>
      <c r="BL185" s="317">
        <v>367176.75016875571</v>
      </c>
      <c r="BM185" s="317">
        <v>202845.90831694892</v>
      </c>
      <c r="BN185" s="256"/>
      <c r="BO185" s="317">
        <v>367176.75016875571</v>
      </c>
      <c r="BP185" s="317">
        <v>202845.90831694892</v>
      </c>
      <c r="BQ185" s="256"/>
      <c r="BR185" s="317">
        <v>367176.75016875571</v>
      </c>
      <c r="BS185" s="317">
        <v>202845.90831694892</v>
      </c>
      <c r="BT185" s="256"/>
      <c r="BU185" s="317">
        <v>367176.75016875571</v>
      </c>
      <c r="BV185" s="317">
        <v>202845.90831694892</v>
      </c>
      <c r="BW185" s="256"/>
      <c r="BX185" s="317">
        <v>367176.75016875571</v>
      </c>
      <c r="BY185" s="317">
        <v>202845.90831694892</v>
      </c>
      <c r="BZ185" s="256"/>
      <c r="CA185" s="317">
        <v>367154.57016875577</v>
      </c>
      <c r="CB185" s="317">
        <v>202833.66113534995</v>
      </c>
      <c r="CC185" s="256"/>
      <c r="CD185" s="317">
        <v>367154.57016875577</v>
      </c>
      <c r="CE185" s="317">
        <v>202833.66113534995</v>
      </c>
      <c r="CF185" s="256"/>
      <c r="CG185" s="317">
        <v>367154.57016875577</v>
      </c>
      <c r="CH185" s="317">
        <v>202833.66113534995</v>
      </c>
      <c r="CI185" s="1684">
        <f t="shared" si="17"/>
        <v>0</v>
      </c>
      <c r="CJ185" s="317">
        <v>367154.57016875577</v>
      </c>
      <c r="CK185" s="317">
        <v>202833.66113534995</v>
      </c>
      <c r="CL185" s="256"/>
      <c r="CM185" s="317">
        <v>367013.70823560131</v>
      </c>
      <c r="CN185" s="317">
        <v>202755.92299390968</v>
      </c>
      <c r="CO185" s="256"/>
      <c r="CP185" s="317">
        <v>367013.70823560131</v>
      </c>
      <c r="CQ185" s="317">
        <v>202755.92299390968</v>
      </c>
      <c r="CR185" s="256"/>
      <c r="CS185" s="317">
        <v>358694.76192960126</v>
      </c>
      <c r="CT185" s="317">
        <v>198160.16331218235</v>
      </c>
      <c r="CU185" s="256"/>
      <c r="CV185" s="317">
        <v>358694.76192960126</v>
      </c>
      <c r="CW185" s="317">
        <v>198160.16331218235</v>
      </c>
      <c r="CX185" s="256"/>
      <c r="CY185" s="317"/>
      <c r="CZ185" s="317"/>
    </row>
    <row r="186" spans="1:104">
      <c r="A186" s="260">
        <f t="shared" si="20"/>
        <v>179</v>
      </c>
      <c r="B186" s="495"/>
      <c r="C186" s="275"/>
      <c r="D186" s="266"/>
      <c r="E186" s="265"/>
      <c r="F186" s="264"/>
      <c r="G186" s="744"/>
      <c r="H186" s="29"/>
      <c r="I186" s="24"/>
      <c r="J186" s="29"/>
      <c r="K186" s="36"/>
      <c r="M186" s="1624"/>
      <c r="N186" s="1633"/>
      <c r="O186" s="1633"/>
      <c r="Q186" s="36"/>
      <c r="R186" s="256"/>
      <c r="S186" s="36"/>
      <c r="T186" s="1711"/>
      <c r="U186" s="256"/>
      <c r="V186" s="36"/>
      <c r="W186" s="1711"/>
      <c r="X186" s="256"/>
      <c r="Y186" s="36"/>
      <c r="Z186" s="1711"/>
      <c r="AA186" s="256"/>
      <c r="AB186" s="36"/>
      <c r="AC186" s="1711"/>
      <c r="AD186" s="256"/>
      <c r="AE186" s="36"/>
      <c r="AF186" s="1711"/>
      <c r="AG186" s="256"/>
      <c r="AH186" s="36"/>
      <c r="AI186" s="1711"/>
      <c r="AJ186" s="256"/>
      <c r="AK186" s="36"/>
      <c r="AL186" s="1711"/>
      <c r="AM186" s="256"/>
      <c r="AN186" s="36"/>
      <c r="AO186" s="1711"/>
      <c r="AP186" s="256"/>
      <c r="AQ186" s="36"/>
      <c r="AR186" s="1711"/>
      <c r="AS186" s="256"/>
      <c r="AT186" s="36"/>
      <c r="AU186" s="36"/>
      <c r="AV186" s="256"/>
      <c r="AW186" s="36"/>
      <c r="AX186" s="36"/>
      <c r="AY186" s="256"/>
      <c r="AZ186" s="36"/>
      <c r="BA186" s="36"/>
      <c r="BB186" s="256"/>
      <c r="BC186" s="36"/>
      <c r="BD186" s="36"/>
      <c r="BE186" s="256"/>
      <c r="BF186" s="36"/>
      <c r="BG186" s="36"/>
      <c r="BH186" s="256"/>
      <c r="BI186" s="36"/>
      <c r="BJ186" s="36"/>
      <c r="BK186" s="256"/>
      <c r="BL186" s="36"/>
      <c r="BM186" s="36"/>
      <c r="BN186" s="256"/>
      <c r="BO186" s="36"/>
      <c r="BP186" s="36"/>
      <c r="BQ186" s="256"/>
      <c r="BR186" s="36"/>
      <c r="BS186" s="36"/>
      <c r="BT186" s="256"/>
      <c r="BU186" s="36"/>
      <c r="BV186" s="36"/>
      <c r="BW186" s="256"/>
      <c r="BX186" s="36"/>
      <c r="BY186" s="36"/>
      <c r="BZ186" s="256"/>
      <c r="CA186" s="36"/>
      <c r="CB186" s="36"/>
      <c r="CC186" s="256"/>
      <c r="CD186" s="36"/>
      <c r="CE186" s="36"/>
      <c r="CF186" s="256"/>
      <c r="CG186" s="36"/>
      <c r="CH186" s="36"/>
      <c r="CI186" s="1684">
        <f t="shared" si="17"/>
        <v>0</v>
      </c>
      <c r="CJ186" s="36"/>
      <c r="CK186" s="36"/>
      <c r="CL186" s="256"/>
      <c r="CM186" s="36"/>
      <c r="CN186" s="36"/>
      <c r="CO186" s="256"/>
      <c r="CP186" s="36"/>
      <c r="CQ186" s="36"/>
      <c r="CR186" s="256"/>
      <c r="CS186" s="36"/>
      <c r="CT186" s="36"/>
      <c r="CU186" s="256"/>
      <c r="CV186" s="36"/>
      <c r="CW186" s="36"/>
      <c r="CX186" s="256"/>
      <c r="CY186" s="36"/>
      <c r="CZ186" s="36"/>
    </row>
    <row r="187" spans="1:104">
      <c r="A187" s="260">
        <f t="shared" si="20"/>
        <v>180</v>
      </c>
      <c r="B187" s="495"/>
      <c r="C187" s="275" t="s">
        <v>130</v>
      </c>
      <c r="D187" s="266"/>
      <c r="E187" s="265"/>
      <c r="F187" s="264"/>
      <c r="G187" s="361"/>
      <c r="H187" s="29"/>
      <c r="I187" s="24"/>
      <c r="J187" s="29"/>
      <c r="K187" s="54"/>
      <c r="M187" s="1624"/>
      <c r="N187" s="1113"/>
      <c r="O187" s="1113"/>
      <c r="Q187" s="54"/>
      <c r="R187" s="256"/>
      <c r="S187" s="54"/>
      <c r="T187" s="1694"/>
      <c r="U187" s="256"/>
      <c r="V187" s="54"/>
      <c r="W187" s="1694"/>
      <c r="X187" s="256"/>
      <c r="Y187" s="54"/>
      <c r="Z187" s="1694"/>
      <c r="AA187" s="256"/>
      <c r="AB187" s="54"/>
      <c r="AC187" s="1694"/>
      <c r="AD187" s="256"/>
      <c r="AE187" s="54"/>
      <c r="AF187" s="1694"/>
      <c r="AG187" s="256"/>
      <c r="AH187" s="54"/>
      <c r="AI187" s="1694"/>
      <c r="AJ187" s="256"/>
      <c r="AK187" s="54"/>
      <c r="AL187" s="1694"/>
      <c r="AM187" s="256"/>
      <c r="AN187" s="54"/>
      <c r="AO187" s="1694"/>
      <c r="AP187" s="256"/>
      <c r="AQ187" s="54"/>
      <c r="AR187" s="1694"/>
      <c r="AS187" s="256"/>
      <c r="AT187" s="54"/>
      <c r="AU187" s="54"/>
      <c r="AV187" s="256"/>
      <c r="AW187" s="54"/>
      <c r="AX187" s="54"/>
      <c r="AY187" s="256"/>
      <c r="AZ187" s="54"/>
      <c r="BA187" s="54"/>
      <c r="BB187" s="256"/>
      <c r="BC187" s="54"/>
      <c r="BD187" s="54"/>
      <c r="BE187" s="256"/>
      <c r="BF187" s="54"/>
      <c r="BG187" s="54"/>
      <c r="BH187" s="256"/>
      <c r="BI187" s="54"/>
      <c r="BJ187" s="54"/>
      <c r="BK187" s="256"/>
      <c r="BL187" s="54"/>
      <c r="BM187" s="54"/>
      <c r="BN187" s="256"/>
      <c r="BO187" s="54"/>
      <c r="BP187" s="54"/>
      <c r="BQ187" s="256"/>
      <c r="BR187" s="54"/>
      <c r="BS187" s="54"/>
      <c r="BT187" s="256"/>
      <c r="BU187" s="54"/>
      <c r="BV187" s="54"/>
      <c r="BW187" s="256"/>
      <c r="BX187" s="54"/>
      <c r="BY187" s="54"/>
      <c r="BZ187" s="256"/>
      <c r="CA187" s="54"/>
      <c r="CB187" s="54"/>
      <c r="CC187" s="256"/>
      <c r="CD187" s="54"/>
      <c r="CE187" s="54"/>
      <c r="CF187" s="256"/>
      <c r="CG187" s="54"/>
      <c r="CH187" s="54"/>
      <c r="CI187" s="1684">
        <f t="shared" si="17"/>
        <v>0</v>
      </c>
      <c r="CJ187" s="54"/>
      <c r="CK187" s="54"/>
      <c r="CL187" s="256"/>
      <c r="CM187" s="54"/>
      <c r="CN187" s="54"/>
      <c r="CO187" s="256"/>
      <c r="CP187" s="54"/>
      <c r="CQ187" s="54"/>
      <c r="CR187" s="256"/>
      <c r="CS187" s="54"/>
      <c r="CT187" s="54"/>
      <c r="CU187" s="256"/>
      <c r="CV187" s="54"/>
      <c r="CW187" s="54"/>
      <c r="CX187" s="256"/>
      <c r="CY187" s="54"/>
      <c r="CZ187" s="54"/>
    </row>
    <row r="188" spans="1:104" ht="13.5">
      <c r="A188" s="260">
        <f t="shared" si="20"/>
        <v>181</v>
      </c>
      <c r="B188" s="495"/>
      <c r="C188" s="295" t="s">
        <v>49</v>
      </c>
      <c r="D188" s="266"/>
      <c r="E188" s="265"/>
      <c r="F188" s="264"/>
      <c r="G188" s="361"/>
      <c r="H188" s="29"/>
      <c r="I188" s="24"/>
      <c r="J188" s="29"/>
      <c r="K188" s="54"/>
      <c r="M188" s="1624"/>
      <c r="N188" s="1113"/>
      <c r="O188" s="1113"/>
      <c r="Q188" s="54"/>
      <c r="R188" s="256"/>
      <c r="S188" s="54"/>
      <c r="T188" s="1694"/>
      <c r="U188" s="256"/>
      <c r="V188" s="54"/>
      <c r="W188" s="1694"/>
      <c r="X188" s="256"/>
      <c r="Y188" s="54"/>
      <c r="Z188" s="1694"/>
      <c r="AA188" s="256"/>
      <c r="AB188" s="54"/>
      <c r="AC188" s="1694"/>
      <c r="AD188" s="256"/>
      <c r="AE188" s="54"/>
      <c r="AF188" s="1694"/>
      <c r="AG188" s="256"/>
      <c r="AH188" s="54"/>
      <c r="AI188" s="1694"/>
      <c r="AJ188" s="256"/>
      <c r="AK188" s="54"/>
      <c r="AL188" s="1694"/>
      <c r="AM188" s="256"/>
      <c r="AN188" s="54"/>
      <c r="AO188" s="1694"/>
      <c r="AP188" s="256"/>
      <c r="AQ188" s="54"/>
      <c r="AR188" s="1694"/>
      <c r="AS188" s="256"/>
      <c r="AT188" s="54"/>
      <c r="AU188" s="54"/>
      <c r="AV188" s="256"/>
      <c r="AW188" s="54"/>
      <c r="AX188" s="54"/>
      <c r="AY188" s="256"/>
      <c r="AZ188" s="54"/>
      <c r="BA188" s="54"/>
      <c r="BB188" s="256"/>
      <c r="BC188" s="54"/>
      <c r="BD188" s="54"/>
      <c r="BE188" s="256"/>
      <c r="BF188" s="54"/>
      <c r="BG188" s="54"/>
      <c r="BH188" s="256"/>
      <c r="BI188" s="54"/>
      <c r="BJ188" s="54"/>
      <c r="BK188" s="256"/>
      <c r="BL188" s="54"/>
      <c r="BM188" s="54"/>
      <c r="BN188" s="256"/>
      <c r="BO188" s="54"/>
      <c r="BP188" s="54"/>
      <c r="BQ188" s="256"/>
      <c r="BR188" s="54"/>
      <c r="BS188" s="54"/>
      <c r="BT188" s="256"/>
      <c r="BU188" s="54"/>
      <c r="BV188" s="54"/>
      <c r="BW188" s="256"/>
      <c r="BX188" s="54"/>
      <c r="BY188" s="54"/>
      <c r="BZ188" s="256"/>
      <c r="CA188" s="54"/>
      <c r="CB188" s="54"/>
      <c r="CC188" s="256"/>
      <c r="CD188" s="54"/>
      <c r="CE188" s="54"/>
      <c r="CF188" s="256"/>
      <c r="CG188" s="54"/>
      <c r="CH188" s="54"/>
      <c r="CI188" s="1684">
        <f t="shared" si="17"/>
        <v>0</v>
      </c>
      <c r="CJ188" s="54"/>
      <c r="CK188" s="54"/>
      <c r="CL188" s="256"/>
      <c r="CM188" s="54"/>
      <c r="CN188" s="54"/>
      <c r="CO188" s="256"/>
      <c r="CP188" s="54"/>
      <c r="CQ188" s="54"/>
      <c r="CR188" s="256"/>
      <c r="CS188" s="54"/>
      <c r="CT188" s="54"/>
      <c r="CU188" s="256"/>
      <c r="CV188" s="54"/>
      <c r="CW188" s="54"/>
      <c r="CX188" s="256"/>
      <c r="CY188" s="54"/>
      <c r="CZ188" s="54"/>
    </row>
    <row r="189" spans="1:104">
      <c r="A189" s="260">
        <f t="shared" si="20"/>
        <v>182</v>
      </c>
      <c r="B189" s="495">
        <f>'Stmt H'!B99</f>
        <v>870</v>
      </c>
      <c r="C189" s="98" t="s">
        <v>416</v>
      </c>
      <c r="D189" s="286"/>
      <c r="E189" s="289" t="s">
        <v>276</v>
      </c>
      <c r="F189" s="285"/>
      <c r="G189" s="353">
        <f>'Stmt H'!$F99</f>
        <v>3911607.2300000004</v>
      </c>
      <c r="H189" s="311"/>
      <c r="I189" s="583" t="s">
        <v>276</v>
      </c>
      <c r="J189" s="311"/>
      <c r="K189" s="353">
        <f>'Stmt H'!$U99</f>
        <v>4065042.6123208087</v>
      </c>
      <c r="M189" s="1624">
        <f t="shared" ref="M189:M199" si="27">IF(ISERROR(O189/K189),0,O189/K189)</f>
        <v>0.86080551008076678</v>
      </c>
      <c r="N189" s="1566">
        <f t="shared" ref="N189:N199" si="28">M189*G189</f>
        <v>3367133.0568557656</v>
      </c>
      <c r="O189" s="1566">
        <v>3499211.0793988663</v>
      </c>
      <c r="Q189" s="816">
        <v>4151602.7519252459</v>
      </c>
      <c r="R189" s="256"/>
      <c r="S189" s="816">
        <v>4151602.7519252459</v>
      </c>
      <c r="T189" s="1691">
        <v>3570780.2097206237</v>
      </c>
      <c r="U189" s="256"/>
      <c r="V189" s="816">
        <v>4151602.7519252459</v>
      </c>
      <c r="W189" s="1691">
        <v>3570780.2097206237</v>
      </c>
      <c r="X189" s="256"/>
      <c r="Y189" s="816">
        <v>4144639.8019252457</v>
      </c>
      <c r="Z189" s="1691">
        <v>3564767.4104494415</v>
      </c>
      <c r="AA189" s="256"/>
      <c r="AB189" s="816">
        <v>4144639.8019252457</v>
      </c>
      <c r="AC189" s="1691">
        <v>3564767.4104494415</v>
      </c>
      <c r="AD189" s="256"/>
      <c r="AE189" s="816">
        <v>4144639.8019252457</v>
      </c>
      <c r="AF189" s="1691">
        <v>3564767.4104494415</v>
      </c>
      <c r="AG189" s="256"/>
      <c r="AH189" s="816">
        <v>4144639.8019252457</v>
      </c>
      <c r="AI189" s="1691">
        <v>3564767.4104494415</v>
      </c>
      <c r="AJ189" s="256"/>
      <c r="AK189" s="816">
        <v>4144639.8019252457</v>
      </c>
      <c r="AL189" s="1691">
        <v>3564446.747291612</v>
      </c>
      <c r="AM189" s="256"/>
      <c r="AN189" s="816">
        <v>4140586.4067562185</v>
      </c>
      <c r="AO189" s="1691">
        <v>3560950.3769697421</v>
      </c>
      <c r="AP189" s="256"/>
      <c r="AQ189" s="816">
        <v>4140586.4067562185</v>
      </c>
      <c r="AR189" s="1691">
        <v>3560950.3769697421</v>
      </c>
      <c r="AS189" s="256"/>
      <c r="AT189" s="816">
        <v>4140586.4067562185</v>
      </c>
      <c r="AU189" s="816">
        <v>3560950.3769697421</v>
      </c>
      <c r="AV189" s="256"/>
      <c r="AW189" s="816">
        <v>4140586.4067562185</v>
      </c>
      <c r="AX189" s="816">
        <v>3560950.3769697421</v>
      </c>
      <c r="AY189" s="256"/>
      <c r="AZ189" s="816">
        <v>4140586.4067562185</v>
      </c>
      <c r="BA189" s="816">
        <v>3560950.3769697421</v>
      </c>
      <c r="BB189" s="256"/>
      <c r="BC189" s="816">
        <v>4140586.4067562185</v>
      </c>
      <c r="BD189" s="816">
        <v>3560950.3769697421</v>
      </c>
      <c r="BE189" s="256"/>
      <c r="BF189" s="816">
        <v>4140586.4067562185</v>
      </c>
      <c r="BG189" s="816">
        <v>3560950.3769697421</v>
      </c>
      <c r="BH189" s="256"/>
      <c r="BI189" s="816">
        <v>4140586.4067562185</v>
      </c>
      <c r="BJ189" s="816">
        <v>3560950.3769697421</v>
      </c>
      <c r="BK189" s="256"/>
      <c r="BL189" s="816">
        <v>4140586.4067562185</v>
      </c>
      <c r="BM189" s="816">
        <v>3560950.3769697421</v>
      </c>
      <c r="BN189" s="256"/>
      <c r="BO189" s="816">
        <v>4140586.4067562185</v>
      </c>
      <c r="BP189" s="816">
        <v>3560950.3769697421</v>
      </c>
      <c r="BQ189" s="256"/>
      <c r="BR189" s="816">
        <v>4140586.4067562185</v>
      </c>
      <c r="BS189" s="816">
        <v>3560950.3769697421</v>
      </c>
      <c r="BT189" s="256"/>
      <c r="BU189" s="816">
        <v>4140586.4067562185</v>
      </c>
      <c r="BV189" s="816">
        <v>3560950.3769697421</v>
      </c>
      <c r="BW189" s="256"/>
      <c r="BX189" s="816">
        <v>4140586.4067562185</v>
      </c>
      <c r="BY189" s="816">
        <v>3560950.3769697421</v>
      </c>
      <c r="BZ189" s="256"/>
      <c r="CA189" s="816">
        <v>4138102.2667562184</v>
      </c>
      <c r="CB189" s="816">
        <v>3562319.4865736933</v>
      </c>
      <c r="CC189" s="256"/>
      <c r="CD189" s="816">
        <v>4138102.2667562184</v>
      </c>
      <c r="CE189" s="816">
        <v>3562319.4865736933</v>
      </c>
      <c r="CF189" s="256"/>
      <c r="CG189" s="816">
        <v>4138102.2667562184</v>
      </c>
      <c r="CH189" s="816">
        <v>3562319.4865736933</v>
      </c>
      <c r="CI189" s="1684">
        <f t="shared" si="17"/>
        <v>0</v>
      </c>
      <c r="CJ189" s="816">
        <v>4138102.2667562184</v>
      </c>
      <c r="CK189" s="816">
        <v>3562319.4865736933</v>
      </c>
      <c r="CL189" s="256"/>
      <c r="CM189" s="816">
        <v>4088332.9751488087</v>
      </c>
      <c r="CN189" s="816">
        <v>3519260.4723029723</v>
      </c>
      <c r="CO189" s="256"/>
      <c r="CP189" s="353">
        <v>4088332.9751488087</v>
      </c>
      <c r="CQ189" s="816">
        <v>3519260.4723029723</v>
      </c>
      <c r="CR189" s="256"/>
      <c r="CS189" s="353">
        <v>4065042.6123208087</v>
      </c>
      <c r="CT189" s="816">
        <v>3499211.0793988663</v>
      </c>
      <c r="CU189" s="256"/>
      <c r="CV189" s="816">
        <v>4065042.6123208087</v>
      </c>
      <c r="CW189" s="816">
        <v>3499211.0793988663</v>
      </c>
      <c r="CX189" s="256"/>
      <c r="CY189" s="816"/>
      <c r="CZ189" s="816"/>
    </row>
    <row r="190" spans="1:104">
      <c r="A190" s="260">
        <f t="shared" si="20"/>
        <v>183</v>
      </c>
      <c r="B190" s="495">
        <f>'Stmt H'!B100</f>
        <v>871</v>
      </c>
      <c r="C190" s="98" t="s">
        <v>417</v>
      </c>
      <c r="D190" s="286"/>
      <c r="E190" s="289" t="s">
        <v>276</v>
      </c>
      <c r="F190" s="285"/>
      <c r="G190" s="207">
        <f>'Stmt H'!$F100</f>
        <v>831.68</v>
      </c>
      <c r="H190" s="638"/>
      <c r="I190" s="635" t="s">
        <v>276</v>
      </c>
      <c r="J190" s="638"/>
      <c r="K190" s="1245">
        <f>'Stmt H'!$U100</f>
        <v>829.84999999999991</v>
      </c>
      <c r="M190" s="1624">
        <f t="shared" si="27"/>
        <v>0.63220549249165581</v>
      </c>
      <c r="N190" s="1625">
        <f t="shared" si="28"/>
        <v>525.79266399546032</v>
      </c>
      <c r="O190" s="1625">
        <v>524.63572794420054</v>
      </c>
      <c r="Q190" s="1715">
        <v>830.4799999999999</v>
      </c>
      <c r="R190" s="256"/>
      <c r="S190" s="1715">
        <v>830.4799999999999</v>
      </c>
      <c r="T190" s="1716">
        <v>525.03401740447021</v>
      </c>
      <c r="U190" s="256"/>
      <c r="V190" s="1715">
        <v>830.4799999999999</v>
      </c>
      <c r="W190" s="1716">
        <v>525.03401740447021</v>
      </c>
      <c r="X190" s="256"/>
      <c r="Y190" s="1715">
        <v>830.02</v>
      </c>
      <c r="Z190" s="1716">
        <v>524.74320287792409</v>
      </c>
      <c r="AA190" s="256"/>
      <c r="AB190" s="1715">
        <v>830.02</v>
      </c>
      <c r="AC190" s="1716">
        <v>524.74320287792409</v>
      </c>
      <c r="AD190" s="256"/>
      <c r="AE190" s="1715">
        <v>830.02</v>
      </c>
      <c r="AF190" s="1716">
        <v>524.74320287792409</v>
      </c>
      <c r="AG190" s="256"/>
      <c r="AH190" s="1715">
        <v>830.02</v>
      </c>
      <c r="AI190" s="1716">
        <v>524.74320287792409</v>
      </c>
      <c r="AJ190" s="256"/>
      <c r="AK190" s="1715">
        <v>830.02</v>
      </c>
      <c r="AL190" s="1716">
        <v>524.74320287792409</v>
      </c>
      <c r="AM190" s="256"/>
      <c r="AN190" s="1715">
        <v>830.02</v>
      </c>
      <c r="AO190" s="1716">
        <v>524.74320287792409</v>
      </c>
      <c r="AP190" s="256"/>
      <c r="AQ190" s="1715">
        <v>830.02</v>
      </c>
      <c r="AR190" s="1716">
        <v>524.74320287792409</v>
      </c>
      <c r="AS190" s="256"/>
      <c r="AT190" s="1715">
        <v>830.02</v>
      </c>
      <c r="AU190" s="1715">
        <v>524.74320287792409</v>
      </c>
      <c r="AV190" s="256"/>
      <c r="AW190" s="1715">
        <v>830.02</v>
      </c>
      <c r="AX190" s="1715">
        <v>524.74320287792409</v>
      </c>
      <c r="AY190" s="256"/>
      <c r="AZ190" s="1715">
        <v>830.02</v>
      </c>
      <c r="BA190" s="1715">
        <v>524.74320287792409</v>
      </c>
      <c r="BB190" s="256"/>
      <c r="BC190" s="1715">
        <v>830.02</v>
      </c>
      <c r="BD190" s="1715">
        <v>524.74320287792409</v>
      </c>
      <c r="BE190" s="256"/>
      <c r="BF190" s="1715">
        <v>830.02</v>
      </c>
      <c r="BG190" s="1715">
        <v>524.74320287792409</v>
      </c>
      <c r="BH190" s="256"/>
      <c r="BI190" s="1715">
        <v>830.02</v>
      </c>
      <c r="BJ190" s="1715">
        <v>524.74320287792409</v>
      </c>
      <c r="BK190" s="256"/>
      <c r="BL190" s="1715">
        <v>830.02</v>
      </c>
      <c r="BM190" s="1715">
        <v>524.74320287792409</v>
      </c>
      <c r="BN190" s="256"/>
      <c r="BO190" s="1715">
        <v>830.02</v>
      </c>
      <c r="BP190" s="1715">
        <v>524.74320287792409</v>
      </c>
      <c r="BQ190" s="256"/>
      <c r="BR190" s="1715">
        <v>830.02</v>
      </c>
      <c r="BS190" s="1715">
        <v>524.74320287792409</v>
      </c>
      <c r="BT190" s="256"/>
      <c r="BU190" s="1715">
        <v>830.02</v>
      </c>
      <c r="BV190" s="1715">
        <v>524.74320287792409</v>
      </c>
      <c r="BW190" s="256"/>
      <c r="BX190" s="1715">
        <v>830.02</v>
      </c>
      <c r="BY190" s="1715">
        <v>524.74320287792409</v>
      </c>
      <c r="BZ190" s="256"/>
      <c r="CA190" s="1715">
        <v>829.84999999999991</v>
      </c>
      <c r="CB190" s="1715">
        <v>524.63572794420054</v>
      </c>
      <c r="CC190" s="256"/>
      <c r="CD190" s="1715">
        <v>829.84999999999991</v>
      </c>
      <c r="CE190" s="1715">
        <v>524.63572794420054</v>
      </c>
      <c r="CF190" s="256"/>
      <c r="CG190" s="1715">
        <v>829.84999999999991</v>
      </c>
      <c r="CH190" s="1715">
        <v>524.63572794420054</v>
      </c>
      <c r="CI190" s="1684">
        <f t="shared" si="17"/>
        <v>0</v>
      </c>
      <c r="CJ190" s="1715">
        <v>829.84999999999991</v>
      </c>
      <c r="CK190" s="1715">
        <v>524.63572794420054</v>
      </c>
      <c r="CL190" s="256"/>
      <c r="CM190" s="1715">
        <v>829.84999999999991</v>
      </c>
      <c r="CN190" s="1715">
        <v>524.63572794420054</v>
      </c>
      <c r="CO190" s="256"/>
      <c r="CP190" s="1245">
        <v>829.84999999999991</v>
      </c>
      <c r="CQ190" s="1715">
        <v>524.63572794420054</v>
      </c>
      <c r="CR190" s="256"/>
      <c r="CS190" s="1245">
        <v>829.84999999999991</v>
      </c>
      <c r="CT190" s="1715">
        <v>524.63572794420054</v>
      </c>
      <c r="CU190" s="256"/>
      <c r="CV190" s="1715">
        <v>829.84999999999991</v>
      </c>
      <c r="CW190" s="1715">
        <v>524.63572794420054</v>
      </c>
      <c r="CX190" s="256"/>
      <c r="CY190" s="1715"/>
      <c r="CZ190" s="1715"/>
    </row>
    <row r="191" spans="1:104">
      <c r="A191" s="260">
        <f t="shared" si="20"/>
        <v>184</v>
      </c>
      <c r="B191" s="495">
        <f>'Stmt H'!B101</f>
        <v>872</v>
      </c>
      <c r="C191" s="98" t="s">
        <v>573</v>
      </c>
      <c r="D191" s="286"/>
      <c r="E191" s="289" t="s">
        <v>276</v>
      </c>
      <c r="F191" s="285"/>
      <c r="G191" s="207">
        <f>'Stmt H'!$F101</f>
        <v>147.47999999999999</v>
      </c>
      <c r="H191" s="638"/>
      <c r="I191" s="635" t="s">
        <v>276</v>
      </c>
      <c r="J191" s="638"/>
      <c r="K191" s="1245">
        <f>'Stmt H'!$U101</f>
        <v>147.47999999999999</v>
      </c>
      <c r="M191" s="1624">
        <f t="shared" si="27"/>
        <v>0.72188703188382319</v>
      </c>
      <c r="N191" s="1625">
        <f t="shared" si="28"/>
        <v>106.46389946222624</v>
      </c>
      <c r="O191" s="1625">
        <v>106.46389946222624</v>
      </c>
      <c r="Q191" s="1715">
        <v>147.47999999999999</v>
      </c>
      <c r="R191" s="256"/>
      <c r="S191" s="1715">
        <v>147.47999999999999</v>
      </c>
      <c r="T191" s="1716">
        <v>106.46389946222624</v>
      </c>
      <c r="U191" s="256"/>
      <c r="V191" s="1715">
        <v>147.47999999999999</v>
      </c>
      <c r="W191" s="1716">
        <v>106.46389946222624</v>
      </c>
      <c r="X191" s="256"/>
      <c r="Y191" s="1715">
        <v>147.47999999999999</v>
      </c>
      <c r="Z191" s="1716">
        <v>106.46389946222624</v>
      </c>
      <c r="AA191" s="256"/>
      <c r="AB191" s="1715">
        <v>147.47999999999999</v>
      </c>
      <c r="AC191" s="1716">
        <v>106.46389946222624</v>
      </c>
      <c r="AD191" s="256"/>
      <c r="AE191" s="1715">
        <v>147.47999999999999</v>
      </c>
      <c r="AF191" s="1716">
        <v>106.46389946222624</v>
      </c>
      <c r="AG191" s="256"/>
      <c r="AH191" s="1715">
        <v>147.47999999999999</v>
      </c>
      <c r="AI191" s="1716">
        <v>106.46389946222624</v>
      </c>
      <c r="AJ191" s="256"/>
      <c r="AK191" s="1715">
        <v>147.47999999999999</v>
      </c>
      <c r="AL191" s="1716">
        <v>106.46389946222624</v>
      </c>
      <c r="AM191" s="256"/>
      <c r="AN191" s="1715">
        <v>147.47999999999999</v>
      </c>
      <c r="AO191" s="1716">
        <v>106.46389946222624</v>
      </c>
      <c r="AP191" s="256"/>
      <c r="AQ191" s="1715">
        <v>147.47999999999999</v>
      </c>
      <c r="AR191" s="1716">
        <v>106.46389946222624</v>
      </c>
      <c r="AS191" s="256"/>
      <c r="AT191" s="1715">
        <v>147.47999999999999</v>
      </c>
      <c r="AU191" s="1715">
        <v>106.46389946222624</v>
      </c>
      <c r="AV191" s="256"/>
      <c r="AW191" s="1715">
        <v>147.47999999999999</v>
      </c>
      <c r="AX191" s="1715">
        <v>106.46389946222624</v>
      </c>
      <c r="AY191" s="256"/>
      <c r="AZ191" s="1715">
        <v>147.47999999999999</v>
      </c>
      <c r="BA191" s="1715">
        <v>106.46389946222624</v>
      </c>
      <c r="BB191" s="256"/>
      <c r="BC191" s="1715">
        <v>147.47999999999999</v>
      </c>
      <c r="BD191" s="1715">
        <v>106.46389946222624</v>
      </c>
      <c r="BE191" s="256"/>
      <c r="BF191" s="1715">
        <v>147.47999999999999</v>
      </c>
      <c r="BG191" s="1715">
        <v>106.46389946222624</v>
      </c>
      <c r="BH191" s="256"/>
      <c r="BI191" s="1715">
        <v>147.47999999999999</v>
      </c>
      <c r="BJ191" s="1715">
        <v>106.46389946222624</v>
      </c>
      <c r="BK191" s="256"/>
      <c r="BL191" s="1715">
        <v>147.47999999999999</v>
      </c>
      <c r="BM191" s="1715">
        <v>106.46389946222624</v>
      </c>
      <c r="BN191" s="256"/>
      <c r="BO191" s="1715">
        <v>147.47999999999999</v>
      </c>
      <c r="BP191" s="1715">
        <v>106.46389946222624</v>
      </c>
      <c r="BQ191" s="256"/>
      <c r="BR191" s="1715">
        <v>147.47999999999999</v>
      </c>
      <c r="BS191" s="1715">
        <v>106.46389946222624</v>
      </c>
      <c r="BT191" s="256"/>
      <c r="BU191" s="1715">
        <v>147.47999999999999</v>
      </c>
      <c r="BV191" s="1715">
        <v>106.46389946222624</v>
      </c>
      <c r="BW191" s="256"/>
      <c r="BX191" s="1715">
        <v>147.47999999999999</v>
      </c>
      <c r="BY191" s="1715">
        <v>106.46389946222624</v>
      </c>
      <c r="BZ191" s="256"/>
      <c r="CA191" s="1715">
        <v>147.47999999999999</v>
      </c>
      <c r="CB191" s="1715">
        <v>106.46389946222624</v>
      </c>
      <c r="CC191" s="256"/>
      <c r="CD191" s="1715">
        <v>147.47999999999999</v>
      </c>
      <c r="CE191" s="1715">
        <v>106.46389946222624</v>
      </c>
      <c r="CF191" s="256"/>
      <c r="CG191" s="1715">
        <v>147.47999999999999</v>
      </c>
      <c r="CH191" s="1715">
        <v>106.46389946222624</v>
      </c>
      <c r="CI191" s="1684">
        <f t="shared" si="17"/>
        <v>0</v>
      </c>
      <c r="CJ191" s="1715">
        <v>147.47999999999999</v>
      </c>
      <c r="CK191" s="1715">
        <v>106.46389946222624</v>
      </c>
      <c r="CL191" s="256"/>
      <c r="CM191" s="1715">
        <v>147.47999999999999</v>
      </c>
      <c r="CN191" s="1715">
        <v>106.46389946222624</v>
      </c>
      <c r="CO191" s="256"/>
      <c r="CP191" s="1245">
        <v>147.47999999999999</v>
      </c>
      <c r="CQ191" s="1715">
        <v>106.46389946222624</v>
      </c>
      <c r="CR191" s="256"/>
      <c r="CS191" s="1245">
        <v>147.47999999999999</v>
      </c>
      <c r="CT191" s="1715">
        <v>106.46389946222624</v>
      </c>
      <c r="CU191" s="256"/>
      <c r="CV191" s="1715">
        <v>147.47999999999999</v>
      </c>
      <c r="CW191" s="1715">
        <v>106.46389946222624</v>
      </c>
      <c r="CX191" s="256"/>
      <c r="CY191" s="1715"/>
      <c r="CZ191" s="1715"/>
    </row>
    <row r="192" spans="1:104">
      <c r="A192" s="260">
        <f t="shared" si="20"/>
        <v>185</v>
      </c>
      <c r="B192" s="495">
        <f>'Stmt H'!B102</f>
        <v>874</v>
      </c>
      <c r="C192" s="98" t="s">
        <v>418</v>
      </c>
      <c r="D192" s="286"/>
      <c r="E192" s="289" t="s">
        <v>276</v>
      </c>
      <c r="F192" s="285"/>
      <c r="G192" s="207">
        <f>'Stmt H'!$F102</f>
        <v>6687347.3100000005</v>
      </c>
      <c r="H192" s="638"/>
      <c r="I192" s="635" t="s">
        <v>276</v>
      </c>
      <c r="J192" s="638"/>
      <c r="K192" s="1245">
        <f>'Stmt H'!$U102</f>
        <v>7214824.0691544227</v>
      </c>
      <c r="M192" s="1624">
        <f t="shared" si="27"/>
        <v>0.87252881996281484</v>
      </c>
      <c r="N192" s="1625">
        <f t="shared" si="28"/>
        <v>5834903.2570758043</v>
      </c>
      <c r="O192" s="1625">
        <v>6295141.9312986229</v>
      </c>
      <c r="Q192" s="1715">
        <v>7497410.608627758</v>
      </c>
      <c r="R192" s="256"/>
      <c r="S192" s="1715">
        <v>7497410.608627758</v>
      </c>
      <c r="T192" s="1716">
        <v>6533652.0835617678</v>
      </c>
      <c r="U192" s="256"/>
      <c r="V192" s="1715">
        <v>7497410.608627758</v>
      </c>
      <c r="W192" s="1716">
        <v>6533652.0835617678</v>
      </c>
      <c r="X192" s="256"/>
      <c r="Y192" s="1715">
        <v>7484593.3486277582</v>
      </c>
      <c r="Z192" s="1716">
        <v>6522482.4248787845</v>
      </c>
      <c r="AA192" s="256"/>
      <c r="AB192" s="1715">
        <v>7484593.3486277582</v>
      </c>
      <c r="AC192" s="1716">
        <v>6522482.4248787845</v>
      </c>
      <c r="AD192" s="256"/>
      <c r="AE192" s="1715">
        <v>7484593.3486277582</v>
      </c>
      <c r="AF192" s="1716">
        <v>6522482.4248787845</v>
      </c>
      <c r="AG192" s="256"/>
      <c r="AH192" s="1715">
        <v>7484593.3486277582</v>
      </c>
      <c r="AI192" s="1716">
        <v>6522482.4248787845</v>
      </c>
      <c r="AJ192" s="256"/>
      <c r="AK192" s="1715">
        <v>7336752.2086277576</v>
      </c>
      <c r="AL192" s="1716">
        <v>6393645.6006977037</v>
      </c>
      <c r="AM192" s="256"/>
      <c r="AN192" s="1715">
        <v>7336876.7696567765</v>
      </c>
      <c r="AO192" s="1716">
        <v>6393754.1499648122</v>
      </c>
      <c r="AP192" s="256"/>
      <c r="AQ192" s="1715">
        <v>7336876.7696567765</v>
      </c>
      <c r="AR192" s="1716">
        <v>6393754.1499648122</v>
      </c>
      <c r="AS192" s="256"/>
      <c r="AT192" s="1715">
        <v>7336876.7696567765</v>
      </c>
      <c r="AU192" s="1715">
        <v>6393754.1499648122</v>
      </c>
      <c r="AV192" s="256"/>
      <c r="AW192" s="1715">
        <v>7336876.7696567765</v>
      </c>
      <c r="AX192" s="1715">
        <v>6393754.1499648122</v>
      </c>
      <c r="AY192" s="256"/>
      <c r="AZ192" s="1715">
        <v>7336876.7696567765</v>
      </c>
      <c r="BA192" s="1715">
        <v>6393754.1499648122</v>
      </c>
      <c r="BB192" s="256"/>
      <c r="BC192" s="1715">
        <v>7336876.7696567765</v>
      </c>
      <c r="BD192" s="1715">
        <v>6393754.1499648122</v>
      </c>
      <c r="BE192" s="256"/>
      <c r="BF192" s="1715">
        <v>7336876.7696567765</v>
      </c>
      <c r="BG192" s="1715">
        <v>6393754.1499648122</v>
      </c>
      <c r="BH192" s="256"/>
      <c r="BI192" s="1715">
        <v>7336876.7696567765</v>
      </c>
      <c r="BJ192" s="1715">
        <v>6393754.1499648122</v>
      </c>
      <c r="BK192" s="256"/>
      <c r="BL192" s="1715">
        <v>7336876.7696567765</v>
      </c>
      <c r="BM192" s="1715">
        <v>6393754.1499648122</v>
      </c>
      <c r="BN192" s="256"/>
      <c r="BO192" s="1715">
        <v>7336876.7696567765</v>
      </c>
      <c r="BP192" s="1715">
        <v>6393754.1499648122</v>
      </c>
      <c r="BQ192" s="256"/>
      <c r="BR192" s="1715">
        <v>7336876.7696567765</v>
      </c>
      <c r="BS192" s="1715">
        <v>6393754.1499648122</v>
      </c>
      <c r="BT192" s="256"/>
      <c r="BU192" s="1715">
        <v>7336876.7696567765</v>
      </c>
      <c r="BV192" s="1715">
        <v>6393754.1499648122</v>
      </c>
      <c r="BW192" s="256"/>
      <c r="BX192" s="1715">
        <v>7336876.7696567765</v>
      </c>
      <c r="BY192" s="1715">
        <v>6393754.1499648122</v>
      </c>
      <c r="BZ192" s="256"/>
      <c r="CA192" s="1715">
        <v>7332304.0096567767</v>
      </c>
      <c r="CB192" s="1715">
        <v>6397646.5651544444</v>
      </c>
      <c r="CC192" s="256"/>
      <c r="CD192" s="1715">
        <v>7332304.0096567767</v>
      </c>
      <c r="CE192" s="1715">
        <v>6397646.5651544444</v>
      </c>
      <c r="CF192" s="256"/>
      <c r="CG192" s="1715">
        <v>7332304.0096567767</v>
      </c>
      <c r="CH192" s="1715">
        <v>6397646.5651544444</v>
      </c>
      <c r="CI192" s="1684">
        <f t="shared" si="17"/>
        <v>0</v>
      </c>
      <c r="CJ192" s="1715">
        <v>7332304.0096567767</v>
      </c>
      <c r="CK192" s="1715">
        <v>6397646.5651544444</v>
      </c>
      <c r="CL192" s="256"/>
      <c r="CM192" s="1715">
        <v>7215014.4166104225</v>
      </c>
      <c r="CN192" s="1715">
        <v>6295308.0149397887</v>
      </c>
      <c r="CO192" s="256"/>
      <c r="CP192" s="1245">
        <v>7215014.4166104225</v>
      </c>
      <c r="CQ192" s="1715">
        <v>6295308.0149397887</v>
      </c>
      <c r="CR192" s="256"/>
      <c r="CS192" s="1245">
        <v>7214824.0691544227</v>
      </c>
      <c r="CT192" s="1715">
        <v>6295141.9312986229</v>
      </c>
      <c r="CU192" s="256"/>
      <c r="CV192" s="1715">
        <v>7214824.0691544227</v>
      </c>
      <c r="CW192" s="1715">
        <v>6295141.9312986229</v>
      </c>
      <c r="CX192" s="256"/>
      <c r="CY192" s="1715"/>
      <c r="CZ192" s="1715"/>
    </row>
    <row r="193" spans="1:104">
      <c r="A193" s="260">
        <f t="shared" si="20"/>
        <v>186</v>
      </c>
      <c r="B193" s="495">
        <f>'Stmt H'!B103</f>
        <v>875</v>
      </c>
      <c r="C193" s="98" t="s">
        <v>419</v>
      </c>
      <c r="D193" s="286"/>
      <c r="E193" s="289" t="s">
        <v>276</v>
      </c>
      <c r="F193" s="285"/>
      <c r="G193" s="207">
        <f>'Stmt H'!$F103</f>
        <v>1509155.35</v>
      </c>
      <c r="H193" s="638"/>
      <c r="I193" s="635" t="s">
        <v>276</v>
      </c>
      <c r="J193" s="638"/>
      <c r="K193" s="1245">
        <f>'Stmt H'!$U103</f>
        <v>1218416.7066066319</v>
      </c>
      <c r="M193" s="1624">
        <f t="shared" si="27"/>
        <v>0.66922258241140908</v>
      </c>
      <c r="N193" s="1625">
        <f t="shared" si="28"/>
        <v>1009960.840586994</v>
      </c>
      <c r="O193" s="1625">
        <v>815391.9748484944</v>
      </c>
      <c r="Q193" s="1715">
        <v>1236883.9314803244</v>
      </c>
      <c r="R193" s="256"/>
      <c r="S193" s="1715">
        <v>1236883.9314803244</v>
      </c>
      <c r="T193" s="1716">
        <v>827685.19182407414</v>
      </c>
      <c r="U193" s="256"/>
      <c r="V193" s="1715">
        <v>1236883.9314803244</v>
      </c>
      <c r="W193" s="1716">
        <v>827685.19182407414</v>
      </c>
      <c r="X193" s="256"/>
      <c r="Y193" s="1715">
        <v>1235037.6214803245</v>
      </c>
      <c r="Z193" s="1716">
        <v>826449.69720115699</v>
      </c>
      <c r="AA193" s="256"/>
      <c r="AB193" s="1715">
        <v>1235037.6214803245</v>
      </c>
      <c r="AC193" s="1716">
        <v>826449.69720115699</v>
      </c>
      <c r="AD193" s="256"/>
      <c r="AE193" s="1715">
        <v>1235037.6214803245</v>
      </c>
      <c r="AF193" s="1716">
        <v>826449.69720115699</v>
      </c>
      <c r="AG193" s="256"/>
      <c r="AH193" s="1715">
        <v>1235037.6214803245</v>
      </c>
      <c r="AI193" s="1716">
        <v>826449.69720115699</v>
      </c>
      <c r="AJ193" s="256"/>
      <c r="AK193" s="1715">
        <v>1235037.6214803245</v>
      </c>
      <c r="AL193" s="1716">
        <v>826449.69720115699</v>
      </c>
      <c r="AM193" s="256"/>
      <c r="AN193" s="1715">
        <v>1233892.6760254102</v>
      </c>
      <c r="AO193" s="1716">
        <v>825683.53444783797</v>
      </c>
      <c r="AP193" s="256"/>
      <c r="AQ193" s="1715">
        <v>1233892.6760254102</v>
      </c>
      <c r="AR193" s="1716">
        <v>825683.53444783797</v>
      </c>
      <c r="AS193" s="256"/>
      <c r="AT193" s="1715">
        <v>1233892.6760254102</v>
      </c>
      <c r="AU193" s="1715">
        <v>825683.53444783797</v>
      </c>
      <c r="AV193" s="256"/>
      <c r="AW193" s="1715">
        <v>1233892.6760254102</v>
      </c>
      <c r="AX193" s="1715">
        <v>825683.53444783797</v>
      </c>
      <c r="AY193" s="256"/>
      <c r="AZ193" s="1715">
        <v>1233892.6760254102</v>
      </c>
      <c r="BA193" s="1715">
        <v>825683.53444783797</v>
      </c>
      <c r="BB193" s="256"/>
      <c r="BC193" s="1715">
        <v>1233892.6760254102</v>
      </c>
      <c r="BD193" s="1715">
        <v>825683.53444783797</v>
      </c>
      <c r="BE193" s="256"/>
      <c r="BF193" s="1715">
        <v>1233892.6760254102</v>
      </c>
      <c r="BG193" s="1715">
        <v>825683.53444783797</v>
      </c>
      <c r="BH193" s="256"/>
      <c r="BI193" s="1715">
        <v>1233892.6760254102</v>
      </c>
      <c r="BJ193" s="1715">
        <v>825683.53444783797</v>
      </c>
      <c r="BK193" s="256"/>
      <c r="BL193" s="1715">
        <v>1233892.6760254102</v>
      </c>
      <c r="BM193" s="1715">
        <v>825683.53444783797</v>
      </c>
      <c r="BN193" s="256"/>
      <c r="BO193" s="1715">
        <v>1233892.6760254102</v>
      </c>
      <c r="BP193" s="1715">
        <v>825683.53444783797</v>
      </c>
      <c r="BQ193" s="256"/>
      <c r="BR193" s="1715">
        <v>1233892.6760254102</v>
      </c>
      <c r="BS193" s="1715">
        <v>825683.53444783797</v>
      </c>
      <c r="BT193" s="256"/>
      <c r="BU193" s="1715">
        <v>1233892.6760254102</v>
      </c>
      <c r="BV193" s="1715">
        <v>825683.53444783797</v>
      </c>
      <c r="BW193" s="256"/>
      <c r="BX193" s="1715">
        <v>1233892.6760254102</v>
      </c>
      <c r="BY193" s="1715">
        <v>825683.53444783797</v>
      </c>
      <c r="BZ193" s="256"/>
      <c r="CA193" s="1715">
        <v>1233233.97602541</v>
      </c>
      <c r="CB193" s="1715">
        <v>825308.02615321463</v>
      </c>
      <c r="CC193" s="256"/>
      <c r="CD193" s="1715">
        <v>1233233.97602541</v>
      </c>
      <c r="CE193" s="1715">
        <v>825308.02615321463</v>
      </c>
      <c r="CF193" s="256"/>
      <c r="CG193" s="1715">
        <v>1233233.97602541</v>
      </c>
      <c r="CH193" s="1715">
        <v>825308.02615321463</v>
      </c>
      <c r="CI193" s="1684">
        <f t="shared" si="17"/>
        <v>0</v>
      </c>
      <c r="CJ193" s="1715">
        <v>1233233.97602541</v>
      </c>
      <c r="CK193" s="1715">
        <v>825308.02615321463</v>
      </c>
      <c r="CL193" s="256"/>
      <c r="CM193" s="1715">
        <v>1218416.7066066319</v>
      </c>
      <c r="CN193" s="1715">
        <v>815391.9748484944</v>
      </c>
      <c r="CO193" s="256"/>
      <c r="CP193" s="1245">
        <v>1218416.7066066319</v>
      </c>
      <c r="CQ193" s="1715">
        <v>815391.9748484944</v>
      </c>
      <c r="CR193" s="256"/>
      <c r="CS193" s="1245">
        <v>1218416.7066066319</v>
      </c>
      <c r="CT193" s="1715">
        <v>815391.9748484944</v>
      </c>
      <c r="CU193" s="256"/>
      <c r="CV193" s="1715">
        <v>1218416.7066066319</v>
      </c>
      <c r="CW193" s="1715">
        <v>815391.9748484944</v>
      </c>
      <c r="CX193" s="256"/>
      <c r="CY193" s="1715"/>
      <c r="CZ193" s="1715"/>
    </row>
    <row r="194" spans="1:104">
      <c r="A194" s="260">
        <f t="shared" si="20"/>
        <v>187</v>
      </c>
      <c r="B194" s="495">
        <f>'Stmt H'!B104</f>
        <v>876</v>
      </c>
      <c r="C194" s="98" t="s">
        <v>420</v>
      </c>
      <c r="D194" s="286"/>
      <c r="E194" s="289" t="s">
        <v>276</v>
      </c>
      <c r="F194" s="285"/>
      <c r="G194" s="207">
        <f>'Stmt H'!$F104</f>
        <v>22848.870000000003</v>
      </c>
      <c r="H194" s="638"/>
      <c r="I194" s="635" t="s">
        <v>276</v>
      </c>
      <c r="J194" s="638"/>
      <c r="K194" s="1245">
        <f>'Stmt H'!$U104</f>
        <v>24200.168481126868</v>
      </c>
      <c r="M194" s="1624">
        <f t="shared" si="27"/>
        <v>0.8690390269115793</v>
      </c>
      <c r="N194" s="1625">
        <f t="shared" si="28"/>
        <v>19856.559750829179</v>
      </c>
      <c r="O194" s="1625">
        <v>21030.890867934766</v>
      </c>
      <c r="Q194" s="1715">
        <v>24527.737353084423</v>
      </c>
      <c r="R194" s="256"/>
      <c r="S194" s="1715">
        <v>24527.737353084423</v>
      </c>
      <c r="T194" s="1716">
        <v>21315.56100166728</v>
      </c>
      <c r="U194" s="256"/>
      <c r="V194" s="1715">
        <v>24527.737353084423</v>
      </c>
      <c r="W194" s="1716">
        <v>21315.56100166728</v>
      </c>
      <c r="X194" s="256"/>
      <c r="Y194" s="1715">
        <v>24465.817353084425</v>
      </c>
      <c r="Z194" s="1716">
        <v>21261.750105120918</v>
      </c>
      <c r="AA194" s="256"/>
      <c r="AB194" s="1715">
        <v>24465.817353084425</v>
      </c>
      <c r="AC194" s="1716">
        <v>21261.750105120918</v>
      </c>
      <c r="AD194" s="256"/>
      <c r="AE194" s="1715">
        <v>24465.817353084425</v>
      </c>
      <c r="AF194" s="1716">
        <v>21261.750105120918</v>
      </c>
      <c r="AG194" s="256"/>
      <c r="AH194" s="1715">
        <v>24465.817353084425</v>
      </c>
      <c r="AI194" s="1716">
        <v>21261.750105120918</v>
      </c>
      <c r="AJ194" s="256"/>
      <c r="AK194" s="1715">
        <v>24465.817353084425</v>
      </c>
      <c r="AL194" s="1716">
        <v>21261.750105120918</v>
      </c>
      <c r="AM194" s="256"/>
      <c r="AN194" s="1715">
        <v>24492.58321851278</v>
      </c>
      <c r="AO194" s="1716">
        <v>21285.010686767222</v>
      </c>
      <c r="AP194" s="256"/>
      <c r="AQ194" s="1715">
        <v>24492.58321851278</v>
      </c>
      <c r="AR194" s="1716">
        <v>21285.010686767222</v>
      </c>
      <c r="AS194" s="256"/>
      <c r="AT194" s="1715">
        <v>24492.58321851278</v>
      </c>
      <c r="AU194" s="1715">
        <v>21285.010686767222</v>
      </c>
      <c r="AV194" s="256"/>
      <c r="AW194" s="1715">
        <v>24492.58321851278</v>
      </c>
      <c r="AX194" s="1715">
        <v>21285.010686767222</v>
      </c>
      <c r="AY194" s="256"/>
      <c r="AZ194" s="1715">
        <v>24492.58321851278</v>
      </c>
      <c r="BA194" s="1715">
        <v>21285.010686767222</v>
      </c>
      <c r="BB194" s="256"/>
      <c r="BC194" s="1715">
        <v>24492.58321851278</v>
      </c>
      <c r="BD194" s="1715">
        <v>21285.010686767222</v>
      </c>
      <c r="BE194" s="256"/>
      <c r="BF194" s="1715">
        <v>24492.58321851278</v>
      </c>
      <c r="BG194" s="1715">
        <v>21285.010686767222</v>
      </c>
      <c r="BH194" s="256"/>
      <c r="BI194" s="1715">
        <v>24492.58321851278</v>
      </c>
      <c r="BJ194" s="1715">
        <v>21285.010686767222</v>
      </c>
      <c r="BK194" s="256"/>
      <c r="BL194" s="1715">
        <v>24492.58321851278</v>
      </c>
      <c r="BM194" s="1715">
        <v>21285.010686767222</v>
      </c>
      <c r="BN194" s="256"/>
      <c r="BO194" s="1715">
        <v>24492.58321851278</v>
      </c>
      <c r="BP194" s="1715">
        <v>21285.010686767222</v>
      </c>
      <c r="BQ194" s="256"/>
      <c r="BR194" s="1715">
        <v>24492.58321851278</v>
      </c>
      <c r="BS194" s="1715">
        <v>21285.010686767222</v>
      </c>
      <c r="BT194" s="256"/>
      <c r="BU194" s="1715">
        <v>24492.58321851278</v>
      </c>
      <c r="BV194" s="1715">
        <v>21285.010686767222</v>
      </c>
      <c r="BW194" s="256"/>
      <c r="BX194" s="1715">
        <v>24492.58321851278</v>
      </c>
      <c r="BY194" s="1715">
        <v>21285.010686767222</v>
      </c>
      <c r="BZ194" s="256"/>
      <c r="CA194" s="1715">
        <v>24470.49321851278</v>
      </c>
      <c r="CB194" s="1715">
        <v>21265.813614662744</v>
      </c>
      <c r="CC194" s="256"/>
      <c r="CD194" s="1715">
        <v>24470.49321851278</v>
      </c>
      <c r="CE194" s="1715">
        <v>21265.813614662744</v>
      </c>
      <c r="CF194" s="256"/>
      <c r="CG194" s="1715">
        <v>24470.49321851278</v>
      </c>
      <c r="CH194" s="1715">
        <v>21265.813614662744</v>
      </c>
      <c r="CI194" s="1684">
        <f t="shared" si="17"/>
        <v>0</v>
      </c>
      <c r="CJ194" s="1715">
        <v>24470.49321851278</v>
      </c>
      <c r="CK194" s="1715">
        <v>21265.813614662744</v>
      </c>
      <c r="CL194" s="256"/>
      <c r="CM194" s="1715">
        <v>24200.168481126868</v>
      </c>
      <c r="CN194" s="1715">
        <v>21030.890867934766</v>
      </c>
      <c r="CO194" s="256"/>
      <c r="CP194" s="1245">
        <v>24200.168481126868</v>
      </c>
      <c r="CQ194" s="1715">
        <v>21030.890867934766</v>
      </c>
      <c r="CR194" s="256"/>
      <c r="CS194" s="1245">
        <v>24200.168481126868</v>
      </c>
      <c r="CT194" s="1715">
        <v>21030.890867934766</v>
      </c>
      <c r="CU194" s="256"/>
      <c r="CV194" s="1715">
        <v>24200.168481126868</v>
      </c>
      <c r="CW194" s="1715">
        <v>21030.890867934766</v>
      </c>
      <c r="CX194" s="256"/>
      <c r="CY194" s="1715"/>
      <c r="CZ194" s="1715"/>
    </row>
    <row r="195" spans="1:104">
      <c r="A195" s="260">
        <f t="shared" si="20"/>
        <v>188</v>
      </c>
      <c r="B195" s="495">
        <f>'Stmt H'!B105</f>
        <v>877</v>
      </c>
      <c r="C195" s="98" t="s">
        <v>574</v>
      </c>
      <c r="D195" s="286"/>
      <c r="E195" s="289" t="s">
        <v>276</v>
      </c>
      <c r="F195" s="285"/>
      <c r="G195" s="207">
        <f>'Stmt H'!$F105</f>
        <v>179142.94</v>
      </c>
      <c r="H195" s="638"/>
      <c r="I195" s="635" t="s">
        <v>276</v>
      </c>
      <c r="J195" s="638"/>
      <c r="K195" s="1245">
        <f>'Stmt H'!$U105</f>
        <v>199277.10742041876</v>
      </c>
      <c r="M195" s="1624">
        <f t="shared" si="27"/>
        <v>0.66922258241140919</v>
      </c>
      <c r="N195" s="1625">
        <f t="shared" si="28"/>
        <v>119886.50092757214</v>
      </c>
      <c r="O195" s="1625">
        <v>133360.74044336844</v>
      </c>
      <c r="Q195" s="1715">
        <v>204070.72691340753</v>
      </c>
      <c r="R195" s="256"/>
      <c r="S195" s="1715">
        <v>204070.72691340753</v>
      </c>
      <c r="T195" s="1716">
        <v>136557.93761412351</v>
      </c>
      <c r="U195" s="256"/>
      <c r="V195" s="1715">
        <v>204070.72691340753</v>
      </c>
      <c r="W195" s="1716">
        <v>136557.93761412351</v>
      </c>
      <c r="X195" s="256"/>
      <c r="Y195" s="1715">
        <v>203640.32691340754</v>
      </c>
      <c r="Z195" s="1716">
        <v>136269.92699526559</v>
      </c>
      <c r="AA195" s="256"/>
      <c r="AB195" s="1715">
        <v>203640.32691340754</v>
      </c>
      <c r="AC195" s="1716">
        <v>136269.92699526559</v>
      </c>
      <c r="AD195" s="256"/>
      <c r="AE195" s="1715">
        <v>203640.32691340754</v>
      </c>
      <c r="AF195" s="1716">
        <v>136269.92699526559</v>
      </c>
      <c r="AG195" s="256"/>
      <c r="AH195" s="1715">
        <v>203640.32691340754</v>
      </c>
      <c r="AI195" s="1716">
        <v>136269.92699526559</v>
      </c>
      <c r="AJ195" s="256"/>
      <c r="AK195" s="1715">
        <v>203640.32691340754</v>
      </c>
      <c r="AL195" s="1716">
        <v>136269.92699526559</v>
      </c>
      <c r="AM195" s="256"/>
      <c r="AN195" s="1715">
        <v>203715.85342823234</v>
      </c>
      <c r="AO195" s="1716">
        <v>136320.46704701945</v>
      </c>
      <c r="AP195" s="256"/>
      <c r="AQ195" s="1715">
        <v>203715.85342823234</v>
      </c>
      <c r="AR195" s="1716">
        <v>136320.46704701945</v>
      </c>
      <c r="AS195" s="256"/>
      <c r="AT195" s="1715">
        <v>203715.85342823234</v>
      </c>
      <c r="AU195" s="1715">
        <v>136320.46704701945</v>
      </c>
      <c r="AV195" s="256"/>
      <c r="AW195" s="1715">
        <v>203715.85342823234</v>
      </c>
      <c r="AX195" s="1715">
        <v>136320.46704701945</v>
      </c>
      <c r="AY195" s="256"/>
      <c r="AZ195" s="1715">
        <v>203715.85342823234</v>
      </c>
      <c r="BA195" s="1715">
        <v>136320.46704701945</v>
      </c>
      <c r="BB195" s="256"/>
      <c r="BC195" s="1715">
        <v>203715.85342823234</v>
      </c>
      <c r="BD195" s="1715">
        <v>136320.46704701945</v>
      </c>
      <c r="BE195" s="256"/>
      <c r="BF195" s="1715">
        <v>203715.85342823234</v>
      </c>
      <c r="BG195" s="1715">
        <v>136320.46704701945</v>
      </c>
      <c r="BH195" s="256"/>
      <c r="BI195" s="1715">
        <v>203715.85342823234</v>
      </c>
      <c r="BJ195" s="1715">
        <v>136320.46704701945</v>
      </c>
      <c r="BK195" s="256"/>
      <c r="BL195" s="1715">
        <v>203715.85342823234</v>
      </c>
      <c r="BM195" s="1715">
        <v>136320.46704701945</v>
      </c>
      <c r="BN195" s="256"/>
      <c r="BO195" s="1715">
        <v>203715.85342823234</v>
      </c>
      <c r="BP195" s="1715">
        <v>136320.46704701945</v>
      </c>
      <c r="BQ195" s="256"/>
      <c r="BR195" s="1715">
        <v>203715.85342823234</v>
      </c>
      <c r="BS195" s="1715">
        <v>136320.46704701945</v>
      </c>
      <c r="BT195" s="256"/>
      <c r="BU195" s="1715">
        <v>203715.85342823234</v>
      </c>
      <c r="BV195" s="1715">
        <v>136320.46704701945</v>
      </c>
      <c r="BW195" s="256"/>
      <c r="BX195" s="1715">
        <v>203715.85342823234</v>
      </c>
      <c r="BY195" s="1715">
        <v>136320.46704701945</v>
      </c>
      <c r="BZ195" s="256"/>
      <c r="CA195" s="1715">
        <v>203562.30342823232</v>
      </c>
      <c r="CB195" s="1715">
        <v>136228.49038185645</v>
      </c>
      <c r="CC195" s="256"/>
      <c r="CD195" s="1715">
        <v>203562.30342823232</v>
      </c>
      <c r="CE195" s="1715">
        <v>136228.49038185645</v>
      </c>
      <c r="CF195" s="256"/>
      <c r="CG195" s="1715">
        <v>203562.30342823232</v>
      </c>
      <c r="CH195" s="1715">
        <v>136228.49038185645</v>
      </c>
      <c r="CI195" s="1684">
        <f t="shared" si="17"/>
        <v>0</v>
      </c>
      <c r="CJ195" s="1715">
        <v>203562.30342823232</v>
      </c>
      <c r="CK195" s="1715">
        <v>136228.49038185645</v>
      </c>
      <c r="CL195" s="256"/>
      <c r="CM195" s="1715">
        <v>199277.10742041876</v>
      </c>
      <c r="CN195" s="1715">
        <v>133360.74044336844</v>
      </c>
      <c r="CO195" s="256"/>
      <c r="CP195" s="1245">
        <v>199277.10742041876</v>
      </c>
      <c r="CQ195" s="1715">
        <v>133360.74044336844</v>
      </c>
      <c r="CR195" s="256"/>
      <c r="CS195" s="1245">
        <v>199277.10742041876</v>
      </c>
      <c r="CT195" s="1715">
        <v>133360.74044336844</v>
      </c>
      <c r="CU195" s="256"/>
      <c r="CV195" s="1715">
        <v>199277.10742041876</v>
      </c>
      <c r="CW195" s="1715">
        <v>133360.74044336844</v>
      </c>
      <c r="CX195" s="256"/>
      <c r="CY195" s="1715"/>
      <c r="CZ195" s="1715"/>
    </row>
    <row r="196" spans="1:104">
      <c r="A196" s="260">
        <f t="shared" si="20"/>
        <v>189</v>
      </c>
      <c r="B196" s="495">
        <f>'Stmt H'!B106</f>
        <v>878</v>
      </c>
      <c r="C196" s="98" t="str">
        <f>'Stmt H'!D106</f>
        <v>Oper./Inspect Meters &amp; Collect Data - Gas</v>
      </c>
      <c r="D196" s="286"/>
      <c r="E196" s="289" t="s">
        <v>276</v>
      </c>
      <c r="F196" s="285"/>
      <c r="G196" s="207">
        <f>'Stmt H'!$F106</f>
        <v>1600377.22</v>
      </c>
      <c r="H196" s="29"/>
      <c r="I196" s="635" t="s">
        <v>276</v>
      </c>
      <c r="J196" s="29"/>
      <c r="K196" s="1246">
        <f>'Stmt H'!$U$106</f>
        <v>1734013.2623411347</v>
      </c>
      <c r="M196" s="1624">
        <f t="shared" si="27"/>
        <v>0.86903902691157919</v>
      </c>
      <c r="N196" s="1625">
        <f t="shared" si="28"/>
        <v>1390790.2619602582</v>
      </c>
      <c r="O196" s="1625">
        <v>1506925.1981567126</v>
      </c>
      <c r="Q196" s="1717">
        <v>1776105.8011395859</v>
      </c>
      <c r="R196" s="256"/>
      <c r="S196" s="1717">
        <v>1776105.8011395859</v>
      </c>
      <c r="T196" s="1718">
        <v>1543505.2571143566</v>
      </c>
      <c r="U196" s="256"/>
      <c r="V196" s="1717">
        <v>1776105.8011395859</v>
      </c>
      <c r="W196" s="1718">
        <v>1543505.2571143566</v>
      </c>
      <c r="X196" s="256"/>
      <c r="Y196" s="1717">
        <v>1771669.9911395861</v>
      </c>
      <c r="Z196" s="1718">
        <v>1539650.3651083922</v>
      </c>
      <c r="AA196" s="256"/>
      <c r="AB196" s="1717">
        <v>1771669.9911395861</v>
      </c>
      <c r="AC196" s="1718">
        <v>1539650.3651083922</v>
      </c>
      <c r="AD196" s="256"/>
      <c r="AE196" s="1717">
        <v>1771669.9911395861</v>
      </c>
      <c r="AF196" s="1718">
        <v>1539650.3651083922</v>
      </c>
      <c r="AG196" s="256"/>
      <c r="AH196" s="1717">
        <v>1771669.9911395861</v>
      </c>
      <c r="AI196" s="1718">
        <v>1539650.3651083922</v>
      </c>
      <c r="AJ196" s="256"/>
      <c r="AK196" s="1717">
        <v>1771669.9911395861</v>
      </c>
      <c r="AL196" s="1718">
        <v>1539650.3651083922</v>
      </c>
      <c r="AM196" s="256"/>
      <c r="AN196" s="1717">
        <v>1770031.5643597869</v>
      </c>
      <c r="AO196" s="1718">
        <v>1538226.5082940096</v>
      </c>
      <c r="AP196" s="256"/>
      <c r="AQ196" s="1717">
        <v>1770031.5643597869</v>
      </c>
      <c r="AR196" s="1718">
        <v>1538226.5082940096</v>
      </c>
      <c r="AS196" s="256"/>
      <c r="AT196" s="1717">
        <v>1770031.5643597869</v>
      </c>
      <c r="AU196" s="1717">
        <v>1538226.5082940096</v>
      </c>
      <c r="AV196" s="256"/>
      <c r="AW196" s="1717">
        <v>1770031.5643597869</v>
      </c>
      <c r="AX196" s="1717">
        <v>1538226.5082940096</v>
      </c>
      <c r="AY196" s="256"/>
      <c r="AZ196" s="1717">
        <v>1770031.5643597869</v>
      </c>
      <c r="BA196" s="1717">
        <v>1538226.5082940096</v>
      </c>
      <c r="BB196" s="256"/>
      <c r="BC196" s="1717">
        <v>1770031.5643597869</v>
      </c>
      <c r="BD196" s="1717">
        <v>1538226.5082940096</v>
      </c>
      <c r="BE196" s="256"/>
      <c r="BF196" s="1717">
        <v>1770031.5643597869</v>
      </c>
      <c r="BG196" s="1717">
        <v>1538226.5082940096</v>
      </c>
      <c r="BH196" s="256"/>
      <c r="BI196" s="1717">
        <v>1770031.5643597869</v>
      </c>
      <c r="BJ196" s="1717">
        <v>1538226.5082940096</v>
      </c>
      <c r="BK196" s="256"/>
      <c r="BL196" s="1717">
        <v>1770031.5643597869</v>
      </c>
      <c r="BM196" s="1717">
        <v>1538226.5082940096</v>
      </c>
      <c r="BN196" s="256"/>
      <c r="BO196" s="1717">
        <v>1770031.5643597869</v>
      </c>
      <c r="BP196" s="1717">
        <v>1538226.5082940096</v>
      </c>
      <c r="BQ196" s="256"/>
      <c r="BR196" s="1717">
        <v>1770031.5643597869</v>
      </c>
      <c r="BS196" s="1717">
        <v>1538226.5082940096</v>
      </c>
      <c r="BT196" s="256"/>
      <c r="BU196" s="1717">
        <v>1770031.5643597869</v>
      </c>
      <c r="BV196" s="1717">
        <v>1538226.5082940096</v>
      </c>
      <c r="BW196" s="256"/>
      <c r="BX196" s="1717">
        <v>1770031.5643597869</v>
      </c>
      <c r="BY196" s="1717">
        <v>1538226.5082940096</v>
      </c>
      <c r="BZ196" s="256"/>
      <c r="CA196" s="1717">
        <v>1768449.0143597869</v>
      </c>
      <c r="CB196" s="1717">
        <v>1536851.2105819709</v>
      </c>
      <c r="CC196" s="256"/>
      <c r="CD196" s="1717">
        <v>1768449.0143597869</v>
      </c>
      <c r="CE196" s="1717">
        <v>1536851.2105819709</v>
      </c>
      <c r="CF196" s="256"/>
      <c r="CG196" s="1717">
        <v>1768449.0143597869</v>
      </c>
      <c r="CH196" s="1717">
        <v>1536851.2105819709</v>
      </c>
      <c r="CI196" s="1684">
        <f t="shared" si="17"/>
        <v>0</v>
      </c>
      <c r="CJ196" s="1717">
        <v>1768449.0143597869</v>
      </c>
      <c r="CK196" s="1717">
        <v>1536851.2105819709</v>
      </c>
      <c r="CL196" s="256"/>
      <c r="CM196" s="1717">
        <v>1734035.3405531347</v>
      </c>
      <c r="CN196" s="1717">
        <v>1506944.384984585</v>
      </c>
      <c r="CO196" s="256"/>
      <c r="CP196" s="1246">
        <v>1734035.3405531347</v>
      </c>
      <c r="CQ196" s="1717">
        <v>1506944.384984585</v>
      </c>
      <c r="CR196" s="256"/>
      <c r="CS196" s="1246">
        <v>1734013.2623411347</v>
      </c>
      <c r="CT196" s="1717">
        <v>1506925.1981567126</v>
      </c>
      <c r="CU196" s="256"/>
      <c r="CV196" s="1717">
        <v>1734013.2623411347</v>
      </c>
      <c r="CW196" s="1717">
        <v>1506925.1981567126</v>
      </c>
      <c r="CX196" s="256"/>
      <c r="CY196" s="1717"/>
      <c r="CZ196" s="1717"/>
    </row>
    <row r="197" spans="1:104">
      <c r="A197" s="260">
        <f t="shared" si="20"/>
        <v>190</v>
      </c>
      <c r="B197" s="495">
        <f>'Stmt H'!B107</f>
        <v>879</v>
      </c>
      <c r="C197" s="98" t="s">
        <v>421</v>
      </c>
      <c r="D197" s="286"/>
      <c r="E197" s="289" t="s">
        <v>276</v>
      </c>
      <c r="F197" s="285"/>
      <c r="G197" s="207">
        <f>'Stmt H'!$F107</f>
        <v>1160183.48</v>
      </c>
      <c r="H197" s="29"/>
      <c r="I197" s="635" t="s">
        <v>276</v>
      </c>
      <c r="J197" s="29"/>
      <c r="K197" s="1246">
        <f>'Stmt H'!$U$107</f>
        <v>1240176.63386243</v>
      </c>
      <c r="M197" s="1624">
        <f t="shared" si="27"/>
        <v>0.9932156217360445</v>
      </c>
      <c r="N197" s="1625">
        <f t="shared" si="28"/>
        <v>1152312.3564160878</v>
      </c>
      <c r="O197" s="1625">
        <v>1231762.8064641883</v>
      </c>
      <c r="Q197" s="1717">
        <v>1268296.330079837</v>
      </c>
      <c r="R197" s="256"/>
      <c r="S197" s="1717">
        <v>1268296.330079837</v>
      </c>
      <c r="T197" s="1718">
        <v>1259691.7280257889</v>
      </c>
      <c r="U197" s="256"/>
      <c r="V197" s="1717">
        <v>1268296.330079837</v>
      </c>
      <c r="W197" s="1718">
        <v>1259691.7280257889</v>
      </c>
      <c r="X197" s="256"/>
      <c r="Y197" s="1717">
        <v>1265561.2000798371</v>
      </c>
      <c r="Z197" s="1718">
        <v>1256975.1541823102</v>
      </c>
      <c r="AA197" s="256"/>
      <c r="AB197" s="1717">
        <v>1265561.2000798371</v>
      </c>
      <c r="AC197" s="1718">
        <v>1256975.1541823102</v>
      </c>
      <c r="AD197" s="256"/>
      <c r="AE197" s="1717">
        <v>1265561.2000798371</v>
      </c>
      <c r="AF197" s="1718">
        <v>1256975.1541823102</v>
      </c>
      <c r="AG197" s="256"/>
      <c r="AH197" s="1717">
        <v>1265561.2000798371</v>
      </c>
      <c r="AI197" s="1718">
        <v>1256975.1541823102</v>
      </c>
      <c r="AJ197" s="256"/>
      <c r="AK197" s="1717">
        <v>1265561.2000798371</v>
      </c>
      <c r="AL197" s="1718">
        <v>1256975.1541823102</v>
      </c>
      <c r="AM197" s="256"/>
      <c r="AN197" s="1717">
        <v>1263727.0229057097</v>
      </c>
      <c r="AO197" s="1718">
        <v>1255153.4207599349</v>
      </c>
      <c r="AP197" s="256"/>
      <c r="AQ197" s="1717">
        <v>1263727.0229057097</v>
      </c>
      <c r="AR197" s="1718">
        <v>1255153.4207599349</v>
      </c>
      <c r="AS197" s="256"/>
      <c r="AT197" s="1717">
        <v>1263727.0229057097</v>
      </c>
      <c r="AU197" s="1717">
        <v>1255153.4207599349</v>
      </c>
      <c r="AV197" s="256"/>
      <c r="AW197" s="1717">
        <v>1263727.0229057097</v>
      </c>
      <c r="AX197" s="1717">
        <v>1255153.4207599349</v>
      </c>
      <c r="AY197" s="256"/>
      <c r="AZ197" s="1717">
        <v>1263727.0229057097</v>
      </c>
      <c r="BA197" s="1717">
        <v>1255153.4207599349</v>
      </c>
      <c r="BB197" s="256"/>
      <c r="BC197" s="1717">
        <v>1263727.0229057097</v>
      </c>
      <c r="BD197" s="1717">
        <v>1255153.4207599349</v>
      </c>
      <c r="BE197" s="256"/>
      <c r="BF197" s="1717">
        <v>1263727.0229057097</v>
      </c>
      <c r="BG197" s="1717">
        <v>1255153.4207599349</v>
      </c>
      <c r="BH197" s="256"/>
      <c r="BI197" s="1717">
        <v>1263727.0229057097</v>
      </c>
      <c r="BJ197" s="1717">
        <v>1255153.4207599349</v>
      </c>
      <c r="BK197" s="256"/>
      <c r="BL197" s="1717">
        <v>1263727.0229057097</v>
      </c>
      <c r="BM197" s="1717">
        <v>1255153.4207599349</v>
      </c>
      <c r="BN197" s="256"/>
      <c r="BO197" s="1717">
        <v>1263727.0229057097</v>
      </c>
      <c r="BP197" s="1717">
        <v>1255153.4207599349</v>
      </c>
      <c r="BQ197" s="256"/>
      <c r="BR197" s="1717">
        <v>1263727.0229057097</v>
      </c>
      <c r="BS197" s="1717">
        <v>1255153.4207599349</v>
      </c>
      <c r="BT197" s="256"/>
      <c r="BU197" s="1717">
        <v>1263727.0229057097</v>
      </c>
      <c r="BV197" s="1717">
        <v>1255153.4207599349</v>
      </c>
      <c r="BW197" s="256"/>
      <c r="BX197" s="1717">
        <v>1263727.0229057097</v>
      </c>
      <c r="BY197" s="1717">
        <v>1255153.4207599349</v>
      </c>
      <c r="BZ197" s="256"/>
      <c r="CA197" s="1717">
        <v>1262751.2229057096</v>
      </c>
      <c r="CB197" s="1717">
        <v>1254184.240956245</v>
      </c>
      <c r="CC197" s="256"/>
      <c r="CD197" s="1717">
        <v>1262751.2229057096</v>
      </c>
      <c r="CE197" s="1717">
        <v>1254184.240956245</v>
      </c>
      <c r="CF197" s="256"/>
      <c r="CG197" s="1717">
        <v>1262751.2229057096</v>
      </c>
      <c r="CH197" s="1717">
        <v>1254184.240956245</v>
      </c>
      <c r="CI197" s="1684">
        <f t="shared" si="17"/>
        <v>0</v>
      </c>
      <c r="CJ197" s="1717">
        <v>1262751.2229057096</v>
      </c>
      <c r="CK197" s="1717">
        <v>1254184.240956245</v>
      </c>
      <c r="CL197" s="256"/>
      <c r="CM197" s="1717">
        <v>1240176.63386243</v>
      </c>
      <c r="CN197" s="1717">
        <v>1231762.8064641883</v>
      </c>
      <c r="CO197" s="256"/>
      <c r="CP197" s="1246">
        <v>1240176.63386243</v>
      </c>
      <c r="CQ197" s="1717">
        <v>1231762.8064641883</v>
      </c>
      <c r="CR197" s="256"/>
      <c r="CS197" s="1246">
        <v>1240176.63386243</v>
      </c>
      <c r="CT197" s="1717">
        <v>1231762.8064641883</v>
      </c>
      <c r="CU197" s="256"/>
      <c r="CV197" s="1717">
        <v>1240176.63386243</v>
      </c>
      <c r="CW197" s="1717">
        <v>1231762.8064641883</v>
      </c>
      <c r="CX197" s="256"/>
      <c r="CY197" s="1717"/>
      <c r="CZ197" s="1717"/>
    </row>
    <row r="198" spans="1:104">
      <c r="A198" s="260">
        <f t="shared" si="20"/>
        <v>191</v>
      </c>
      <c r="B198" s="495">
        <f>'Stmt H'!B108</f>
        <v>880</v>
      </c>
      <c r="C198" s="98" t="s">
        <v>422</v>
      </c>
      <c r="D198" s="286"/>
      <c r="E198" s="289" t="s">
        <v>276</v>
      </c>
      <c r="F198" s="285"/>
      <c r="G198" s="207">
        <f>'Stmt H'!$F108</f>
        <v>8973796.9000000004</v>
      </c>
      <c r="H198" s="29"/>
      <c r="I198" s="635" t="s">
        <v>276</v>
      </c>
      <c r="J198" s="29"/>
      <c r="K198" s="1246">
        <f>'Stmt H'!$U$108</f>
        <v>9694445.2439462245</v>
      </c>
      <c r="M198" s="1624">
        <f t="shared" si="27"/>
        <v>0.86168707657505894</v>
      </c>
      <c r="N198" s="1625">
        <f t="shared" si="28"/>
        <v>7732604.8165393267</v>
      </c>
      <c r="O198" s="1625">
        <v>8353578.1812730059</v>
      </c>
      <c r="Q198" s="1717">
        <v>9897721.8505293373</v>
      </c>
      <c r="R198" s="256"/>
      <c r="S198" s="1717">
        <v>9897721.8505293373</v>
      </c>
      <c r="T198" s="1718">
        <v>8518236.7276398167</v>
      </c>
      <c r="U198" s="256"/>
      <c r="V198" s="1717">
        <v>9897721.8505293373</v>
      </c>
      <c r="W198" s="1718">
        <v>8518236.7276398167</v>
      </c>
      <c r="X198" s="256"/>
      <c r="Y198" s="1717">
        <v>9876119.4005293362</v>
      </c>
      <c r="Z198" s="1718">
        <v>8499645.0975883864</v>
      </c>
      <c r="AA198" s="256"/>
      <c r="AB198" s="1717">
        <v>9876119.4005293362</v>
      </c>
      <c r="AC198" s="1718">
        <v>8499645.0975883864</v>
      </c>
      <c r="AD198" s="256"/>
      <c r="AE198" s="1717">
        <v>9876119.4005293362</v>
      </c>
      <c r="AF198" s="1718">
        <v>8499645.0975883864</v>
      </c>
      <c r="AG198" s="256"/>
      <c r="AH198" s="1717">
        <v>9876119.4005293362</v>
      </c>
      <c r="AI198" s="1718">
        <v>8499645.0975883864</v>
      </c>
      <c r="AJ198" s="256"/>
      <c r="AK198" s="1717">
        <v>9876119.4005293362</v>
      </c>
      <c r="AL198" s="1718">
        <v>8499645.0975883864</v>
      </c>
      <c r="AM198" s="256"/>
      <c r="AN198" s="1717">
        <v>9874234.047522977</v>
      </c>
      <c r="AO198" s="1718">
        <v>8498022.5137791149</v>
      </c>
      <c r="AP198" s="256"/>
      <c r="AQ198" s="1717">
        <v>9874234.047522977</v>
      </c>
      <c r="AR198" s="1718">
        <v>8498022.5137791149</v>
      </c>
      <c r="AS198" s="256"/>
      <c r="AT198" s="1717">
        <v>9874234.047522977</v>
      </c>
      <c r="AU198" s="1717">
        <v>8498022.5137791149</v>
      </c>
      <c r="AV198" s="256"/>
      <c r="AW198" s="1717">
        <v>9874234.047522977</v>
      </c>
      <c r="AX198" s="1717">
        <v>8498022.5137791149</v>
      </c>
      <c r="AY198" s="256"/>
      <c r="AZ198" s="1717">
        <v>9874234.047522977</v>
      </c>
      <c r="BA198" s="1717">
        <v>8498022.5137791149</v>
      </c>
      <c r="BB198" s="256"/>
      <c r="BC198" s="1717">
        <v>9874234.047522977</v>
      </c>
      <c r="BD198" s="1717">
        <v>8498022.5137791149</v>
      </c>
      <c r="BE198" s="256"/>
      <c r="BF198" s="1717">
        <v>9874234.047522977</v>
      </c>
      <c r="BG198" s="1717">
        <v>8498022.5137791149</v>
      </c>
      <c r="BH198" s="256"/>
      <c r="BI198" s="1717">
        <v>9874234.047522977</v>
      </c>
      <c r="BJ198" s="1717">
        <v>8498022.5137791149</v>
      </c>
      <c r="BK198" s="256"/>
      <c r="BL198" s="1717">
        <v>9874234.047522977</v>
      </c>
      <c r="BM198" s="1717">
        <v>8498022.5137791149</v>
      </c>
      <c r="BN198" s="256"/>
      <c r="BO198" s="1717">
        <v>9874234.047522977</v>
      </c>
      <c r="BP198" s="1717">
        <v>8498022.5137791149</v>
      </c>
      <c r="BQ198" s="256"/>
      <c r="BR198" s="1717">
        <v>9874234.047522977</v>
      </c>
      <c r="BS198" s="1717">
        <v>8498022.5137791149</v>
      </c>
      <c r="BT198" s="256"/>
      <c r="BU198" s="1717">
        <v>9874234.047522977</v>
      </c>
      <c r="BV198" s="1717">
        <v>8498022.5137791149</v>
      </c>
      <c r="BW198" s="256"/>
      <c r="BX198" s="1717">
        <v>9874234.047522977</v>
      </c>
      <c r="BY198" s="1717">
        <v>8498022.5137791149</v>
      </c>
      <c r="BZ198" s="256"/>
      <c r="CA198" s="1717">
        <v>9866527.0275229774</v>
      </c>
      <c r="CB198" s="1717">
        <v>8501858.8302950803</v>
      </c>
      <c r="CC198" s="256"/>
      <c r="CD198" s="1717">
        <v>9866527.0275229774</v>
      </c>
      <c r="CE198" s="1717">
        <v>8501858.8302950803</v>
      </c>
      <c r="CF198" s="256"/>
      <c r="CG198" s="1717">
        <v>9866527.0275229774</v>
      </c>
      <c r="CH198" s="1717">
        <v>8501858.8302950803</v>
      </c>
      <c r="CI198" s="1684">
        <f t="shared" si="17"/>
        <v>0</v>
      </c>
      <c r="CJ198" s="1717">
        <v>9866527.0275229774</v>
      </c>
      <c r="CK198" s="1717">
        <v>8501858.8302950803</v>
      </c>
      <c r="CL198" s="256"/>
      <c r="CM198" s="1717">
        <v>9697153.7801762242</v>
      </c>
      <c r="CN198" s="1717">
        <v>8355912.0919388328</v>
      </c>
      <c r="CO198" s="256"/>
      <c r="CP198" s="1246">
        <v>9697153.7801762242</v>
      </c>
      <c r="CQ198" s="1717">
        <v>8355912.0919388328</v>
      </c>
      <c r="CR198" s="256"/>
      <c r="CS198" s="1246">
        <v>9694445.2439462245</v>
      </c>
      <c r="CT198" s="1717">
        <v>8353578.1812730059</v>
      </c>
      <c r="CU198" s="256"/>
      <c r="CV198" s="1717">
        <v>9694445.2439462245</v>
      </c>
      <c r="CW198" s="1717">
        <v>8353578.1812730059</v>
      </c>
      <c r="CX198" s="256"/>
      <c r="CY198" s="1717"/>
      <c r="CZ198" s="1717"/>
    </row>
    <row r="199" spans="1:104">
      <c r="A199" s="260">
        <f t="shared" si="20"/>
        <v>192</v>
      </c>
      <c r="B199" s="495">
        <f>'Stmt H'!B109</f>
        <v>881</v>
      </c>
      <c r="C199" s="98" t="s">
        <v>423</v>
      </c>
      <c r="D199" s="286"/>
      <c r="E199" s="289" t="s">
        <v>276</v>
      </c>
      <c r="F199" s="285"/>
      <c r="G199" s="787">
        <f>'Stmt H'!$F109</f>
        <v>36571</v>
      </c>
      <c r="H199" s="29"/>
      <c r="I199" s="635" t="s">
        <v>276</v>
      </c>
      <c r="J199" s="29"/>
      <c r="K199" s="1247">
        <f>'Stmt H'!$U$109</f>
        <v>36553.419800000003</v>
      </c>
      <c r="M199" s="1624">
        <f t="shared" si="27"/>
        <v>0.86168707657505894</v>
      </c>
      <c r="N199" s="1626">
        <f t="shared" si="28"/>
        <v>31512.758077426479</v>
      </c>
      <c r="O199" s="1626">
        <v>31497.609446282881</v>
      </c>
      <c r="Q199" s="1719">
        <v>36573.731</v>
      </c>
      <c r="R199" s="256"/>
      <c r="S199" s="1719">
        <v>36573.731</v>
      </c>
      <c r="T199" s="1720">
        <v>31476.303676320967</v>
      </c>
      <c r="U199" s="256"/>
      <c r="V199" s="1719">
        <v>36573.731</v>
      </c>
      <c r="W199" s="1720">
        <v>31476.303676320967</v>
      </c>
      <c r="X199" s="256"/>
      <c r="Y199" s="1719">
        <v>36573.731</v>
      </c>
      <c r="Z199" s="1720">
        <v>31476.303676320967</v>
      </c>
      <c r="AA199" s="256"/>
      <c r="AB199" s="1719">
        <v>36573.731</v>
      </c>
      <c r="AC199" s="1720">
        <v>31476.303676320967</v>
      </c>
      <c r="AD199" s="256"/>
      <c r="AE199" s="1719">
        <v>36573.731</v>
      </c>
      <c r="AF199" s="1720">
        <v>31476.303676320967</v>
      </c>
      <c r="AG199" s="256"/>
      <c r="AH199" s="1719">
        <v>36573.731</v>
      </c>
      <c r="AI199" s="1720">
        <v>31476.303676320967</v>
      </c>
      <c r="AJ199" s="256"/>
      <c r="AK199" s="1719">
        <v>36573.731</v>
      </c>
      <c r="AL199" s="1720">
        <v>31476.303676320967</v>
      </c>
      <c r="AM199" s="256"/>
      <c r="AN199" s="1719">
        <v>36573.731</v>
      </c>
      <c r="AO199" s="1720">
        <v>31476.303676320967</v>
      </c>
      <c r="AP199" s="256"/>
      <c r="AQ199" s="1719">
        <v>36573.731</v>
      </c>
      <c r="AR199" s="1720">
        <v>31476.303676320967</v>
      </c>
      <c r="AS199" s="256"/>
      <c r="AT199" s="1719">
        <v>36573.731</v>
      </c>
      <c r="AU199" s="1719">
        <v>31476.303676320967</v>
      </c>
      <c r="AV199" s="256"/>
      <c r="AW199" s="1719">
        <v>36573.731</v>
      </c>
      <c r="AX199" s="1719">
        <v>31476.303676320967</v>
      </c>
      <c r="AY199" s="256"/>
      <c r="AZ199" s="1719">
        <v>36573.731</v>
      </c>
      <c r="BA199" s="1719">
        <v>31476.303676320967</v>
      </c>
      <c r="BB199" s="256"/>
      <c r="BC199" s="1719">
        <v>36573.731</v>
      </c>
      <c r="BD199" s="1719">
        <v>31476.303676320967</v>
      </c>
      <c r="BE199" s="256"/>
      <c r="BF199" s="1719">
        <v>36573.731</v>
      </c>
      <c r="BG199" s="1719">
        <v>31476.303676320967</v>
      </c>
      <c r="BH199" s="256"/>
      <c r="BI199" s="1719">
        <v>36573.731</v>
      </c>
      <c r="BJ199" s="1719">
        <v>31476.303676320967</v>
      </c>
      <c r="BK199" s="256"/>
      <c r="BL199" s="1719">
        <v>36573.731</v>
      </c>
      <c r="BM199" s="1719">
        <v>31476.303676320967</v>
      </c>
      <c r="BN199" s="256"/>
      <c r="BO199" s="1719">
        <v>36573.731</v>
      </c>
      <c r="BP199" s="1719">
        <v>31476.303676320967</v>
      </c>
      <c r="BQ199" s="256"/>
      <c r="BR199" s="1719">
        <v>36573.731</v>
      </c>
      <c r="BS199" s="1719">
        <v>31476.303676320967</v>
      </c>
      <c r="BT199" s="256"/>
      <c r="BU199" s="1719">
        <v>36573.731</v>
      </c>
      <c r="BV199" s="1719">
        <v>31476.303676320967</v>
      </c>
      <c r="BW199" s="256"/>
      <c r="BX199" s="1719">
        <v>36573.731</v>
      </c>
      <c r="BY199" s="1719">
        <v>31476.303676320967</v>
      </c>
      <c r="BZ199" s="256"/>
      <c r="CA199" s="1719">
        <v>36573.731</v>
      </c>
      <c r="CB199" s="1719">
        <v>31515.111344832607</v>
      </c>
      <c r="CC199" s="256"/>
      <c r="CD199" s="1719">
        <v>36573.731</v>
      </c>
      <c r="CE199" s="1719">
        <v>31515.111344832607</v>
      </c>
      <c r="CF199" s="256"/>
      <c r="CG199" s="1719">
        <v>36573.731</v>
      </c>
      <c r="CH199" s="1719">
        <v>31515.111344832607</v>
      </c>
      <c r="CI199" s="1684">
        <f t="shared" si="17"/>
        <v>0</v>
      </c>
      <c r="CJ199" s="1719">
        <v>36573.731</v>
      </c>
      <c r="CK199" s="1719">
        <v>31515.111344832607</v>
      </c>
      <c r="CL199" s="256"/>
      <c r="CM199" s="1719">
        <v>36573.731</v>
      </c>
      <c r="CN199" s="1719">
        <v>31515.111344832607</v>
      </c>
      <c r="CO199" s="256"/>
      <c r="CP199" s="1247">
        <v>36573.731</v>
      </c>
      <c r="CQ199" s="1719">
        <v>31515.111344832607</v>
      </c>
      <c r="CR199" s="256"/>
      <c r="CS199" s="1247">
        <v>36553.419800000003</v>
      </c>
      <c r="CT199" s="1719">
        <v>31497.609446282881</v>
      </c>
      <c r="CU199" s="256"/>
      <c r="CV199" s="1719">
        <v>36553.419800000003</v>
      </c>
      <c r="CW199" s="1719">
        <v>31497.609446282881</v>
      </c>
      <c r="CX199" s="256"/>
      <c r="CY199" s="1719"/>
      <c r="CZ199" s="1719"/>
    </row>
    <row r="200" spans="1:104">
      <c r="A200" s="260">
        <f t="shared" si="20"/>
        <v>193</v>
      </c>
      <c r="B200" s="495"/>
      <c r="C200" s="275" t="s">
        <v>137</v>
      </c>
      <c r="D200" s="266"/>
      <c r="E200" s="265"/>
      <c r="F200" s="264"/>
      <c r="G200" s="361">
        <f>SUM(G189:G199)</f>
        <v>24082009.460000001</v>
      </c>
      <c r="H200" s="29"/>
      <c r="I200" s="24"/>
      <c r="J200" s="29"/>
      <c r="K200" s="49">
        <f>SUM(K189:K199)</f>
        <v>25427926.553933196</v>
      </c>
      <c r="M200" s="1630" t="s">
        <v>1528</v>
      </c>
      <c r="N200" s="1614">
        <f>SUM(N189:N199)</f>
        <v>20659592.664753523</v>
      </c>
      <c r="O200" s="1614">
        <v>21888531.51182488</v>
      </c>
      <c r="Q200" s="49">
        <v>26094171.429048579</v>
      </c>
      <c r="R200" s="256"/>
      <c r="S200" s="49">
        <v>26094171.429048579</v>
      </c>
      <c r="T200" s="1721">
        <v>22443532.498095408</v>
      </c>
      <c r="U200" s="256"/>
      <c r="V200" s="49">
        <v>26094171.429048579</v>
      </c>
      <c r="W200" s="1721">
        <v>22443532.498095408</v>
      </c>
      <c r="X200" s="256"/>
      <c r="Y200" s="49">
        <v>26043278.739048578</v>
      </c>
      <c r="Z200" s="1721">
        <v>22399609.337287519</v>
      </c>
      <c r="AA200" s="256"/>
      <c r="AB200" s="49">
        <v>26043278.739048578</v>
      </c>
      <c r="AC200" s="1721">
        <v>22399609.337287519</v>
      </c>
      <c r="AD200" s="256"/>
      <c r="AE200" s="49">
        <v>26043278.739048578</v>
      </c>
      <c r="AF200" s="1721">
        <v>22399609.337287519</v>
      </c>
      <c r="AG200" s="256"/>
      <c r="AH200" s="49">
        <v>26043278.739048578</v>
      </c>
      <c r="AI200" s="1721">
        <v>22399609.337287519</v>
      </c>
      <c r="AJ200" s="256"/>
      <c r="AK200" s="49">
        <v>25895437.599048577</v>
      </c>
      <c r="AL200" s="1721">
        <v>22270451.849948611</v>
      </c>
      <c r="AM200" s="256"/>
      <c r="AN200" s="49">
        <v>25885108.154873624</v>
      </c>
      <c r="AO200" s="1721">
        <v>22261503.492727898</v>
      </c>
      <c r="AP200" s="256"/>
      <c r="AQ200" s="49">
        <v>25885108.154873624</v>
      </c>
      <c r="AR200" s="1721">
        <v>22261503.492727898</v>
      </c>
      <c r="AS200" s="256"/>
      <c r="AT200" s="49">
        <v>25885108.154873624</v>
      </c>
      <c r="AU200" s="49">
        <v>22261503.492727898</v>
      </c>
      <c r="AV200" s="256"/>
      <c r="AW200" s="49">
        <v>25885108.154873624</v>
      </c>
      <c r="AX200" s="49">
        <v>22261503.492727898</v>
      </c>
      <c r="AY200" s="256"/>
      <c r="AZ200" s="49">
        <v>25885108.154873624</v>
      </c>
      <c r="BA200" s="49">
        <v>22261503.492727898</v>
      </c>
      <c r="BB200" s="256"/>
      <c r="BC200" s="49">
        <v>25885108.154873624</v>
      </c>
      <c r="BD200" s="49">
        <v>22261503.492727898</v>
      </c>
      <c r="BE200" s="256"/>
      <c r="BF200" s="49">
        <v>25885108.154873624</v>
      </c>
      <c r="BG200" s="49">
        <v>22261503.492727898</v>
      </c>
      <c r="BH200" s="256"/>
      <c r="BI200" s="49">
        <v>25885108.154873624</v>
      </c>
      <c r="BJ200" s="49">
        <v>22261503.492727898</v>
      </c>
      <c r="BK200" s="256"/>
      <c r="BL200" s="49">
        <v>25885108.154873624</v>
      </c>
      <c r="BM200" s="49">
        <v>22261503.492727898</v>
      </c>
      <c r="BN200" s="256"/>
      <c r="BO200" s="49">
        <v>25885108.154873624</v>
      </c>
      <c r="BP200" s="49">
        <v>22261503.492727898</v>
      </c>
      <c r="BQ200" s="256"/>
      <c r="BR200" s="49">
        <v>25885108.154873624</v>
      </c>
      <c r="BS200" s="49">
        <v>22261503.492727898</v>
      </c>
      <c r="BT200" s="256"/>
      <c r="BU200" s="49">
        <v>25885108.154873624</v>
      </c>
      <c r="BV200" s="49">
        <v>22261503.492727898</v>
      </c>
      <c r="BW200" s="256"/>
      <c r="BX200" s="49">
        <v>25885108.154873624</v>
      </c>
      <c r="BY200" s="49">
        <v>22261503.492727898</v>
      </c>
      <c r="BZ200" s="256"/>
      <c r="CA200" s="49">
        <v>25866951.374873623</v>
      </c>
      <c r="CB200" s="49">
        <v>22267808.874683406</v>
      </c>
      <c r="CC200" s="256"/>
      <c r="CD200" s="49">
        <v>25866951.374873623</v>
      </c>
      <c r="CE200" s="49">
        <v>22267808.874683406</v>
      </c>
      <c r="CF200" s="256"/>
      <c r="CG200" s="49">
        <v>25866951.374873623</v>
      </c>
      <c r="CH200" s="49">
        <v>22267808.874683406</v>
      </c>
      <c r="CI200" s="1684">
        <f t="shared" si="17"/>
        <v>0</v>
      </c>
      <c r="CJ200" s="49">
        <v>25866951.374873623</v>
      </c>
      <c r="CK200" s="49">
        <v>22267808.874683406</v>
      </c>
      <c r="CL200" s="256"/>
      <c r="CM200" s="49">
        <v>25454158.189859197</v>
      </c>
      <c r="CN200" s="49">
        <v>21911117.587762404</v>
      </c>
      <c r="CO200" s="256"/>
      <c r="CP200" s="49">
        <v>25454158.189859197</v>
      </c>
      <c r="CQ200" s="49">
        <v>21911117.587762404</v>
      </c>
      <c r="CR200" s="256"/>
      <c r="CS200" s="49">
        <v>25427926.553933196</v>
      </c>
      <c r="CT200" s="49">
        <v>21888531.51182488</v>
      </c>
      <c r="CU200" s="256"/>
      <c r="CV200" s="49">
        <v>25427926.553933196</v>
      </c>
      <c r="CW200" s="49">
        <v>21888531.51182488</v>
      </c>
      <c r="CX200" s="256"/>
      <c r="CY200" s="49"/>
      <c r="CZ200" s="49"/>
    </row>
    <row r="201" spans="1:104">
      <c r="A201" s="260">
        <f t="shared" si="20"/>
        <v>194</v>
      </c>
      <c r="B201" s="495"/>
      <c r="D201" s="266"/>
      <c r="E201" s="265"/>
      <c r="F201" s="264"/>
      <c r="G201" s="361"/>
      <c r="H201" s="29"/>
      <c r="I201" s="24"/>
      <c r="J201" s="29"/>
      <c r="K201" s="54"/>
      <c r="M201" s="1624"/>
      <c r="N201" s="1113"/>
      <c r="O201" s="1113"/>
      <c r="Q201" s="54"/>
      <c r="R201" s="256"/>
      <c r="S201" s="54"/>
      <c r="T201" s="1694"/>
      <c r="U201" s="256"/>
      <c r="V201" s="54"/>
      <c r="W201" s="1694"/>
      <c r="X201" s="256"/>
      <c r="Y201" s="54"/>
      <c r="Z201" s="1694"/>
      <c r="AA201" s="256"/>
      <c r="AB201" s="54"/>
      <c r="AC201" s="1694"/>
      <c r="AD201" s="256"/>
      <c r="AE201" s="54"/>
      <c r="AF201" s="1694"/>
      <c r="AG201" s="256"/>
      <c r="AH201" s="54"/>
      <c r="AI201" s="1694"/>
      <c r="AJ201" s="256"/>
      <c r="AK201" s="54"/>
      <c r="AL201" s="1694"/>
      <c r="AM201" s="256"/>
      <c r="AN201" s="54"/>
      <c r="AO201" s="1694"/>
      <c r="AP201" s="256"/>
      <c r="AQ201" s="54"/>
      <c r="AR201" s="1694"/>
      <c r="AS201" s="256"/>
      <c r="AT201" s="54"/>
      <c r="AU201" s="54"/>
      <c r="AV201" s="256"/>
      <c r="AW201" s="54"/>
      <c r="AX201" s="54"/>
      <c r="AY201" s="256"/>
      <c r="AZ201" s="54"/>
      <c r="BA201" s="54"/>
      <c r="BB201" s="256"/>
      <c r="BC201" s="54"/>
      <c r="BD201" s="54"/>
      <c r="BE201" s="256"/>
      <c r="BF201" s="54"/>
      <c r="BG201" s="54"/>
      <c r="BH201" s="256"/>
      <c r="BI201" s="54"/>
      <c r="BJ201" s="54"/>
      <c r="BK201" s="256"/>
      <c r="BL201" s="54"/>
      <c r="BM201" s="54"/>
      <c r="BN201" s="256"/>
      <c r="BO201" s="54"/>
      <c r="BP201" s="54"/>
      <c r="BQ201" s="256"/>
      <c r="BR201" s="54"/>
      <c r="BS201" s="54"/>
      <c r="BT201" s="256"/>
      <c r="BU201" s="54"/>
      <c r="BV201" s="54"/>
      <c r="BW201" s="256"/>
      <c r="BX201" s="54"/>
      <c r="BY201" s="54"/>
      <c r="BZ201" s="256"/>
      <c r="CA201" s="54"/>
      <c r="CB201" s="54"/>
      <c r="CC201" s="256"/>
      <c r="CD201" s="54"/>
      <c r="CE201" s="54"/>
      <c r="CF201" s="256"/>
      <c r="CG201" s="54"/>
      <c r="CH201" s="54"/>
      <c r="CI201" s="1684">
        <f t="shared" ref="CI201:CI245" si="29">CH201-CE201</f>
        <v>0</v>
      </c>
      <c r="CJ201" s="54"/>
      <c r="CK201" s="54"/>
      <c r="CL201" s="256"/>
      <c r="CM201" s="54"/>
      <c r="CN201" s="54"/>
      <c r="CO201" s="256"/>
      <c r="CP201" s="54"/>
      <c r="CQ201" s="54"/>
      <c r="CR201" s="256"/>
      <c r="CS201" s="54"/>
      <c r="CT201" s="54"/>
      <c r="CU201" s="256"/>
      <c r="CV201" s="54"/>
      <c r="CW201" s="54"/>
      <c r="CX201" s="256"/>
      <c r="CY201" s="54"/>
      <c r="CZ201" s="54"/>
    </row>
    <row r="202" spans="1:104" ht="13.5">
      <c r="A202" s="260">
        <f t="shared" si="20"/>
        <v>195</v>
      </c>
      <c r="B202" s="495"/>
      <c r="C202" s="295" t="s">
        <v>325</v>
      </c>
      <c r="D202" s="266"/>
      <c r="E202" s="265"/>
      <c r="F202" s="264"/>
      <c r="G202" s="361"/>
      <c r="H202" s="29"/>
      <c r="I202" s="24"/>
      <c r="J202" s="29"/>
      <c r="K202" s="54"/>
      <c r="M202" s="1624"/>
      <c r="N202" s="1113"/>
      <c r="O202" s="1113"/>
      <c r="Q202" s="54"/>
      <c r="R202" s="256"/>
      <c r="S202" s="54"/>
      <c r="T202" s="1694"/>
      <c r="U202" s="256"/>
      <c r="V202" s="54"/>
      <c r="W202" s="1694"/>
      <c r="X202" s="256"/>
      <c r="Y202" s="54"/>
      <c r="Z202" s="1694"/>
      <c r="AA202" s="256"/>
      <c r="AB202" s="54"/>
      <c r="AC202" s="1694"/>
      <c r="AD202" s="256"/>
      <c r="AE202" s="54"/>
      <c r="AF202" s="1694"/>
      <c r="AG202" s="256"/>
      <c r="AH202" s="54"/>
      <c r="AI202" s="1694"/>
      <c r="AJ202" s="256"/>
      <c r="AK202" s="54"/>
      <c r="AL202" s="1694"/>
      <c r="AM202" s="256"/>
      <c r="AN202" s="54"/>
      <c r="AO202" s="1694"/>
      <c r="AP202" s="256"/>
      <c r="AQ202" s="54"/>
      <c r="AR202" s="1694"/>
      <c r="AS202" s="256"/>
      <c r="AT202" s="54"/>
      <c r="AU202" s="54"/>
      <c r="AV202" s="256"/>
      <c r="AW202" s="54"/>
      <c r="AX202" s="54"/>
      <c r="AY202" s="256"/>
      <c r="AZ202" s="54"/>
      <c r="BA202" s="54"/>
      <c r="BB202" s="256"/>
      <c r="BC202" s="54"/>
      <c r="BD202" s="54"/>
      <c r="BE202" s="256"/>
      <c r="BF202" s="54"/>
      <c r="BG202" s="54"/>
      <c r="BH202" s="256"/>
      <c r="BI202" s="54"/>
      <c r="BJ202" s="54"/>
      <c r="BK202" s="256"/>
      <c r="BL202" s="54"/>
      <c r="BM202" s="54"/>
      <c r="BN202" s="256"/>
      <c r="BO202" s="54"/>
      <c r="BP202" s="54"/>
      <c r="BQ202" s="256"/>
      <c r="BR202" s="54"/>
      <c r="BS202" s="54"/>
      <c r="BT202" s="256"/>
      <c r="BU202" s="54"/>
      <c r="BV202" s="54"/>
      <c r="BW202" s="256"/>
      <c r="BX202" s="54"/>
      <c r="BY202" s="54"/>
      <c r="BZ202" s="256"/>
      <c r="CA202" s="54"/>
      <c r="CB202" s="54"/>
      <c r="CC202" s="256"/>
      <c r="CD202" s="54"/>
      <c r="CE202" s="54"/>
      <c r="CF202" s="256"/>
      <c r="CG202" s="54"/>
      <c r="CH202" s="54"/>
      <c r="CI202" s="1684">
        <f t="shared" si="29"/>
        <v>0</v>
      </c>
      <c r="CJ202" s="54"/>
      <c r="CK202" s="54"/>
      <c r="CL202" s="256"/>
      <c r="CM202" s="54"/>
      <c r="CN202" s="54"/>
      <c r="CO202" s="256"/>
      <c r="CP202" s="54"/>
      <c r="CQ202" s="54"/>
      <c r="CR202" s="256"/>
      <c r="CS202" s="54"/>
      <c r="CT202" s="54"/>
      <c r="CU202" s="256"/>
      <c r="CV202" s="54"/>
      <c r="CW202" s="54"/>
      <c r="CX202" s="256"/>
      <c r="CY202" s="54"/>
      <c r="CZ202" s="54"/>
    </row>
    <row r="203" spans="1:104">
      <c r="A203" s="260">
        <f t="shared" si="20"/>
        <v>196</v>
      </c>
      <c r="B203" s="495">
        <f>'Stmt H'!B113</f>
        <v>885</v>
      </c>
      <c r="C203" s="98" t="s">
        <v>424</v>
      </c>
      <c r="D203" s="266"/>
      <c r="E203" s="289" t="s">
        <v>276</v>
      </c>
      <c r="F203" s="264"/>
      <c r="G203" s="361">
        <f>'Stmt H'!$F113</f>
        <v>202.67000000000002</v>
      </c>
      <c r="H203" s="29"/>
      <c r="I203" s="583" t="s">
        <v>276</v>
      </c>
      <c r="J203" s="29"/>
      <c r="K203" s="361">
        <f>'Stmt H'!$U113</f>
        <v>202.67000000000002</v>
      </c>
      <c r="M203" s="1624">
        <f t="shared" ref="M203:M212" si="30">IF(ISERROR(O203/K203),0,O203/K203)</f>
        <v>0.82733495007210112</v>
      </c>
      <c r="N203" s="1113">
        <f t="shared" ref="N203:N212" si="31">M203*G203</f>
        <v>167.67597433111274</v>
      </c>
      <c r="O203" s="1113">
        <v>167.67597433111274</v>
      </c>
      <c r="Q203" s="333">
        <v>202.67000000000002</v>
      </c>
      <c r="R203" s="256"/>
      <c r="S203" s="333">
        <v>202.67000000000002</v>
      </c>
      <c r="T203" s="1693">
        <v>167.72627908090385</v>
      </c>
      <c r="U203" s="256"/>
      <c r="V203" s="333">
        <v>202.67000000000002</v>
      </c>
      <c r="W203" s="1693">
        <v>167.72627908090385</v>
      </c>
      <c r="X203" s="256"/>
      <c r="Y203" s="333">
        <v>202.67000000000002</v>
      </c>
      <c r="Z203" s="1693">
        <v>167.71747748781991</v>
      </c>
      <c r="AA203" s="256"/>
      <c r="AB203" s="333">
        <v>202.67000000000002</v>
      </c>
      <c r="AC203" s="1693">
        <v>167.71735215101592</v>
      </c>
      <c r="AD203" s="256"/>
      <c r="AE203" s="333">
        <v>202.67000000000002</v>
      </c>
      <c r="AF203" s="1693">
        <v>167.71735215101592</v>
      </c>
      <c r="AG203" s="256"/>
      <c r="AH203" s="333">
        <v>202.67000000000002</v>
      </c>
      <c r="AI203" s="1693">
        <v>167.71735215101592</v>
      </c>
      <c r="AJ203" s="256"/>
      <c r="AK203" s="333">
        <v>202.67000000000002</v>
      </c>
      <c r="AL203" s="1693">
        <v>167.71735215101592</v>
      </c>
      <c r="AM203" s="256"/>
      <c r="AN203" s="333">
        <v>202.67000000000002</v>
      </c>
      <c r="AO203" s="1693">
        <v>167.72319510544386</v>
      </c>
      <c r="AP203" s="256"/>
      <c r="AQ203" s="333">
        <v>202.67000000000002</v>
      </c>
      <c r="AR203" s="1693">
        <v>167.72319510544386</v>
      </c>
      <c r="AS203" s="256"/>
      <c r="AT203" s="333">
        <v>202.67000000000002</v>
      </c>
      <c r="AU203" s="333">
        <v>167.72319510544386</v>
      </c>
      <c r="AV203" s="256"/>
      <c r="AW203" s="333">
        <v>202.67000000000002</v>
      </c>
      <c r="AX203" s="333">
        <v>167.72319510544386</v>
      </c>
      <c r="AY203" s="256"/>
      <c r="AZ203" s="333">
        <v>202.67000000000002</v>
      </c>
      <c r="BA203" s="333">
        <v>167.72319510544386</v>
      </c>
      <c r="BB203" s="256"/>
      <c r="BC203" s="333">
        <v>202.67000000000002</v>
      </c>
      <c r="BD203" s="333">
        <v>167.72319510544386</v>
      </c>
      <c r="BE203" s="256"/>
      <c r="BF203" s="333">
        <v>202.67000000000002</v>
      </c>
      <c r="BG203" s="333">
        <v>167.72319510544386</v>
      </c>
      <c r="BH203" s="256"/>
      <c r="BI203" s="333">
        <v>202.67000000000002</v>
      </c>
      <c r="BJ203" s="333">
        <v>167.72319510544386</v>
      </c>
      <c r="BK203" s="256"/>
      <c r="BL203" s="333">
        <v>202.67000000000002</v>
      </c>
      <c r="BM203" s="333">
        <v>167.72319510544386</v>
      </c>
      <c r="BN203" s="256"/>
      <c r="BO203" s="333">
        <v>202.67000000000002</v>
      </c>
      <c r="BP203" s="333">
        <v>167.72319510544386</v>
      </c>
      <c r="BQ203" s="256"/>
      <c r="BR203" s="333">
        <v>202.67000000000002</v>
      </c>
      <c r="BS203" s="333">
        <v>167.72319510544386</v>
      </c>
      <c r="BT203" s="256"/>
      <c r="BU203" s="333">
        <v>202.67000000000002</v>
      </c>
      <c r="BV203" s="333">
        <v>167.72319510544386</v>
      </c>
      <c r="BW203" s="256"/>
      <c r="BX203" s="333">
        <v>202.67000000000002</v>
      </c>
      <c r="BY203" s="333">
        <v>167.72319510544386</v>
      </c>
      <c r="BZ203" s="256"/>
      <c r="CA203" s="333">
        <v>202.67000000000002</v>
      </c>
      <c r="CB203" s="333">
        <v>167.73311128360257</v>
      </c>
      <c r="CC203" s="256"/>
      <c r="CD203" s="333">
        <v>202.67000000000002</v>
      </c>
      <c r="CE203" s="333">
        <v>167.73311128360257</v>
      </c>
      <c r="CF203" s="256"/>
      <c r="CG203" s="333">
        <v>202.67000000000002</v>
      </c>
      <c r="CH203" s="333">
        <v>167.73311128360257</v>
      </c>
      <c r="CI203" s="1684">
        <f t="shared" si="29"/>
        <v>0</v>
      </c>
      <c r="CJ203" s="333">
        <v>202.67000000000002</v>
      </c>
      <c r="CK203" s="333">
        <v>167.73311128360257</v>
      </c>
      <c r="CL203" s="256"/>
      <c r="CM203" s="333">
        <v>202.67000000000002</v>
      </c>
      <c r="CN203" s="333">
        <v>167.67864663521829</v>
      </c>
      <c r="CO203" s="256"/>
      <c r="CP203" s="361">
        <v>202.67000000000002</v>
      </c>
      <c r="CQ203" s="333">
        <v>167.67864663521829</v>
      </c>
      <c r="CR203" s="256"/>
      <c r="CS203" s="361">
        <v>202.67000000000002</v>
      </c>
      <c r="CT203" s="333">
        <v>167.67597433111274</v>
      </c>
      <c r="CU203" s="256"/>
      <c r="CV203" s="333">
        <v>202.67000000000002</v>
      </c>
      <c r="CW203" s="333">
        <v>167.67597433111274</v>
      </c>
      <c r="CX203" s="256"/>
      <c r="CY203" s="333"/>
      <c r="CZ203" s="333"/>
    </row>
    <row r="204" spans="1:104">
      <c r="A204" s="260">
        <f t="shared" si="20"/>
        <v>197</v>
      </c>
      <c r="B204" s="495">
        <f>'Stmt H'!B114</f>
        <v>886</v>
      </c>
      <c r="C204" s="98" t="s">
        <v>572</v>
      </c>
      <c r="D204" s="266"/>
      <c r="E204" s="289" t="s">
        <v>276</v>
      </c>
      <c r="F204" s="264"/>
      <c r="G204" s="209">
        <f>'Stmt H'!$F114</f>
        <v>301.74</v>
      </c>
      <c r="H204" s="29"/>
      <c r="I204" s="635" t="s">
        <v>276</v>
      </c>
      <c r="J204" s="29"/>
      <c r="K204" s="636">
        <f>'Stmt H'!$U114</f>
        <v>301.74</v>
      </c>
      <c r="M204" s="1624">
        <f t="shared" si="30"/>
        <v>0.67237672202337784</v>
      </c>
      <c r="N204" s="1628">
        <f t="shared" si="31"/>
        <v>202.88295210333405</v>
      </c>
      <c r="O204" s="1628">
        <v>202.88295210333402</v>
      </c>
      <c r="Q204" s="1699">
        <v>301.74</v>
      </c>
      <c r="R204" s="256"/>
      <c r="S204" s="1699">
        <v>301.74</v>
      </c>
      <c r="T204" s="1700">
        <v>202.70728163615217</v>
      </c>
      <c r="U204" s="256"/>
      <c r="V204" s="1699">
        <v>301.74</v>
      </c>
      <c r="W204" s="1700">
        <v>202.70728163615217</v>
      </c>
      <c r="X204" s="256"/>
      <c r="Y204" s="1699">
        <v>301.74</v>
      </c>
      <c r="Z204" s="1700">
        <v>202.70728163615217</v>
      </c>
      <c r="AA204" s="256"/>
      <c r="AB204" s="1699">
        <v>301.74</v>
      </c>
      <c r="AC204" s="1700">
        <v>202.70728163615217</v>
      </c>
      <c r="AD204" s="256"/>
      <c r="AE204" s="1699">
        <v>301.74</v>
      </c>
      <c r="AF204" s="1700">
        <v>202.70728163615217</v>
      </c>
      <c r="AG204" s="256"/>
      <c r="AH204" s="1699">
        <v>301.74</v>
      </c>
      <c r="AI204" s="1700">
        <v>202.70728163615217</v>
      </c>
      <c r="AJ204" s="256"/>
      <c r="AK204" s="1699">
        <v>301.74</v>
      </c>
      <c r="AL204" s="1700">
        <v>202.70728163615217</v>
      </c>
      <c r="AM204" s="256"/>
      <c r="AN204" s="1699">
        <v>301.74</v>
      </c>
      <c r="AO204" s="1700">
        <v>202.70728163615217</v>
      </c>
      <c r="AP204" s="256"/>
      <c r="AQ204" s="1699">
        <v>301.74</v>
      </c>
      <c r="AR204" s="1700">
        <v>202.70728163615217</v>
      </c>
      <c r="AS204" s="256"/>
      <c r="AT204" s="1699">
        <v>301.74</v>
      </c>
      <c r="AU204" s="1699">
        <v>202.70728163615217</v>
      </c>
      <c r="AV204" s="256"/>
      <c r="AW204" s="1699">
        <v>301.74</v>
      </c>
      <c r="AX204" s="1699">
        <v>202.70728163615217</v>
      </c>
      <c r="AY204" s="256"/>
      <c r="AZ204" s="1699">
        <v>301.74</v>
      </c>
      <c r="BA204" s="1699">
        <v>202.70728163615217</v>
      </c>
      <c r="BB204" s="256"/>
      <c r="BC204" s="1699">
        <v>301.74</v>
      </c>
      <c r="BD204" s="1699">
        <v>202.70728163615217</v>
      </c>
      <c r="BE204" s="256"/>
      <c r="BF204" s="1699">
        <v>301.74</v>
      </c>
      <c r="BG204" s="1699">
        <v>202.70728163615217</v>
      </c>
      <c r="BH204" s="256"/>
      <c r="BI204" s="1699">
        <v>301.74</v>
      </c>
      <c r="BJ204" s="1699">
        <v>202.70728163615217</v>
      </c>
      <c r="BK204" s="256"/>
      <c r="BL204" s="1699">
        <v>301.74</v>
      </c>
      <c r="BM204" s="1699">
        <v>202.70728163615217</v>
      </c>
      <c r="BN204" s="256"/>
      <c r="BO204" s="1699">
        <v>301.74</v>
      </c>
      <c r="BP204" s="1699">
        <v>202.70728163615217</v>
      </c>
      <c r="BQ204" s="256"/>
      <c r="BR204" s="1699">
        <v>301.74</v>
      </c>
      <c r="BS204" s="1699">
        <v>202.70728163615217</v>
      </c>
      <c r="BT204" s="256"/>
      <c r="BU204" s="1699">
        <v>301.74</v>
      </c>
      <c r="BV204" s="1699">
        <v>202.70728163615217</v>
      </c>
      <c r="BW204" s="256"/>
      <c r="BX204" s="1699">
        <v>301.74</v>
      </c>
      <c r="BY204" s="1699">
        <v>202.70728163615217</v>
      </c>
      <c r="BZ204" s="256"/>
      <c r="CA204" s="1699">
        <v>301.74</v>
      </c>
      <c r="CB204" s="1699">
        <v>202.88295210333402</v>
      </c>
      <c r="CC204" s="256"/>
      <c r="CD204" s="1699">
        <v>301.74</v>
      </c>
      <c r="CE204" s="1699">
        <v>202.88295210333402</v>
      </c>
      <c r="CF204" s="256"/>
      <c r="CG204" s="1699">
        <v>301.74</v>
      </c>
      <c r="CH204" s="1699">
        <v>202.88295210333402</v>
      </c>
      <c r="CI204" s="1684">
        <f t="shared" si="29"/>
        <v>0</v>
      </c>
      <c r="CJ204" s="1699">
        <v>301.74</v>
      </c>
      <c r="CK204" s="1699">
        <v>202.88295210333402</v>
      </c>
      <c r="CL204" s="256"/>
      <c r="CM204" s="1699">
        <v>301.74</v>
      </c>
      <c r="CN204" s="1699">
        <v>202.88295210333402</v>
      </c>
      <c r="CO204" s="256"/>
      <c r="CP204" s="636">
        <v>301.74</v>
      </c>
      <c r="CQ204" s="1699">
        <v>202.88295210333402</v>
      </c>
      <c r="CR204" s="256"/>
      <c r="CS204" s="636">
        <v>301.74</v>
      </c>
      <c r="CT204" s="1699">
        <v>202.88295210333402</v>
      </c>
      <c r="CU204" s="256"/>
      <c r="CV204" s="1699">
        <v>301.74</v>
      </c>
      <c r="CW204" s="1699">
        <v>202.88295210333402</v>
      </c>
      <c r="CX204" s="256"/>
      <c r="CY204" s="1699"/>
      <c r="CZ204" s="1699"/>
    </row>
    <row r="205" spans="1:104">
      <c r="A205" s="260">
        <f t="shared" si="20"/>
        <v>198</v>
      </c>
      <c r="B205" s="495">
        <f>'Stmt H'!B115</f>
        <v>887</v>
      </c>
      <c r="C205" s="98" t="str">
        <f>'Stmt H'!D115</f>
        <v>Perf. Underground Distribution Line Maintenance - Gas</v>
      </c>
      <c r="D205" s="266"/>
      <c r="E205" s="289" t="s">
        <v>276</v>
      </c>
      <c r="F205" s="264"/>
      <c r="G205" s="1242">
        <f>'Stmt H'!$F115</f>
        <v>511842</v>
      </c>
      <c r="H205" s="29"/>
      <c r="I205" s="635" t="s">
        <v>276</v>
      </c>
      <c r="J205" s="29"/>
      <c r="K205" s="1246">
        <f>'Stmt H'!$U115</f>
        <v>520525.31977455213</v>
      </c>
      <c r="M205" s="1624">
        <f t="shared" si="30"/>
        <v>0.82916459753308558</v>
      </c>
      <c r="N205" s="1634">
        <f t="shared" si="31"/>
        <v>424401.26593052957</v>
      </c>
      <c r="O205" s="1634">
        <v>431601.16727664717</v>
      </c>
      <c r="P205" s="1127"/>
      <c r="Q205" s="1717">
        <v>533709.21128172288</v>
      </c>
      <c r="R205" s="256"/>
      <c r="S205" s="1717">
        <v>533709.21128172288</v>
      </c>
      <c r="T205" s="1718">
        <v>442532.45430552261</v>
      </c>
      <c r="U205" s="256"/>
      <c r="V205" s="1717">
        <v>533709.21128172288</v>
      </c>
      <c r="W205" s="1718">
        <v>442532.45430552261</v>
      </c>
      <c r="X205" s="256"/>
      <c r="Y205" s="1717">
        <v>532434.6312817228</v>
      </c>
      <c r="Z205" s="1718">
        <v>441475.61847866065</v>
      </c>
      <c r="AA205" s="256"/>
      <c r="AB205" s="1717">
        <v>532434.6312817228</v>
      </c>
      <c r="AC205" s="1718">
        <v>441475.61847866065</v>
      </c>
      <c r="AD205" s="256"/>
      <c r="AE205" s="1717">
        <v>532434.6312817228</v>
      </c>
      <c r="AF205" s="1718">
        <v>441475.61847866065</v>
      </c>
      <c r="AG205" s="256"/>
      <c r="AH205" s="1717">
        <v>532434.6312817228</v>
      </c>
      <c r="AI205" s="1718">
        <v>441475.61847866065</v>
      </c>
      <c r="AJ205" s="256"/>
      <c r="AK205" s="1717">
        <v>532434.6312817228</v>
      </c>
      <c r="AL205" s="1718">
        <v>441475.61847866065</v>
      </c>
      <c r="AM205" s="256"/>
      <c r="AN205" s="1717">
        <v>530545.25246156449</v>
      </c>
      <c r="AO205" s="1718">
        <v>439909.01361458201</v>
      </c>
      <c r="AP205" s="256"/>
      <c r="AQ205" s="1717">
        <v>530545.25246156449</v>
      </c>
      <c r="AR205" s="1718">
        <v>439909.01361458201</v>
      </c>
      <c r="AS205" s="256"/>
      <c r="AT205" s="1717">
        <v>530545.25246156449</v>
      </c>
      <c r="AU205" s="1717">
        <v>439909.01361458201</v>
      </c>
      <c r="AV205" s="256"/>
      <c r="AW205" s="1717">
        <v>530545.25246156449</v>
      </c>
      <c r="AX205" s="1717">
        <v>439909.01361458201</v>
      </c>
      <c r="AY205" s="256"/>
      <c r="AZ205" s="1717">
        <v>530545.25246156449</v>
      </c>
      <c r="BA205" s="1717">
        <v>439909.01361458201</v>
      </c>
      <c r="BB205" s="256"/>
      <c r="BC205" s="1717">
        <v>530545.25246156449</v>
      </c>
      <c r="BD205" s="1717">
        <v>439909.01361458201</v>
      </c>
      <c r="BE205" s="256"/>
      <c r="BF205" s="1717">
        <v>530545.25246156449</v>
      </c>
      <c r="BG205" s="1717">
        <v>439909.01361458201</v>
      </c>
      <c r="BH205" s="256"/>
      <c r="BI205" s="1717">
        <v>530545.25246156449</v>
      </c>
      <c r="BJ205" s="1717">
        <v>439909.01361458201</v>
      </c>
      <c r="BK205" s="256"/>
      <c r="BL205" s="1717">
        <v>530545.25246156449</v>
      </c>
      <c r="BM205" s="1717">
        <v>439909.01361458201</v>
      </c>
      <c r="BN205" s="256"/>
      <c r="BO205" s="1717">
        <v>530545.25246156449</v>
      </c>
      <c r="BP205" s="1717">
        <v>439909.01361458201</v>
      </c>
      <c r="BQ205" s="256"/>
      <c r="BR205" s="1717">
        <v>530545.25246156449</v>
      </c>
      <c r="BS205" s="1717">
        <v>439909.01361458201</v>
      </c>
      <c r="BT205" s="256"/>
      <c r="BU205" s="1717">
        <v>530545.25246156449</v>
      </c>
      <c r="BV205" s="1717">
        <v>439909.01361458201</v>
      </c>
      <c r="BW205" s="256"/>
      <c r="BX205" s="1717">
        <v>530545.25246156449</v>
      </c>
      <c r="BY205" s="1717">
        <v>439909.01361458201</v>
      </c>
      <c r="BZ205" s="256"/>
      <c r="CA205" s="1717">
        <v>530090.53246156452</v>
      </c>
      <c r="CB205" s="1717">
        <v>439532.30300459219</v>
      </c>
      <c r="CC205" s="256"/>
      <c r="CD205" s="1717">
        <v>530090.53246156452</v>
      </c>
      <c r="CE205" s="1717">
        <v>439532.30300459219</v>
      </c>
      <c r="CF205" s="256"/>
      <c r="CG205" s="1717">
        <v>530090.53246156452</v>
      </c>
      <c r="CH205" s="1717">
        <v>439532.30300459219</v>
      </c>
      <c r="CI205" s="1684">
        <f t="shared" si="29"/>
        <v>0</v>
      </c>
      <c r="CJ205" s="1717">
        <v>530090.53246156452</v>
      </c>
      <c r="CK205" s="1717">
        <v>439532.30300459219</v>
      </c>
      <c r="CL205" s="256"/>
      <c r="CM205" s="1717">
        <v>520509.17736255215</v>
      </c>
      <c r="CN205" s="1717">
        <v>431587.78256009798</v>
      </c>
      <c r="CO205" s="256"/>
      <c r="CP205" s="1246">
        <v>520509.17736255215</v>
      </c>
      <c r="CQ205" s="1717">
        <v>431587.78256009798</v>
      </c>
      <c r="CR205" s="256"/>
      <c r="CS205" s="1246">
        <v>520525.31977455213</v>
      </c>
      <c r="CT205" s="1717">
        <v>431601.16727664717</v>
      </c>
      <c r="CU205" s="256"/>
      <c r="CV205" s="1717">
        <v>520525.31977455213</v>
      </c>
      <c r="CW205" s="1717">
        <v>431601.16727664717</v>
      </c>
      <c r="CX205" s="256"/>
      <c r="CY205" s="1717"/>
      <c r="CZ205" s="1717"/>
    </row>
    <row r="206" spans="1:104">
      <c r="A206" s="260">
        <f t="shared" si="20"/>
        <v>199</v>
      </c>
      <c r="B206" s="495">
        <f>'Stmt H'!B116</f>
        <v>888</v>
      </c>
      <c r="C206" s="98" t="s">
        <v>426</v>
      </c>
      <c r="D206" s="266"/>
      <c r="E206" s="289" t="s">
        <v>276</v>
      </c>
      <c r="F206" s="264"/>
      <c r="G206" s="1242">
        <f>'Stmt H'!$F116</f>
        <v>6877.66</v>
      </c>
      <c r="H206" s="29"/>
      <c r="I206" s="635" t="s">
        <v>276</v>
      </c>
      <c r="J206" s="29"/>
      <c r="K206" s="1246">
        <f>'Stmt H'!$U116</f>
        <v>7681.0148431820871</v>
      </c>
      <c r="M206" s="1624">
        <f t="shared" si="30"/>
        <v>0.72188703188382297</v>
      </c>
      <c r="N206" s="1634">
        <f t="shared" si="31"/>
        <v>4964.893563706094</v>
      </c>
      <c r="O206" s="1634">
        <v>5544.825007000305</v>
      </c>
      <c r="Q206" s="1717">
        <v>7885.3753981432819</v>
      </c>
      <c r="R206" s="256"/>
      <c r="S206" s="1717">
        <v>7885.3753981432819</v>
      </c>
      <c r="T206" s="1718">
        <v>5692.3502414553732</v>
      </c>
      <c r="U206" s="256"/>
      <c r="V206" s="1717">
        <v>7885.3753981432819</v>
      </c>
      <c r="W206" s="1718">
        <v>5692.3502414553732</v>
      </c>
      <c r="X206" s="256"/>
      <c r="Y206" s="1717">
        <v>7883.2353981432816</v>
      </c>
      <c r="Z206" s="1718">
        <v>5690.8054032071414</v>
      </c>
      <c r="AA206" s="256"/>
      <c r="AB206" s="1717">
        <v>7883.2353981432816</v>
      </c>
      <c r="AC206" s="1718">
        <v>5690.8054032071414</v>
      </c>
      <c r="AD206" s="256"/>
      <c r="AE206" s="1717">
        <v>7883.2353981432816</v>
      </c>
      <c r="AF206" s="1718">
        <v>5690.8054032071414</v>
      </c>
      <c r="AG206" s="256"/>
      <c r="AH206" s="1717">
        <v>7883.2353981432816</v>
      </c>
      <c r="AI206" s="1718">
        <v>5690.8054032071414</v>
      </c>
      <c r="AJ206" s="256"/>
      <c r="AK206" s="1717">
        <v>7883.2353981432816</v>
      </c>
      <c r="AL206" s="1718">
        <v>5690.8054032071414</v>
      </c>
      <c r="AM206" s="256"/>
      <c r="AN206" s="1717">
        <v>7871.7568108555688</v>
      </c>
      <c r="AO206" s="1718">
        <v>5682.5191598997953</v>
      </c>
      <c r="AP206" s="256"/>
      <c r="AQ206" s="1717">
        <v>7871.7568108555688</v>
      </c>
      <c r="AR206" s="1718">
        <v>5682.5191598997953</v>
      </c>
      <c r="AS206" s="256"/>
      <c r="AT206" s="1717">
        <v>7871.7568108555688</v>
      </c>
      <c r="AU206" s="1717">
        <v>5682.5191598997953</v>
      </c>
      <c r="AV206" s="256"/>
      <c r="AW206" s="1717">
        <v>7871.7568108555688</v>
      </c>
      <c r="AX206" s="1717">
        <v>5682.5191598997953</v>
      </c>
      <c r="AY206" s="256"/>
      <c r="AZ206" s="1717">
        <v>7871.7568108555688</v>
      </c>
      <c r="BA206" s="1717">
        <v>5682.5191598997953</v>
      </c>
      <c r="BB206" s="256"/>
      <c r="BC206" s="1717">
        <v>7871.7568108555688</v>
      </c>
      <c r="BD206" s="1717">
        <v>5682.5191598997953</v>
      </c>
      <c r="BE206" s="256"/>
      <c r="BF206" s="1717">
        <v>7871.7568108555688</v>
      </c>
      <c r="BG206" s="1717">
        <v>5682.5191598997953</v>
      </c>
      <c r="BH206" s="256"/>
      <c r="BI206" s="1717">
        <v>7871.7568108555688</v>
      </c>
      <c r="BJ206" s="1717">
        <v>5682.5191598997953</v>
      </c>
      <c r="BK206" s="256"/>
      <c r="BL206" s="1717">
        <v>7871.7568108555688</v>
      </c>
      <c r="BM206" s="1717">
        <v>5682.5191598997953</v>
      </c>
      <c r="BN206" s="256"/>
      <c r="BO206" s="1717">
        <v>7871.7568108555688</v>
      </c>
      <c r="BP206" s="1717">
        <v>5682.5191598997953</v>
      </c>
      <c r="BQ206" s="256"/>
      <c r="BR206" s="1717">
        <v>7871.7568108555688</v>
      </c>
      <c r="BS206" s="1717">
        <v>5682.5191598997953</v>
      </c>
      <c r="BT206" s="256"/>
      <c r="BU206" s="1717">
        <v>7871.7568108555688</v>
      </c>
      <c r="BV206" s="1717">
        <v>5682.5191598997953</v>
      </c>
      <c r="BW206" s="256"/>
      <c r="BX206" s="1717">
        <v>7871.7568108555688</v>
      </c>
      <c r="BY206" s="1717">
        <v>5682.5191598997953</v>
      </c>
      <c r="BZ206" s="256"/>
      <c r="CA206" s="1717">
        <v>7870.9968108555695</v>
      </c>
      <c r="CB206" s="1717">
        <v>5681.9705257555643</v>
      </c>
      <c r="CC206" s="256"/>
      <c r="CD206" s="1717">
        <v>7870.9968108555695</v>
      </c>
      <c r="CE206" s="1717">
        <v>5681.9705257555643</v>
      </c>
      <c r="CF206" s="256"/>
      <c r="CG206" s="1717">
        <v>7870.9968108555695</v>
      </c>
      <c r="CH206" s="1717">
        <v>5681.9705257555643</v>
      </c>
      <c r="CI206" s="1684">
        <f t="shared" si="29"/>
        <v>0</v>
      </c>
      <c r="CJ206" s="1717">
        <v>7870.9968108555695</v>
      </c>
      <c r="CK206" s="1717">
        <v>5681.9705257555643</v>
      </c>
      <c r="CL206" s="256"/>
      <c r="CM206" s="1717">
        <v>7682.3802311820873</v>
      </c>
      <c r="CN206" s="1717">
        <v>5545.8106628909954</v>
      </c>
      <c r="CO206" s="256"/>
      <c r="CP206" s="1246">
        <v>7682.3802311820873</v>
      </c>
      <c r="CQ206" s="1717">
        <v>5545.8106628909954</v>
      </c>
      <c r="CR206" s="256"/>
      <c r="CS206" s="1246">
        <v>7681.0148431820871</v>
      </c>
      <c r="CT206" s="1717">
        <v>5544.825007000305</v>
      </c>
      <c r="CU206" s="256"/>
      <c r="CV206" s="1717">
        <v>7681.0148431820871</v>
      </c>
      <c r="CW206" s="1717">
        <v>5544.825007000305</v>
      </c>
      <c r="CX206" s="256"/>
      <c r="CY206" s="1717"/>
      <c r="CZ206" s="1717"/>
    </row>
    <row r="207" spans="1:104">
      <c r="A207" s="260">
        <f t="shared" si="20"/>
        <v>200</v>
      </c>
      <c r="B207" s="495">
        <f>'Stmt H'!B117</f>
        <v>889</v>
      </c>
      <c r="C207" s="98" t="s">
        <v>575</v>
      </c>
      <c r="D207" s="266"/>
      <c r="E207" s="289" t="s">
        <v>276</v>
      </c>
      <c r="F207" s="264"/>
      <c r="G207" s="1242">
        <f>'Stmt H'!$F117</f>
        <v>294798.67000000004</v>
      </c>
      <c r="H207" s="29"/>
      <c r="I207" s="635" t="s">
        <v>276</v>
      </c>
      <c r="J207" s="29"/>
      <c r="K207" s="1246">
        <f>'Stmt H'!$U117</f>
        <v>304842.34098551114</v>
      </c>
      <c r="M207" s="1624">
        <f t="shared" si="30"/>
        <v>0.66922258241140908</v>
      </c>
      <c r="N207" s="1634">
        <f t="shared" si="31"/>
        <v>197285.92722884883</v>
      </c>
      <c r="O207" s="1634">
        <v>204007.3786626631</v>
      </c>
      <c r="Q207" s="1717">
        <v>309381.26917127252</v>
      </c>
      <c r="R207" s="256"/>
      <c r="S207" s="1717">
        <v>309381.26917127252</v>
      </c>
      <c r="T207" s="1718">
        <v>207028.55668464443</v>
      </c>
      <c r="U207" s="256"/>
      <c r="V207" s="1717">
        <v>309381.26917127252</v>
      </c>
      <c r="W207" s="1718">
        <v>207028.55668464443</v>
      </c>
      <c r="X207" s="256"/>
      <c r="Y207" s="1717">
        <v>308880.85917127249</v>
      </c>
      <c r="Z207" s="1718">
        <v>206693.69749834633</v>
      </c>
      <c r="AA207" s="256"/>
      <c r="AB207" s="1717">
        <v>308880.85917127249</v>
      </c>
      <c r="AC207" s="1718">
        <v>206693.69749834633</v>
      </c>
      <c r="AD207" s="256"/>
      <c r="AE207" s="1717">
        <v>308880.85917127249</v>
      </c>
      <c r="AF207" s="1718">
        <v>206693.69749834633</v>
      </c>
      <c r="AG207" s="256"/>
      <c r="AH207" s="1717">
        <v>308880.85917127249</v>
      </c>
      <c r="AI207" s="1718">
        <v>206693.69749834633</v>
      </c>
      <c r="AJ207" s="256"/>
      <c r="AK207" s="1717">
        <v>308880.85917127249</v>
      </c>
      <c r="AL207" s="1718">
        <v>206693.69749834633</v>
      </c>
      <c r="AM207" s="256"/>
      <c r="AN207" s="1717">
        <v>308424.65652000729</v>
      </c>
      <c r="AO207" s="1718">
        <v>206388.42052828235</v>
      </c>
      <c r="AP207" s="256"/>
      <c r="AQ207" s="1717">
        <v>308424.65652000729</v>
      </c>
      <c r="AR207" s="1718">
        <v>206388.42052828235</v>
      </c>
      <c r="AS207" s="256"/>
      <c r="AT207" s="1717">
        <v>308424.65652000729</v>
      </c>
      <c r="AU207" s="1717">
        <v>206388.42052828235</v>
      </c>
      <c r="AV207" s="256"/>
      <c r="AW207" s="1717">
        <v>308424.65652000729</v>
      </c>
      <c r="AX207" s="1717">
        <v>206388.42052828235</v>
      </c>
      <c r="AY207" s="256"/>
      <c r="AZ207" s="1717">
        <v>308424.65652000729</v>
      </c>
      <c r="BA207" s="1717">
        <v>206388.42052828235</v>
      </c>
      <c r="BB207" s="256"/>
      <c r="BC207" s="1717">
        <v>308424.65652000729</v>
      </c>
      <c r="BD207" s="1717">
        <v>206388.42052828235</v>
      </c>
      <c r="BE207" s="256"/>
      <c r="BF207" s="1717">
        <v>308424.65652000729</v>
      </c>
      <c r="BG207" s="1717">
        <v>206388.42052828235</v>
      </c>
      <c r="BH207" s="256"/>
      <c r="BI207" s="1717">
        <v>308424.65652000729</v>
      </c>
      <c r="BJ207" s="1717">
        <v>206388.42052828235</v>
      </c>
      <c r="BK207" s="256"/>
      <c r="BL207" s="1717">
        <v>308424.65652000729</v>
      </c>
      <c r="BM207" s="1717">
        <v>206388.42052828235</v>
      </c>
      <c r="BN207" s="256"/>
      <c r="BO207" s="1717">
        <v>308424.65652000729</v>
      </c>
      <c r="BP207" s="1717">
        <v>206388.42052828235</v>
      </c>
      <c r="BQ207" s="256"/>
      <c r="BR207" s="1717">
        <v>308424.65652000729</v>
      </c>
      <c r="BS207" s="1717">
        <v>206388.42052828235</v>
      </c>
      <c r="BT207" s="256"/>
      <c r="BU207" s="1717">
        <v>308424.65652000729</v>
      </c>
      <c r="BV207" s="1717">
        <v>206388.42052828235</v>
      </c>
      <c r="BW207" s="256"/>
      <c r="BX207" s="1717">
        <v>308424.65652000729</v>
      </c>
      <c r="BY207" s="1717">
        <v>206388.42052828235</v>
      </c>
      <c r="BZ207" s="256"/>
      <c r="CA207" s="1717">
        <v>308246.11652000732</v>
      </c>
      <c r="CB207" s="1717">
        <v>206285.26211580739</v>
      </c>
      <c r="CC207" s="256"/>
      <c r="CD207" s="1717">
        <v>308246.11652000732</v>
      </c>
      <c r="CE207" s="1717">
        <v>206285.26211580739</v>
      </c>
      <c r="CF207" s="256"/>
      <c r="CG207" s="1717">
        <v>308246.11652000732</v>
      </c>
      <c r="CH207" s="1717">
        <v>206285.26211580739</v>
      </c>
      <c r="CI207" s="1684">
        <f t="shared" si="29"/>
        <v>0</v>
      </c>
      <c r="CJ207" s="1717">
        <v>308246.11652000732</v>
      </c>
      <c r="CK207" s="1717">
        <v>206285.26211580739</v>
      </c>
      <c r="CL207" s="256"/>
      <c r="CM207" s="1717">
        <v>304842.34098551114</v>
      </c>
      <c r="CN207" s="1717">
        <v>204007.3786626631</v>
      </c>
      <c r="CO207" s="256"/>
      <c r="CP207" s="1246">
        <v>304842.34098551114</v>
      </c>
      <c r="CQ207" s="1717">
        <v>204007.3786626631</v>
      </c>
      <c r="CR207" s="256"/>
      <c r="CS207" s="1246">
        <v>304842.34098551114</v>
      </c>
      <c r="CT207" s="1717">
        <v>204007.3786626631</v>
      </c>
      <c r="CU207" s="256"/>
      <c r="CV207" s="1717">
        <v>304842.34098551114</v>
      </c>
      <c r="CW207" s="1717">
        <v>204007.3786626631</v>
      </c>
      <c r="CX207" s="256"/>
      <c r="CY207" s="1717"/>
      <c r="CZ207" s="1717"/>
    </row>
    <row r="208" spans="1:104">
      <c r="A208" s="260">
        <f t="shared" si="20"/>
        <v>201</v>
      </c>
      <c r="B208" s="495">
        <f>'Stmt H'!B118</f>
        <v>890</v>
      </c>
      <c r="C208" s="98" t="s">
        <v>427</v>
      </c>
      <c r="D208" s="266"/>
      <c r="E208" s="289" t="s">
        <v>276</v>
      </c>
      <c r="F208" s="264"/>
      <c r="G208" s="1242">
        <f>'Stmt H'!$F118</f>
        <v>79113.26999999999</v>
      </c>
      <c r="H208" s="29"/>
      <c r="I208" s="635" t="s">
        <v>276</v>
      </c>
      <c r="J208" s="29"/>
      <c r="K208" s="1246">
        <f>'Stmt H'!$U118</f>
        <v>83490.124143431603</v>
      </c>
      <c r="M208" s="1624">
        <f t="shared" si="30"/>
        <v>0.86903902691157908</v>
      </c>
      <c r="N208" s="1634">
        <f t="shared" si="31"/>
        <v>68752.519176593007</v>
      </c>
      <c r="O208" s="1634">
        <v>72556.176242334739</v>
      </c>
      <c r="P208" s="493"/>
      <c r="Q208" s="1717">
        <v>85320.57135660568</v>
      </c>
      <c r="R208" s="256"/>
      <c r="S208" s="1717">
        <v>85320.57135660568</v>
      </c>
      <c r="T208" s="1718">
        <v>74146.90630728456</v>
      </c>
      <c r="U208" s="256"/>
      <c r="V208" s="1717">
        <v>85320.57135660568</v>
      </c>
      <c r="W208" s="1718">
        <v>74146.90630728456</v>
      </c>
      <c r="X208" s="256"/>
      <c r="Y208" s="1717">
        <v>85166.991356605678</v>
      </c>
      <c r="Z208" s="1718">
        <v>74013.439293531483</v>
      </c>
      <c r="AA208" s="256"/>
      <c r="AB208" s="1717">
        <v>85166.991356605678</v>
      </c>
      <c r="AC208" s="1718">
        <v>74013.439293531483</v>
      </c>
      <c r="AD208" s="256"/>
      <c r="AE208" s="1717">
        <v>85166.991356605678</v>
      </c>
      <c r="AF208" s="1718">
        <v>74013.439293531483</v>
      </c>
      <c r="AG208" s="256"/>
      <c r="AH208" s="1717">
        <v>85166.991356605678</v>
      </c>
      <c r="AI208" s="1718">
        <v>74013.439293531483</v>
      </c>
      <c r="AJ208" s="256"/>
      <c r="AK208" s="1717">
        <v>85166.991356605678</v>
      </c>
      <c r="AL208" s="1718">
        <v>74013.439293531483</v>
      </c>
      <c r="AM208" s="256"/>
      <c r="AN208" s="1717">
        <v>84967.481688684391</v>
      </c>
      <c r="AO208" s="1718">
        <v>73840.057605861701</v>
      </c>
      <c r="AP208" s="256"/>
      <c r="AQ208" s="1717">
        <v>84967.481688684391</v>
      </c>
      <c r="AR208" s="1718">
        <v>73840.057605861701</v>
      </c>
      <c r="AS208" s="256"/>
      <c r="AT208" s="1717">
        <v>84967.481688684391</v>
      </c>
      <c r="AU208" s="1717">
        <v>73840.057605861701</v>
      </c>
      <c r="AV208" s="256"/>
      <c r="AW208" s="1717">
        <v>84967.481688684391</v>
      </c>
      <c r="AX208" s="1717">
        <v>73840.057605861701</v>
      </c>
      <c r="AY208" s="256"/>
      <c r="AZ208" s="1717">
        <v>84967.481688684391</v>
      </c>
      <c r="BA208" s="1717">
        <v>73840.057605861701</v>
      </c>
      <c r="BB208" s="256"/>
      <c r="BC208" s="1717">
        <v>84967.481688684391</v>
      </c>
      <c r="BD208" s="1717">
        <v>73840.057605861701</v>
      </c>
      <c r="BE208" s="256"/>
      <c r="BF208" s="1717">
        <v>84967.481688684391</v>
      </c>
      <c r="BG208" s="1717">
        <v>73840.057605861701</v>
      </c>
      <c r="BH208" s="256"/>
      <c r="BI208" s="1717">
        <v>84967.481688684391</v>
      </c>
      <c r="BJ208" s="1717">
        <v>73840.057605861701</v>
      </c>
      <c r="BK208" s="256"/>
      <c r="BL208" s="1717">
        <v>84967.481688684391</v>
      </c>
      <c r="BM208" s="1717">
        <v>73840.057605861701</v>
      </c>
      <c r="BN208" s="256"/>
      <c r="BO208" s="1717">
        <v>84967.481688684391</v>
      </c>
      <c r="BP208" s="1717">
        <v>73840.057605861701</v>
      </c>
      <c r="BQ208" s="256"/>
      <c r="BR208" s="1717">
        <v>84967.481688684391</v>
      </c>
      <c r="BS208" s="1717">
        <v>73840.057605861701</v>
      </c>
      <c r="BT208" s="256"/>
      <c r="BU208" s="1717">
        <v>84967.481688684391</v>
      </c>
      <c r="BV208" s="1717">
        <v>73840.057605861701</v>
      </c>
      <c r="BW208" s="256"/>
      <c r="BX208" s="1717">
        <v>84967.481688684391</v>
      </c>
      <c r="BY208" s="1717">
        <v>73840.057605861701</v>
      </c>
      <c r="BZ208" s="256"/>
      <c r="CA208" s="1717">
        <v>84912.701688684392</v>
      </c>
      <c r="CB208" s="1717">
        <v>73792.451647967493</v>
      </c>
      <c r="CC208" s="256"/>
      <c r="CD208" s="1717">
        <v>84912.701688684392</v>
      </c>
      <c r="CE208" s="1717">
        <v>73792.451647967493</v>
      </c>
      <c r="CF208" s="256"/>
      <c r="CG208" s="1717">
        <v>84912.701688684392</v>
      </c>
      <c r="CH208" s="1717">
        <v>73792.451647967493</v>
      </c>
      <c r="CI208" s="1684">
        <f t="shared" si="29"/>
        <v>0</v>
      </c>
      <c r="CJ208" s="1717">
        <v>84912.701688684392</v>
      </c>
      <c r="CK208" s="1717">
        <v>73792.451647967493</v>
      </c>
      <c r="CL208" s="256"/>
      <c r="CM208" s="1717">
        <v>83490.124143431603</v>
      </c>
      <c r="CN208" s="1717">
        <v>72556.176242334739</v>
      </c>
      <c r="CO208" s="256"/>
      <c r="CP208" s="1246">
        <v>83490.124143431603</v>
      </c>
      <c r="CQ208" s="1717">
        <v>72556.176242334739</v>
      </c>
      <c r="CR208" s="256"/>
      <c r="CS208" s="1246">
        <v>83490.124143431603</v>
      </c>
      <c r="CT208" s="1717">
        <v>72556.176242334739</v>
      </c>
      <c r="CU208" s="256"/>
      <c r="CV208" s="1717">
        <v>83490.124143431603</v>
      </c>
      <c r="CW208" s="1717">
        <v>72556.176242334739</v>
      </c>
      <c r="CX208" s="256"/>
      <c r="CY208" s="1717"/>
      <c r="CZ208" s="1717"/>
    </row>
    <row r="209" spans="1:104">
      <c r="A209" s="260">
        <f t="shared" si="20"/>
        <v>202</v>
      </c>
      <c r="B209" s="495">
        <f>'Stmt H'!B119</f>
        <v>891</v>
      </c>
      <c r="C209" s="98" t="s">
        <v>576</v>
      </c>
      <c r="D209" s="266"/>
      <c r="E209" s="289" t="s">
        <v>276</v>
      </c>
      <c r="F209" s="264"/>
      <c r="G209" s="1242">
        <f>'Stmt H'!$F119</f>
        <v>497327.22000000003</v>
      </c>
      <c r="H209" s="29"/>
      <c r="I209" s="635" t="s">
        <v>276</v>
      </c>
      <c r="J209" s="29"/>
      <c r="K209" s="1246">
        <f>'Stmt H'!$U119</f>
        <v>509769.67425050912</v>
      </c>
      <c r="M209" s="1624">
        <f t="shared" si="30"/>
        <v>0.66922258241140919</v>
      </c>
      <c r="N209" s="1634">
        <f t="shared" si="31"/>
        <v>332822.60647188703</v>
      </c>
      <c r="O209" s="1634">
        <v>341149.37783694855</v>
      </c>
      <c r="Q209" s="1717">
        <v>517018.79350646381</v>
      </c>
      <c r="R209" s="256"/>
      <c r="S209" s="1717">
        <v>517018.79350646381</v>
      </c>
      <c r="T209" s="1718">
        <v>345973.2868935375</v>
      </c>
      <c r="U209" s="256"/>
      <c r="V209" s="1717">
        <v>517018.79350646381</v>
      </c>
      <c r="W209" s="1718">
        <v>345973.2868935375</v>
      </c>
      <c r="X209" s="256"/>
      <c r="Y209" s="1717">
        <v>516262.58350646379</v>
      </c>
      <c r="Z209" s="1718">
        <v>345467.25410987914</v>
      </c>
      <c r="AA209" s="256"/>
      <c r="AB209" s="1717">
        <v>516262.58350646379</v>
      </c>
      <c r="AC209" s="1718">
        <v>345467.25410987914</v>
      </c>
      <c r="AD209" s="256"/>
      <c r="AE209" s="1717">
        <v>516262.58350646379</v>
      </c>
      <c r="AF209" s="1718">
        <v>345467.25410987914</v>
      </c>
      <c r="AG209" s="256"/>
      <c r="AH209" s="1717">
        <v>516262.58350646379</v>
      </c>
      <c r="AI209" s="1718">
        <v>345467.25410987914</v>
      </c>
      <c r="AJ209" s="256"/>
      <c r="AK209" s="1717">
        <v>516262.58350646379</v>
      </c>
      <c r="AL209" s="1718">
        <v>345467.25410987914</v>
      </c>
      <c r="AM209" s="256"/>
      <c r="AN209" s="1717">
        <v>515359.82147496799</v>
      </c>
      <c r="AO209" s="1718">
        <v>344863.15315408783</v>
      </c>
      <c r="AP209" s="256"/>
      <c r="AQ209" s="1717">
        <v>515359.82147496799</v>
      </c>
      <c r="AR209" s="1718">
        <v>344863.15315408783</v>
      </c>
      <c r="AS209" s="256"/>
      <c r="AT209" s="1717">
        <v>515359.82147496799</v>
      </c>
      <c r="AU209" s="1717">
        <v>344863.15315408783</v>
      </c>
      <c r="AV209" s="256"/>
      <c r="AW209" s="1717">
        <v>515359.82147496799</v>
      </c>
      <c r="AX209" s="1717">
        <v>344863.15315408783</v>
      </c>
      <c r="AY209" s="256"/>
      <c r="AZ209" s="1717">
        <v>515359.82147496799</v>
      </c>
      <c r="BA209" s="1717">
        <v>344863.15315408783</v>
      </c>
      <c r="BB209" s="256"/>
      <c r="BC209" s="1717">
        <v>515359.82147496799</v>
      </c>
      <c r="BD209" s="1717">
        <v>344863.15315408783</v>
      </c>
      <c r="BE209" s="256"/>
      <c r="BF209" s="1717">
        <v>515359.82147496799</v>
      </c>
      <c r="BG209" s="1717">
        <v>344863.15315408783</v>
      </c>
      <c r="BH209" s="256"/>
      <c r="BI209" s="1717">
        <v>515359.82147496799</v>
      </c>
      <c r="BJ209" s="1717">
        <v>344863.15315408783</v>
      </c>
      <c r="BK209" s="256"/>
      <c r="BL209" s="1717">
        <v>515359.82147496799</v>
      </c>
      <c r="BM209" s="1717">
        <v>344863.15315408783</v>
      </c>
      <c r="BN209" s="256"/>
      <c r="BO209" s="1717">
        <v>515359.82147496799</v>
      </c>
      <c r="BP209" s="1717">
        <v>344863.15315408783</v>
      </c>
      <c r="BQ209" s="256"/>
      <c r="BR209" s="1717">
        <v>515359.82147496799</v>
      </c>
      <c r="BS209" s="1717">
        <v>344863.15315408783</v>
      </c>
      <c r="BT209" s="256"/>
      <c r="BU209" s="1717">
        <v>515359.82147496799</v>
      </c>
      <c r="BV209" s="1717">
        <v>344863.15315408783</v>
      </c>
      <c r="BW209" s="256"/>
      <c r="BX209" s="1717">
        <v>515359.82147496799</v>
      </c>
      <c r="BY209" s="1717">
        <v>344863.15315408783</v>
      </c>
      <c r="BZ209" s="256"/>
      <c r="CA209" s="1717">
        <v>515090.03147496801</v>
      </c>
      <c r="CB209" s="1717">
        <v>344709.88103805209</v>
      </c>
      <c r="CC209" s="256"/>
      <c r="CD209" s="1717">
        <v>515090.03147496801</v>
      </c>
      <c r="CE209" s="1717">
        <v>344709.88103805209</v>
      </c>
      <c r="CF209" s="256"/>
      <c r="CG209" s="1717">
        <v>515090.03147496801</v>
      </c>
      <c r="CH209" s="1717">
        <v>344709.88103805209</v>
      </c>
      <c r="CI209" s="1684">
        <f t="shared" si="29"/>
        <v>0</v>
      </c>
      <c r="CJ209" s="1717">
        <v>515090.03147496801</v>
      </c>
      <c r="CK209" s="1717">
        <v>344709.88103805209</v>
      </c>
      <c r="CL209" s="256"/>
      <c r="CM209" s="1717">
        <v>509769.67425050912</v>
      </c>
      <c r="CN209" s="1717">
        <v>341149.37783694855</v>
      </c>
      <c r="CO209" s="256"/>
      <c r="CP209" s="1246">
        <v>509769.67425050912</v>
      </c>
      <c r="CQ209" s="1717">
        <v>341149.37783694855</v>
      </c>
      <c r="CR209" s="256"/>
      <c r="CS209" s="1246">
        <v>509769.67425050912</v>
      </c>
      <c r="CT209" s="1717">
        <v>341149.37783694855</v>
      </c>
      <c r="CU209" s="256"/>
      <c r="CV209" s="1717">
        <v>509769.67425050912</v>
      </c>
      <c r="CW209" s="1717">
        <v>341149.37783694855</v>
      </c>
      <c r="CX209" s="256"/>
      <c r="CY209" s="1717"/>
      <c r="CZ209" s="1717"/>
    </row>
    <row r="210" spans="1:104">
      <c r="A210" s="260">
        <f t="shared" si="20"/>
        <v>203</v>
      </c>
      <c r="B210" s="495">
        <f>'Stmt H'!B120</f>
        <v>892</v>
      </c>
      <c r="C210" s="98" t="s">
        <v>428</v>
      </c>
      <c r="D210" s="266"/>
      <c r="E210" s="289" t="s">
        <v>276</v>
      </c>
      <c r="F210" s="264"/>
      <c r="G210" s="1242">
        <f>'Stmt H'!$F120</f>
        <v>422368.78</v>
      </c>
      <c r="H210" s="29"/>
      <c r="I210" s="635" t="s">
        <v>276</v>
      </c>
      <c r="J210" s="29"/>
      <c r="K210" s="1246">
        <f>'Stmt H'!$U120</f>
        <v>455433.99012575269</v>
      </c>
      <c r="M210" s="1624">
        <f t="shared" si="30"/>
        <v>0.99321562173604461</v>
      </c>
      <c r="N210" s="1634">
        <f t="shared" si="31"/>
        <v>419503.27042959468</v>
      </c>
      <c r="O210" s="1634">
        <v>452344.15366247704</v>
      </c>
      <c r="Q210" s="1717">
        <v>466193.6705827298</v>
      </c>
      <c r="R210" s="256"/>
      <c r="S210" s="1717">
        <v>466193.6705827298</v>
      </c>
      <c r="T210" s="1718">
        <v>463030.83637723472</v>
      </c>
      <c r="U210" s="256"/>
      <c r="V210" s="1717">
        <v>466193.6705827298</v>
      </c>
      <c r="W210" s="1718">
        <v>463030.83637723472</v>
      </c>
      <c r="X210" s="256"/>
      <c r="Y210" s="1717">
        <v>465008.14058272977</v>
      </c>
      <c r="Z210" s="1718">
        <v>461853.34946119797</v>
      </c>
      <c r="AA210" s="256"/>
      <c r="AB210" s="1717">
        <v>465008.14058272977</v>
      </c>
      <c r="AC210" s="1718">
        <v>461853.34946119797</v>
      </c>
      <c r="AD210" s="256"/>
      <c r="AE210" s="1717">
        <v>465008.14058272977</v>
      </c>
      <c r="AF210" s="1718">
        <v>461853.34946119797</v>
      </c>
      <c r="AG210" s="256"/>
      <c r="AH210" s="1717">
        <v>465008.14058272977</v>
      </c>
      <c r="AI210" s="1718">
        <v>461853.34946119797</v>
      </c>
      <c r="AJ210" s="256"/>
      <c r="AK210" s="1717">
        <v>465008.14058272977</v>
      </c>
      <c r="AL210" s="1718">
        <v>461853.34946119797</v>
      </c>
      <c r="AM210" s="256"/>
      <c r="AN210" s="1717">
        <v>464529.66139868781</v>
      </c>
      <c r="AO210" s="1718">
        <v>461378.11646093195</v>
      </c>
      <c r="AP210" s="256"/>
      <c r="AQ210" s="1717">
        <v>464529.66139868781</v>
      </c>
      <c r="AR210" s="1718">
        <v>461378.11646093195</v>
      </c>
      <c r="AS210" s="256"/>
      <c r="AT210" s="1717">
        <v>464529.66139868781</v>
      </c>
      <c r="AU210" s="1717">
        <v>461378.11646093195</v>
      </c>
      <c r="AV210" s="256"/>
      <c r="AW210" s="1717">
        <v>464529.66139868781</v>
      </c>
      <c r="AX210" s="1717">
        <v>461378.11646093195</v>
      </c>
      <c r="AY210" s="256"/>
      <c r="AZ210" s="1717">
        <v>464529.66139868781</v>
      </c>
      <c r="BA210" s="1717">
        <v>461378.11646093195</v>
      </c>
      <c r="BB210" s="256"/>
      <c r="BC210" s="1717">
        <v>464529.66139868781</v>
      </c>
      <c r="BD210" s="1717">
        <v>461378.11646093195</v>
      </c>
      <c r="BE210" s="256"/>
      <c r="BF210" s="1717">
        <v>464529.66139868781</v>
      </c>
      <c r="BG210" s="1717">
        <v>461378.11646093195</v>
      </c>
      <c r="BH210" s="256"/>
      <c r="BI210" s="1717">
        <v>464529.66139868781</v>
      </c>
      <c r="BJ210" s="1717">
        <v>461378.11646093195</v>
      </c>
      <c r="BK210" s="256"/>
      <c r="BL210" s="1717">
        <v>464529.66139868781</v>
      </c>
      <c r="BM210" s="1717">
        <v>461378.11646093195</v>
      </c>
      <c r="BN210" s="256"/>
      <c r="BO210" s="1717">
        <v>464529.66139868781</v>
      </c>
      <c r="BP210" s="1717">
        <v>461378.11646093195</v>
      </c>
      <c r="BQ210" s="256"/>
      <c r="BR210" s="1717">
        <v>464529.66139868781</v>
      </c>
      <c r="BS210" s="1717">
        <v>461378.11646093195</v>
      </c>
      <c r="BT210" s="256"/>
      <c r="BU210" s="1717">
        <v>464529.66139868781</v>
      </c>
      <c r="BV210" s="1717">
        <v>461378.11646093195</v>
      </c>
      <c r="BW210" s="256"/>
      <c r="BX210" s="1717">
        <v>464529.66139868781</v>
      </c>
      <c r="BY210" s="1717">
        <v>461378.11646093195</v>
      </c>
      <c r="BZ210" s="256"/>
      <c r="CA210" s="1717">
        <v>464106.71139868785</v>
      </c>
      <c r="CB210" s="1717">
        <v>460958.03591371875</v>
      </c>
      <c r="CC210" s="256"/>
      <c r="CD210" s="1717">
        <v>464106.71139868785</v>
      </c>
      <c r="CE210" s="1717">
        <v>460958.03591371875</v>
      </c>
      <c r="CF210" s="256"/>
      <c r="CG210" s="1717">
        <v>464106.71139868785</v>
      </c>
      <c r="CH210" s="1717">
        <v>460958.03591371875</v>
      </c>
      <c r="CI210" s="1684">
        <f t="shared" si="29"/>
        <v>0</v>
      </c>
      <c r="CJ210" s="1717">
        <v>464106.71139868785</v>
      </c>
      <c r="CK210" s="1717">
        <v>460958.03591371875</v>
      </c>
      <c r="CL210" s="256"/>
      <c r="CM210" s="1717">
        <v>455433.99012575269</v>
      </c>
      <c r="CN210" s="1717">
        <v>452344.15366247704</v>
      </c>
      <c r="CO210" s="256"/>
      <c r="CP210" s="1246">
        <v>455433.99012575269</v>
      </c>
      <c r="CQ210" s="1717">
        <v>452344.15366247704</v>
      </c>
      <c r="CR210" s="256"/>
      <c r="CS210" s="1246">
        <v>455433.99012575269</v>
      </c>
      <c r="CT210" s="1717">
        <v>452344.15366247704</v>
      </c>
      <c r="CU210" s="256"/>
      <c r="CV210" s="1717">
        <v>455433.99012575269</v>
      </c>
      <c r="CW210" s="1717">
        <v>452344.15366247704</v>
      </c>
      <c r="CX210" s="256"/>
      <c r="CY210" s="1717"/>
      <c r="CZ210" s="1717"/>
    </row>
    <row r="211" spans="1:104">
      <c r="A211" s="260">
        <f t="shared" si="20"/>
        <v>204</v>
      </c>
      <c r="B211" s="495">
        <f>'Stmt H'!B121</f>
        <v>893</v>
      </c>
      <c r="C211" s="98" t="s">
        <v>429</v>
      </c>
      <c r="D211" s="266"/>
      <c r="E211" s="289" t="s">
        <v>276</v>
      </c>
      <c r="F211" s="264"/>
      <c r="G211" s="1242">
        <f>'Stmt H'!$F121</f>
        <v>1021188.2499999999</v>
      </c>
      <c r="H211" s="29"/>
      <c r="I211" s="635" t="s">
        <v>276</v>
      </c>
      <c r="J211" s="29"/>
      <c r="K211" s="1246">
        <f>'Stmt H'!$U121</f>
        <v>1070351.1555256925</v>
      </c>
      <c r="M211" s="1624">
        <f t="shared" si="30"/>
        <v>0.8690390269115793</v>
      </c>
      <c r="N211" s="1634">
        <f t="shared" si="31"/>
        <v>887452.44307353848</v>
      </c>
      <c r="O211" s="1634">
        <v>930176.9266517323</v>
      </c>
      <c r="Q211" s="1717">
        <v>1091228.2249314047</v>
      </c>
      <c r="R211" s="256"/>
      <c r="S211" s="1717">
        <v>1091228.2249314047</v>
      </c>
      <c r="T211" s="1718">
        <v>948319.91473283782</v>
      </c>
      <c r="U211" s="256"/>
      <c r="V211" s="1717">
        <v>1091228.2249314047</v>
      </c>
      <c r="W211" s="1718">
        <v>948319.91473283782</v>
      </c>
      <c r="X211" s="256"/>
      <c r="Y211" s="1717">
        <v>1088388.8049314048</v>
      </c>
      <c r="Z211" s="1718">
        <v>945852.3479390447</v>
      </c>
      <c r="AA211" s="256"/>
      <c r="AB211" s="1717">
        <v>1088341.8049314048</v>
      </c>
      <c r="AC211" s="1718">
        <v>945811.50310477987</v>
      </c>
      <c r="AD211" s="256"/>
      <c r="AE211" s="1717">
        <v>1088341.8049314048</v>
      </c>
      <c r="AF211" s="1718">
        <v>945811.50310477987</v>
      </c>
      <c r="AG211" s="256"/>
      <c r="AH211" s="1717">
        <v>1088341.8049314048</v>
      </c>
      <c r="AI211" s="1718">
        <v>945811.50310477987</v>
      </c>
      <c r="AJ211" s="256"/>
      <c r="AK211" s="1717">
        <v>1088341.8049314048</v>
      </c>
      <c r="AL211" s="1718">
        <v>945811.50310477987</v>
      </c>
      <c r="AM211" s="256"/>
      <c r="AN211" s="1717">
        <v>1087373.4658033205</v>
      </c>
      <c r="AO211" s="1718">
        <v>944969.97861118917</v>
      </c>
      <c r="AP211" s="256"/>
      <c r="AQ211" s="1717">
        <v>1087373.4658033205</v>
      </c>
      <c r="AR211" s="1718">
        <v>944969.97861118917</v>
      </c>
      <c r="AS211" s="256"/>
      <c r="AT211" s="1717">
        <v>1087373.4658033205</v>
      </c>
      <c r="AU211" s="1717">
        <v>944969.97861118917</v>
      </c>
      <c r="AV211" s="256"/>
      <c r="AW211" s="1717">
        <v>1087373.4658033205</v>
      </c>
      <c r="AX211" s="1717">
        <v>944969.97861118917</v>
      </c>
      <c r="AY211" s="256"/>
      <c r="AZ211" s="1717">
        <v>1087373.4658033205</v>
      </c>
      <c r="BA211" s="1717">
        <v>944969.97861118917</v>
      </c>
      <c r="BB211" s="256"/>
      <c r="BC211" s="1717">
        <v>1087373.4658033205</v>
      </c>
      <c r="BD211" s="1717">
        <v>944969.97861118917</v>
      </c>
      <c r="BE211" s="256"/>
      <c r="BF211" s="1717">
        <v>1087373.4658033205</v>
      </c>
      <c r="BG211" s="1717">
        <v>944969.97861118917</v>
      </c>
      <c r="BH211" s="256"/>
      <c r="BI211" s="1717">
        <v>1087373.4658033205</v>
      </c>
      <c r="BJ211" s="1717">
        <v>944969.97861118917</v>
      </c>
      <c r="BK211" s="256"/>
      <c r="BL211" s="1717">
        <v>1087373.4658033205</v>
      </c>
      <c r="BM211" s="1717">
        <v>944969.97861118917</v>
      </c>
      <c r="BN211" s="256"/>
      <c r="BO211" s="1717">
        <v>1087373.4658033205</v>
      </c>
      <c r="BP211" s="1717">
        <v>944969.97861118917</v>
      </c>
      <c r="BQ211" s="256"/>
      <c r="BR211" s="1717">
        <v>1087373.4658033205</v>
      </c>
      <c r="BS211" s="1717">
        <v>944969.97861118917</v>
      </c>
      <c r="BT211" s="256"/>
      <c r="BU211" s="1717">
        <v>1087373.4658033205</v>
      </c>
      <c r="BV211" s="1717">
        <v>944969.97861118917</v>
      </c>
      <c r="BW211" s="256"/>
      <c r="BX211" s="1717">
        <v>1087373.4658033205</v>
      </c>
      <c r="BY211" s="1717">
        <v>944969.97861118917</v>
      </c>
      <c r="BZ211" s="256"/>
      <c r="CA211" s="1717">
        <v>1086360.4658033205</v>
      </c>
      <c r="CB211" s="1717">
        <v>944089.64207692759</v>
      </c>
      <c r="CC211" s="256"/>
      <c r="CD211" s="1717">
        <v>1086360.4658033205</v>
      </c>
      <c r="CE211" s="1717">
        <v>944089.64207692759</v>
      </c>
      <c r="CF211" s="256"/>
      <c r="CG211" s="1717">
        <v>1086360.4658033205</v>
      </c>
      <c r="CH211" s="1717">
        <v>944089.64207692759</v>
      </c>
      <c r="CI211" s="1684">
        <f t="shared" si="29"/>
        <v>0</v>
      </c>
      <c r="CJ211" s="1717">
        <v>1086360.4658033205</v>
      </c>
      <c r="CK211" s="1717">
        <v>944089.64207692759</v>
      </c>
      <c r="CL211" s="256"/>
      <c r="CM211" s="1717">
        <v>1071335.4345576924</v>
      </c>
      <c r="CN211" s="1717">
        <v>931032.30354391085</v>
      </c>
      <c r="CO211" s="256"/>
      <c r="CP211" s="1246">
        <v>1071335.4345576924</v>
      </c>
      <c r="CQ211" s="1717">
        <v>931032.30354391085</v>
      </c>
      <c r="CR211" s="256"/>
      <c r="CS211" s="1246">
        <v>1070351.1555256925</v>
      </c>
      <c r="CT211" s="1717">
        <v>930176.9266517323</v>
      </c>
      <c r="CU211" s="256"/>
      <c r="CV211" s="1717">
        <v>1070351.1555256925</v>
      </c>
      <c r="CW211" s="1717">
        <v>930176.9266517323</v>
      </c>
      <c r="CX211" s="256"/>
      <c r="CY211" s="1717"/>
      <c r="CZ211" s="1717"/>
    </row>
    <row r="212" spans="1:104">
      <c r="A212" s="260">
        <f t="shared" si="20"/>
        <v>205</v>
      </c>
      <c r="B212" s="495">
        <f>'Stmt H'!B122</f>
        <v>894</v>
      </c>
      <c r="C212" s="98" t="s">
        <v>430</v>
      </c>
      <c r="D212" s="266"/>
      <c r="E212" s="289" t="s">
        <v>276</v>
      </c>
      <c r="F212" s="264"/>
      <c r="G212" s="1243">
        <f>'Stmt H'!$F122</f>
        <v>131915.78000000003</v>
      </c>
      <c r="H212" s="29"/>
      <c r="I212" s="635" t="s">
        <v>276</v>
      </c>
      <c r="J212" s="29"/>
      <c r="K212" s="1247">
        <f>'Stmt H'!$U122</f>
        <v>146627.87107701585</v>
      </c>
      <c r="M212" s="1624">
        <f t="shared" si="30"/>
        <v>0.86168707657505883</v>
      </c>
      <c r="N212" s="1635">
        <f t="shared" si="31"/>
        <v>113670.12282231863</v>
      </c>
      <c r="O212" s="1635">
        <v>126347.34157277842</v>
      </c>
      <c r="Q212" s="1719">
        <v>150048.84414227656</v>
      </c>
      <c r="R212" s="256"/>
      <c r="S212" s="1719">
        <v>150048.84414227656</v>
      </c>
      <c r="T212" s="1720">
        <v>129135.9359673546</v>
      </c>
      <c r="U212" s="256"/>
      <c r="V212" s="1719">
        <v>150048.84414227656</v>
      </c>
      <c r="W212" s="1720">
        <v>129135.9359673546</v>
      </c>
      <c r="X212" s="256"/>
      <c r="Y212" s="1719">
        <v>149630.96414227656</v>
      </c>
      <c r="Z212" s="1720">
        <v>128776.29757606602</v>
      </c>
      <c r="AA212" s="256"/>
      <c r="AB212" s="1719">
        <v>149630.96414227656</v>
      </c>
      <c r="AC212" s="1720">
        <v>128776.29757606602</v>
      </c>
      <c r="AD212" s="256"/>
      <c r="AE212" s="1719">
        <v>149630.96414227656</v>
      </c>
      <c r="AF212" s="1720">
        <v>128776.29757606602</v>
      </c>
      <c r="AG212" s="256"/>
      <c r="AH212" s="1719">
        <v>149630.96414227656</v>
      </c>
      <c r="AI212" s="1720">
        <v>128776.29757606602</v>
      </c>
      <c r="AJ212" s="256"/>
      <c r="AK212" s="1719">
        <v>149630.96414227656</v>
      </c>
      <c r="AL212" s="1720">
        <v>128776.29757606602</v>
      </c>
      <c r="AM212" s="256"/>
      <c r="AN212" s="1719">
        <v>149787.13202677094</v>
      </c>
      <c r="AO212" s="1720">
        <v>128910.69971723213</v>
      </c>
      <c r="AP212" s="256"/>
      <c r="AQ212" s="1719">
        <v>149787.13202677094</v>
      </c>
      <c r="AR212" s="1720">
        <v>128910.69971723213</v>
      </c>
      <c r="AS212" s="256"/>
      <c r="AT212" s="1719">
        <v>149787.13202677094</v>
      </c>
      <c r="AU212" s="1719">
        <v>128910.69971723213</v>
      </c>
      <c r="AV212" s="256"/>
      <c r="AW212" s="1719">
        <v>149787.13202677094</v>
      </c>
      <c r="AX212" s="1719">
        <v>128910.69971723213</v>
      </c>
      <c r="AY212" s="256"/>
      <c r="AZ212" s="1719">
        <v>149787.13202677094</v>
      </c>
      <c r="BA212" s="1719">
        <v>128910.69971723213</v>
      </c>
      <c r="BB212" s="256"/>
      <c r="BC212" s="1719">
        <v>149787.13202677094</v>
      </c>
      <c r="BD212" s="1719">
        <v>128910.69971723213</v>
      </c>
      <c r="BE212" s="256"/>
      <c r="BF212" s="1719">
        <v>149787.13202677094</v>
      </c>
      <c r="BG212" s="1719">
        <v>128910.69971723213</v>
      </c>
      <c r="BH212" s="256"/>
      <c r="BI212" s="1719">
        <v>149787.13202677094</v>
      </c>
      <c r="BJ212" s="1719">
        <v>128910.69971723213</v>
      </c>
      <c r="BK212" s="256"/>
      <c r="BL212" s="1719">
        <v>149787.13202677094</v>
      </c>
      <c r="BM212" s="1719">
        <v>128910.69971723213</v>
      </c>
      <c r="BN212" s="256"/>
      <c r="BO212" s="1719">
        <v>149787.13202677094</v>
      </c>
      <c r="BP212" s="1719">
        <v>128910.69971723213</v>
      </c>
      <c r="BQ212" s="256"/>
      <c r="BR212" s="1719">
        <v>149787.13202677094</v>
      </c>
      <c r="BS212" s="1719">
        <v>128910.69971723213</v>
      </c>
      <c r="BT212" s="256"/>
      <c r="BU212" s="1719">
        <v>149787.13202677094</v>
      </c>
      <c r="BV212" s="1719">
        <v>128910.69971723213</v>
      </c>
      <c r="BW212" s="256"/>
      <c r="BX212" s="1719">
        <v>149787.13202677094</v>
      </c>
      <c r="BY212" s="1719">
        <v>128910.69971723213</v>
      </c>
      <c r="BZ212" s="256"/>
      <c r="CA212" s="1719">
        <v>149638.04202677094</v>
      </c>
      <c r="CB212" s="1719">
        <v>128941.16697846405</v>
      </c>
      <c r="CC212" s="256"/>
      <c r="CD212" s="1719">
        <v>149638.04202677094</v>
      </c>
      <c r="CE212" s="1719">
        <v>128941.16697846405</v>
      </c>
      <c r="CF212" s="256"/>
      <c r="CG212" s="1719">
        <v>149638.04202677094</v>
      </c>
      <c r="CH212" s="1719">
        <v>128941.16697846405</v>
      </c>
      <c r="CI212" s="1684">
        <f t="shared" si="29"/>
        <v>0</v>
      </c>
      <c r="CJ212" s="1719">
        <v>149638.04202677094</v>
      </c>
      <c r="CK212" s="1719">
        <v>128941.16697846405</v>
      </c>
      <c r="CL212" s="256"/>
      <c r="CM212" s="1719">
        <v>146627.87107701585</v>
      </c>
      <c r="CN212" s="1719">
        <v>126347.34157277842</v>
      </c>
      <c r="CO212" s="256"/>
      <c r="CP212" s="1247">
        <v>146627.87107701585</v>
      </c>
      <c r="CQ212" s="1719">
        <v>126347.34157277842</v>
      </c>
      <c r="CR212" s="256"/>
      <c r="CS212" s="1247">
        <v>146627.87107701585</v>
      </c>
      <c r="CT212" s="1719">
        <v>126347.34157277842</v>
      </c>
      <c r="CU212" s="256"/>
      <c r="CV212" s="1719">
        <v>146627.87107701585</v>
      </c>
      <c r="CW212" s="1719">
        <v>126347.34157277842</v>
      </c>
      <c r="CX212" s="256"/>
      <c r="CY212" s="1719"/>
      <c r="CZ212" s="1719"/>
    </row>
    <row r="213" spans="1:104">
      <c r="A213" s="260">
        <f t="shared" si="20"/>
        <v>206</v>
      </c>
      <c r="B213" s="495"/>
      <c r="C213" s="275" t="s">
        <v>136</v>
      </c>
      <c r="D213" s="266"/>
      <c r="E213" s="265"/>
      <c r="F213" s="264"/>
      <c r="G213" s="361">
        <f>SUM(G203:G212)</f>
        <v>2965936.04</v>
      </c>
      <c r="H213" s="29"/>
      <c r="I213" s="1229"/>
      <c r="J213" s="29"/>
      <c r="K213" s="49">
        <f>SUM(K203:K212)</f>
        <v>3099225.9007256473</v>
      </c>
      <c r="M213" s="1630" t="s">
        <v>1528</v>
      </c>
      <c r="N213" s="1614">
        <f>SUM(N203:N212)</f>
        <v>2449223.6076234509</v>
      </c>
      <c r="O213" s="1614">
        <v>2564097.9058390157</v>
      </c>
      <c r="Q213" s="49">
        <v>3161290.370370619</v>
      </c>
      <c r="R213" s="256"/>
      <c r="S213" s="49">
        <v>3161290.370370619</v>
      </c>
      <c r="T213" s="1721">
        <v>2616230.6750705889</v>
      </c>
      <c r="U213" s="256"/>
      <c r="V213" s="49">
        <v>3161290.370370619</v>
      </c>
      <c r="W213" s="1721">
        <v>2616230.6750705889</v>
      </c>
      <c r="X213" s="256"/>
      <c r="Y213" s="49">
        <v>3154160.620370619</v>
      </c>
      <c r="Z213" s="1721">
        <v>2610193.2345190574</v>
      </c>
      <c r="AA213" s="256"/>
      <c r="AB213" s="49">
        <v>3154113.620370619</v>
      </c>
      <c r="AC213" s="1721">
        <v>2610152.3895594557</v>
      </c>
      <c r="AD213" s="256"/>
      <c r="AE213" s="49">
        <v>3154113.620370619</v>
      </c>
      <c r="AF213" s="1721">
        <v>2610152.3895594557</v>
      </c>
      <c r="AG213" s="256"/>
      <c r="AH213" s="49">
        <v>3154113.620370619</v>
      </c>
      <c r="AI213" s="1721">
        <v>2610152.3895594557</v>
      </c>
      <c r="AJ213" s="256"/>
      <c r="AK213" s="49">
        <v>3154113.620370619</v>
      </c>
      <c r="AL213" s="1721">
        <v>2610152.3895594557</v>
      </c>
      <c r="AM213" s="256"/>
      <c r="AN213" s="49">
        <v>3149363.6381848594</v>
      </c>
      <c r="AO213" s="1721">
        <v>2606312.3893288085</v>
      </c>
      <c r="AP213" s="256"/>
      <c r="AQ213" s="49">
        <v>3149363.6381848594</v>
      </c>
      <c r="AR213" s="1721">
        <v>2606312.3893288085</v>
      </c>
      <c r="AS213" s="256"/>
      <c r="AT213" s="49">
        <v>3149363.6381848594</v>
      </c>
      <c r="AU213" s="49">
        <v>2606312.3893288085</v>
      </c>
      <c r="AV213" s="256"/>
      <c r="AW213" s="49">
        <v>3149363.6381848594</v>
      </c>
      <c r="AX213" s="49">
        <v>2606312.3893288085</v>
      </c>
      <c r="AY213" s="256"/>
      <c r="AZ213" s="49">
        <v>3149363.6381848594</v>
      </c>
      <c r="BA213" s="49">
        <v>2606312.3893288085</v>
      </c>
      <c r="BB213" s="256"/>
      <c r="BC213" s="49">
        <v>3149363.6381848594</v>
      </c>
      <c r="BD213" s="49">
        <v>2606312.3893288085</v>
      </c>
      <c r="BE213" s="256"/>
      <c r="BF213" s="49">
        <v>3149363.6381848594</v>
      </c>
      <c r="BG213" s="49">
        <v>2606312.3893288085</v>
      </c>
      <c r="BH213" s="256"/>
      <c r="BI213" s="49">
        <v>3149363.6381848594</v>
      </c>
      <c r="BJ213" s="49">
        <v>2606312.3893288085</v>
      </c>
      <c r="BK213" s="256"/>
      <c r="BL213" s="49">
        <v>3149363.6381848594</v>
      </c>
      <c r="BM213" s="49">
        <v>2606312.3893288085</v>
      </c>
      <c r="BN213" s="256"/>
      <c r="BO213" s="49">
        <v>3149363.6381848594</v>
      </c>
      <c r="BP213" s="49">
        <v>2606312.3893288085</v>
      </c>
      <c r="BQ213" s="256"/>
      <c r="BR213" s="49">
        <v>3149363.6381848594</v>
      </c>
      <c r="BS213" s="49">
        <v>2606312.3893288085</v>
      </c>
      <c r="BT213" s="256"/>
      <c r="BU213" s="49">
        <v>3149363.6381848594</v>
      </c>
      <c r="BV213" s="49">
        <v>2606312.3893288085</v>
      </c>
      <c r="BW213" s="256"/>
      <c r="BX213" s="49">
        <v>3149363.6381848594</v>
      </c>
      <c r="BY213" s="49">
        <v>2606312.3893288085</v>
      </c>
      <c r="BZ213" s="256"/>
      <c r="CA213" s="49">
        <v>3146820.0081848591</v>
      </c>
      <c r="CB213" s="49">
        <v>2604361.3293646723</v>
      </c>
      <c r="CC213" s="256"/>
      <c r="CD213" s="49">
        <v>3146820.0081848591</v>
      </c>
      <c r="CE213" s="49">
        <v>2604361.3293646723</v>
      </c>
      <c r="CF213" s="256"/>
      <c r="CG213" s="49">
        <v>3146820.0081848591</v>
      </c>
      <c r="CH213" s="49">
        <v>2604361.3293646723</v>
      </c>
      <c r="CI213" s="1684">
        <f t="shared" si="29"/>
        <v>0</v>
      </c>
      <c r="CJ213" s="49">
        <v>3146820.0081848591</v>
      </c>
      <c r="CK213" s="49">
        <v>2604361.3293646723</v>
      </c>
      <c r="CL213" s="256"/>
      <c r="CM213" s="49">
        <v>3100195.4027336473</v>
      </c>
      <c r="CN213" s="49">
        <v>2564940.8863428403</v>
      </c>
      <c r="CO213" s="256"/>
      <c r="CP213" s="49">
        <v>3100195.4027336473</v>
      </c>
      <c r="CQ213" s="49">
        <v>2564940.8863428403</v>
      </c>
      <c r="CR213" s="256"/>
      <c r="CS213" s="49">
        <v>3099225.9007256473</v>
      </c>
      <c r="CT213" s="49">
        <v>2564097.9058390157</v>
      </c>
      <c r="CU213" s="256"/>
      <c r="CV213" s="49">
        <v>3099225.9007256473</v>
      </c>
      <c r="CW213" s="49">
        <v>2564097.9058390157</v>
      </c>
      <c r="CX213" s="256"/>
      <c r="CY213" s="49"/>
      <c r="CZ213" s="49"/>
    </row>
    <row r="214" spans="1:104">
      <c r="A214" s="260">
        <f t="shared" ref="A214:A277" si="32">A213+1</f>
        <v>207</v>
      </c>
      <c r="B214" s="495"/>
      <c r="D214" s="266"/>
      <c r="E214" s="265"/>
      <c r="F214" s="264"/>
      <c r="G214" s="361"/>
      <c r="H214" s="29"/>
      <c r="I214" s="24"/>
      <c r="J214" s="29"/>
      <c r="K214" s="54"/>
      <c r="M214" s="1624"/>
      <c r="N214" s="1614"/>
      <c r="O214" s="1614"/>
      <c r="Q214" s="54"/>
      <c r="R214" s="256"/>
      <c r="S214" s="54"/>
      <c r="T214" s="1694"/>
      <c r="U214" s="256"/>
      <c r="V214" s="54"/>
      <c r="W214" s="1694"/>
      <c r="X214" s="256"/>
      <c r="Y214" s="54"/>
      <c r="Z214" s="1694"/>
      <c r="AA214" s="256"/>
      <c r="AB214" s="54"/>
      <c r="AC214" s="1694"/>
      <c r="AD214" s="256"/>
      <c r="AE214" s="54"/>
      <c r="AF214" s="1694"/>
      <c r="AG214" s="256"/>
      <c r="AH214" s="54"/>
      <c r="AI214" s="1694"/>
      <c r="AJ214" s="256"/>
      <c r="AK214" s="54"/>
      <c r="AL214" s="1694"/>
      <c r="AM214" s="256"/>
      <c r="AN214" s="54"/>
      <c r="AO214" s="1694"/>
      <c r="AP214" s="256"/>
      <c r="AQ214" s="54"/>
      <c r="AR214" s="1694"/>
      <c r="AS214" s="256"/>
      <c r="AT214" s="54"/>
      <c r="AU214" s="54"/>
      <c r="AV214" s="256"/>
      <c r="AW214" s="54"/>
      <c r="AX214" s="54"/>
      <c r="AY214" s="256"/>
      <c r="AZ214" s="54"/>
      <c r="BA214" s="54"/>
      <c r="BB214" s="256"/>
      <c r="BC214" s="54"/>
      <c r="BD214" s="54"/>
      <c r="BE214" s="256"/>
      <c r="BF214" s="54"/>
      <c r="BG214" s="54"/>
      <c r="BH214" s="256"/>
      <c r="BI214" s="54"/>
      <c r="BJ214" s="54"/>
      <c r="BK214" s="256"/>
      <c r="BL214" s="54"/>
      <c r="BM214" s="54"/>
      <c r="BN214" s="256"/>
      <c r="BO214" s="54"/>
      <c r="BP214" s="54"/>
      <c r="BQ214" s="256"/>
      <c r="BR214" s="54"/>
      <c r="BS214" s="54"/>
      <c r="BT214" s="256"/>
      <c r="BU214" s="54"/>
      <c r="BV214" s="54"/>
      <c r="BW214" s="256"/>
      <c r="BX214" s="54"/>
      <c r="BY214" s="54"/>
      <c r="BZ214" s="256"/>
      <c r="CA214" s="54"/>
      <c r="CB214" s="54"/>
      <c r="CC214" s="256"/>
      <c r="CD214" s="54"/>
      <c r="CE214" s="54"/>
      <c r="CF214" s="256"/>
      <c r="CG214" s="54"/>
      <c r="CH214" s="54"/>
      <c r="CI214" s="1684">
        <f t="shared" si="29"/>
        <v>0</v>
      </c>
      <c r="CJ214" s="54"/>
      <c r="CK214" s="54"/>
      <c r="CL214" s="256"/>
      <c r="CM214" s="54"/>
      <c r="CN214" s="54"/>
      <c r="CO214" s="256"/>
      <c r="CP214" s="54"/>
      <c r="CQ214" s="54"/>
      <c r="CR214" s="256"/>
      <c r="CS214" s="54"/>
      <c r="CT214" s="54"/>
      <c r="CU214" s="256"/>
      <c r="CV214" s="54"/>
      <c r="CW214" s="54"/>
      <c r="CX214" s="256"/>
      <c r="CY214" s="54"/>
      <c r="CZ214" s="54"/>
    </row>
    <row r="215" spans="1:104">
      <c r="A215" s="260">
        <f t="shared" si="32"/>
        <v>208</v>
      </c>
      <c r="B215" s="495"/>
      <c r="C215" s="275" t="s">
        <v>132</v>
      </c>
      <c r="D215" s="292"/>
      <c r="E215" s="291"/>
      <c r="F215" s="290"/>
      <c r="G215" s="743">
        <f>+G200+G213</f>
        <v>27047945.5</v>
      </c>
      <c r="H215" s="314"/>
      <c r="I215" s="315"/>
      <c r="J215" s="314"/>
      <c r="K215" s="313">
        <f>+K200+K213</f>
        <v>28527152.454658844</v>
      </c>
      <c r="M215" s="1630" t="s">
        <v>1528</v>
      </c>
      <c r="N215" s="1110">
        <f>+N200+N213</f>
        <v>23108816.272376973</v>
      </c>
      <c r="O215" s="1110">
        <v>24452629.417663895</v>
      </c>
      <c r="Q215" s="313">
        <v>29255461.799419198</v>
      </c>
      <c r="R215" s="256"/>
      <c r="S215" s="313">
        <v>29255461.799419198</v>
      </c>
      <c r="T215" s="1704">
        <v>25059763.173165996</v>
      </c>
      <c r="U215" s="256"/>
      <c r="V215" s="313">
        <v>29255461.799419198</v>
      </c>
      <c r="W215" s="1704">
        <v>25059763.173165996</v>
      </c>
      <c r="X215" s="256"/>
      <c r="Y215" s="313">
        <v>29197439.359419197</v>
      </c>
      <c r="Z215" s="1704">
        <v>25009802.571806576</v>
      </c>
      <c r="AA215" s="256"/>
      <c r="AB215" s="313">
        <v>29197392.359419197</v>
      </c>
      <c r="AC215" s="1704">
        <v>25009761.726846974</v>
      </c>
      <c r="AD215" s="256"/>
      <c r="AE215" s="313">
        <v>29197392.359419197</v>
      </c>
      <c r="AF215" s="1704">
        <v>25009761.726846974</v>
      </c>
      <c r="AG215" s="256"/>
      <c r="AH215" s="313">
        <v>29197392.359419197</v>
      </c>
      <c r="AI215" s="1704">
        <v>25009761.726846974</v>
      </c>
      <c r="AJ215" s="256"/>
      <c r="AK215" s="313">
        <v>29049551.219419196</v>
      </c>
      <c r="AL215" s="1704">
        <v>24880604.239508066</v>
      </c>
      <c r="AM215" s="256"/>
      <c r="AN215" s="313">
        <v>29034471.793058485</v>
      </c>
      <c r="AO215" s="1704">
        <v>24867815.882056706</v>
      </c>
      <c r="AP215" s="256"/>
      <c r="AQ215" s="313">
        <v>29034471.793058485</v>
      </c>
      <c r="AR215" s="1704">
        <v>24867815.882056706</v>
      </c>
      <c r="AS215" s="256"/>
      <c r="AT215" s="313">
        <v>29034471.793058485</v>
      </c>
      <c r="AU215" s="313">
        <v>24867815.882056706</v>
      </c>
      <c r="AV215" s="256"/>
      <c r="AW215" s="313">
        <v>29034471.793058485</v>
      </c>
      <c r="AX215" s="313">
        <v>24867815.882056706</v>
      </c>
      <c r="AY215" s="256"/>
      <c r="AZ215" s="313">
        <v>29034471.793058485</v>
      </c>
      <c r="BA215" s="313">
        <v>24867815.882056706</v>
      </c>
      <c r="BB215" s="256"/>
      <c r="BC215" s="313">
        <v>29034471.793058485</v>
      </c>
      <c r="BD215" s="313">
        <v>24867815.882056706</v>
      </c>
      <c r="BE215" s="256"/>
      <c r="BF215" s="313">
        <v>29034471.793058485</v>
      </c>
      <c r="BG215" s="313">
        <v>24867815.882056706</v>
      </c>
      <c r="BH215" s="256"/>
      <c r="BI215" s="313">
        <v>29034471.793058485</v>
      </c>
      <c r="BJ215" s="313">
        <v>24867815.882056706</v>
      </c>
      <c r="BK215" s="256"/>
      <c r="BL215" s="313">
        <v>29034471.793058485</v>
      </c>
      <c r="BM215" s="313">
        <v>24867815.882056706</v>
      </c>
      <c r="BN215" s="256"/>
      <c r="BO215" s="313">
        <v>29034471.793058485</v>
      </c>
      <c r="BP215" s="313">
        <v>24867815.882056706</v>
      </c>
      <c r="BQ215" s="256"/>
      <c r="BR215" s="313">
        <v>29034471.793058485</v>
      </c>
      <c r="BS215" s="313">
        <v>24867815.882056706</v>
      </c>
      <c r="BT215" s="256"/>
      <c r="BU215" s="313">
        <v>29034471.793058485</v>
      </c>
      <c r="BV215" s="313">
        <v>24867815.882056706</v>
      </c>
      <c r="BW215" s="256"/>
      <c r="BX215" s="313">
        <v>29034471.793058485</v>
      </c>
      <c r="BY215" s="313">
        <v>24867815.882056706</v>
      </c>
      <c r="BZ215" s="256"/>
      <c r="CA215" s="313">
        <v>29013771.383058481</v>
      </c>
      <c r="CB215" s="313">
        <v>24872170.204048079</v>
      </c>
      <c r="CC215" s="256"/>
      <c r="CD215" s="313">
        <v>29013771.383058481</v>
      </c>
      <c r="CE215" s="313">
        <v>24872170.204048079</v>
      </c>
      <c r="CF215" s="256"/>
      <c r="CG215" s="313">
        <v>29013771.383058481</v>
      </c>
      <c r="CH215" s="313">
        <v>24872170.204048079</v>
      </c>
      <c r="CI215" s="1684">
        <f t="shared" si="29"/>
        <v>0</v>
      </c>
      <c r="CJ215" s="313">
        <v>29013771.383058481</v>
      </c>
      <c r="CK215" s="313">
        <v>24872170.204048079</v>
      </c>
      <c r="CL215" s="256"/>
      <c r="CM215" s="313">
        <v>28554353.592592843</v>
      </c>
      <c r="CN215" s="313">
        <v>24476058.474105246</v>
      </c>
      <c r="CO215" s="256"/>
      <c r="CP215" s="313">
        <v>28554353.592592843</v>
      </c>
      <c r="CQ215" s="313">
        <v>24476058.474105246</v>
      </c>
      <c r="CR215" s="256"/>
      <c r="CS215" s="313">
        <v>28527152.454658844</v>
      </c>
      <c r="CT215" s="313">
        <v>24452629.417663895</v>
      </c>
      <c r="CU215" s="256"/>
      <c r="CV215" s="313">
        <v>28527152.454658844</v>
      </c>
      <c r="CW215" s="313">
        <v>24452629.417663895</v>
      </c>
      <c r="CX215" s="256"/>
      <c r="CY215" s="313"/>
      <c r="CZ215" s="313"/>
    </row>
    <row r="216" spans="1:104">
      <c r="A216" s="260">
        <f t="shared" si="32"/>
        <v>209</v>
      </c>
      <c r="B216" s="495"/>
      <c r="D216" s="266"/>
      <c r="E216" s="265"/>
      <c r="F216" s="264"/>
      <c r="G216" s="361"/>
      <c r="H216" s="29"/>
      <c r="I216" s="24"/>
      <c r="J216" s="29"/>
      <c r="K216" s="54"/>
      <c r="M216" s="1624"/>
      <c r="N216" s="1113"/>
      <c r="O216" s="1113"/>
      <c r="Q216" s="54"/>
      <c r="R216" s="256"/>
      <c r="S216" s="54"/>
      <c r="T216" s="1694"/>
      <c r="U216" s="256"/>
      <c r="V216" s="54"/>
      <c r="W216" s="1694"/>
      <c r="X216" s="256"/>
      <c r="Y216" s="54"/>
      <c r="Z216" s="1694"/>
      <c r="AA216" s="256"/>
      <c r="AB216" s="54"/>
      <c r="AC216" s="1694"/>
      <c r="AD216" s="256"/>
      <c r="AE216" s="54"/>
      <c r="AF216" s="1694"/>
      <c r="AG216" s="256"/>
      <c r="AH216" s="54"/>
      <c r="AI216" s="1694"/>
      <c r="AJ216" s="256"/>
      <c r="AK216" s="54"/>
      <c r="AL216" s="1694"/>
      <c r="AM216" s="256"/>
      <c r="AN216" s="54"/>
      <c r="AO216" s="1694"/>
      <c r="AP216" s="256"/>
      <c r="AQ216" s="54"/>
      <c r="AR216" s="1694"/>
      <c r="AS216" s="256"/>
      <c r="AT216" s="54"/>
      <c r="AU216" s="54"/>
      <c r="AV216" s="256"/>
      <c r="AW216" s="54"/>
      <c r="AX216" s="54"/>
      <c r="AY216" s="256"/>
      <c r="AZ216" s="54"/>
      <c r="BA216" s="54"/>
      <c r="BB216" s="256"/>
      <c r="BC216" s="54"/>
      <c r="BD216" s="54"/>
      <c r="BE216" s="256"/>
      <c r="BF216" s="54"/>
      <c r="BG216" s="54"/>
      <c r="BH216" s="256"/>
      <c r="BI216" s="54"/>
      <c r="BJ216" s="54"/>
      <c r="BK216" s="256"/>
      <c r="BL216" s="54"/>
      <c r="BM216" s="54"/>
      <c r="BN216" s="256"/>
      <c r="BO216" s="54"/>
      <c r="BP216" s="54"/>
      <c r="BQ216" s="256"/>
      <c r="BR216" s="54"/>
      <c r="BS216" s="54"/>
      <c r="BT216" s="256"/>
      <c r="BU216" s="54"/>
      <c r="BV216" s="54"/>
      <c r="BW216" s="256"/>
      <c r="BX216" s="54"/>
      <c r="BY216" s="54"/>
      <c r="BZ216" s="256"/>
      <c r="CA216" s="54"/>
      <c r="CB216" s="54"/>
      <c r="CC216" s="256"/>
      <c r="CD216" s="54"/>
      <c r="CE216" s="54"/>
      <c r="CF216" s="256"/>
      <c r="CG216" s="54"/>
      <c r="CH216" s="54"/>
      <c r="CI216" s="1684">
        <f t="shared" si="29"/>
        <v>0</v>
      </c>
      <c r="CJ216" s="54"/>
      <c r="CK216" s="54"/>
      <c r="CL216" s="256"/>
      <c r="CM216" s="54"/>
      <c r="CN216" s="54"/>
      <c r="CO216" s="256"/>
      <c r="CP216" s="54"/>
      <c r="CQ216" s="54"/>
      <c r="CR216" s="256"/>
      <c r="CS216" s="54"/>
      <c r="CT216" s="54"/>
      <c r="CU216" s="256"/>
      <c r="CV216" s="54"/>
      <c r="CW216" s="54"/>
      <c r="CX216" s="256"/>
      <c r="CY216" s="54"/>
      <c r="CZ216" s="54"/>
    </row>
    <row r="217" spans="1:104">
      <c r="A217" s="260">
        <f t="shared" si="32"/>
        <v>210</v>
      </c>
      <c r="B217" s="495"/>
      <c r="C217" s="275" t="s">
        <v>68</v>
      </c>
      <c r="D217" s="266"/>
      <c r="E217" s="265"/>
      <c r="F217" s="264"/>
      <c r="G217" s="361"/>
      <c r="H217" s="29"/>
      <c r="I217" s="24"/>
      <c r="J217" s="29"/>
      <c r="K217" s="54"/>
      <c r="M217" s="1624"/>
      <c r="N217" s="1113"/>
      <c r="O217" s="1113"/>
      <c r="Q217" s="54"/>
      <c r="R217" s="256"/>
      <c r="S217" s="54"/>
      <c r="T217" s="1694"/>
      <c r="U217" s="256"/>
      <c r="V217" s="54"/>
      <c r="W217" s="1694"/>
      <c r="X217" s="256"/>
      <c r="Y217" s="54"/>
      <c r="Z217" s="1694"/>
      <c r="AA217" s="256"/>
      <c r="AB217" s="54"/>
      <c r="AC217" s="1694"/>
      <c r="AD217" s="256"/>
      <c r="AE217" s="54"/>
      <c r="AF217" s="1694"/>
      <c r="AG217" s="256"/>
      <c r="AH217" s="54"/>
      <c r="AI217" s="1694"/>
      <c r="AJ217" s="256"/>
      <c r="AK217" s="54"/>
      <c r="AL217" s="1694"/>
      <c r="AM217" s="256"/>
      <c r="AN217" s="54"/>
      <c r="AO217" s="1694"/>
      <c r="AP217" s="256"/>
      <c r="AQ217" s="54"/>
      <c r="AR217" s="1694"/>
      <c r="AS217" s="256"/>
      <c r="AT217" s="54"/>
      <c r="AU217" s="54"/>
      <c r="AV217" s="256"/>
      <c r="AW217" s="54"/>
      <c r="AX217" s="54"/>
      <c r="AY217" s="256"/>
      <c r="AZ217" s="54"/>
      <c r="BA217" s="54"/>
      <c r="BB217" s="256"/>
      <c r="BC217" s="54"/>
      <c r="BD217" s="54"/>
      <c r="BE217" s="256"/>
      <c r="BF217" s="54"/>
      <c r="BG217" s="54"/>
      <c r="BH217" s="256"/>
      <c r="BI217" s="54"/>
      <c r="BJ217" s="54"/>
      <c r="BK217" s="256"/>
      <c r="BL217" s="54"/>
      <c r="BM217" s="54"/>
      <c r="BN217" s="256"/>
      <c r="BO217" s="54"/>
      <c r="BP217" s="54"/>
      <c r="BQ217" s="256"/>
      <c r="BR217" s="54"/>
      <c r="BS217" s="54"/>
      <c r="BT217" s="256"/>
      <c r="BU217" s="54"/>
      <c r="BV217" s="54"/>
      <c r="BW217" s="256"/>
      <c r="BX217" s="54"/>
      <c r="BY217" s="54"/>
      <c r="BZ217" s="256"/>
      <c r="CA217" s="54"/>
      <c r="CB217" s="54"/>
      <c r="CC217" s="256"/>
      <c r="CD217" s="54"/>
      <c r="CE217" s="54"/>
      <c r="CF217" s="256"/>
      <c r="CG217" s="54"/>
      <c r="CH217" s="54"/>
      <c r="CI217" s="1684">
        <f t="shared" si="29"/>
        <v>0</v>
      </c>
      <c r="CJ217" s="54"/>
      <c r="CK217" s="54"/>
      <c r="CL217" s="256"/>
      <c r="CM217" s="54"/>
      <c r="CN217" s="54"/>
      <c r="CO217" s="256"/>
      <c r="CP217" s="54"/>
      <c r="CQ217" s="54"/>
      <c r="CR217" s="256"/>
      <c r="CS217" s="54"/>
      <c r="CT217" s="54"/>
      <c r="CU217" s="256"/>
      <c r="CV217" s="54"/>
      <c r="CW217" s="54"/>
      <c r="CX217" s="256"/>
      <c r="CY217" s="54"/>
      <c r="CZ217" s="54"/>
    </row>
    <row r="218" spans="1:104" ht="13.5">
      <c r="A218" s="260">
        <f t="shared" si="32"/>
        <v>211</v>
      </c>
      <c r="B218" s="495"/>
      <c r="C218" s="295" t="s">
        <v>49</v>
      </c>
      <c r="D218" s="266"/>
      <c r="E218" s="265"/>
      <c r="F218" s="264"/>
      <c r="G218" s="361"/>
      <c r="H218" s="29"/>
      <c r="I218" s="24"/>
      <c r="J218" s="29"/>
      <c r="K218" s="54"/>
      <c r="M218" s="1624"/>
      <c r="N218" s="1113"/>
      <c r="O218" s="1113"/>
      <c r="Q218" s="54"/>
      <c r="R218" s="256"/>
      <c r="S218" s="54"/>
      <c r="T218" s="1694"/>
      <c r="U218" s="256"/>
      <c r="V218" s="54"/>
      <c r="W218" s="1694"/>
      <c r="X218" s="256"/>
      <c r="Y218" s="54"/>
      <c r="Z218" s="1694"/>
      <c r="AA218" s="256"/>
      <c r="AB218" s="54"/>
      <c r="AC218" s="1694"/>
      <c r="AD218" s="256"/>
      <c r="AE218" s="54"/>
      <c r="AF218" s="1694"/>
      <c r="AG218" s="256"/>
      <c r="AH218" s="54"/>
      <c r="AI218" s="1694"/>
      <c r="AJ218" s="256"/>
      <c r="AK218" s="54"/>
      <c r="AL218" s="1694"/>
      <c r="AM218" s="256"/>
      <c r="AN218" s="54"/>
      <c r="AO218" s="1694"/>
      <c r="AP218" s="256"/>
      <c r="AQ218" s="54"/>
      <c r="AR218" s="1694"/>
      <c r="AS218" s="256"/>
      <c r="AT218" s="54"/>
      <c r="AU218" s="54"/>
      <c r="AV218" s="256"/>
      <c r="AW218" s="54"/>
      <c r="AX218" s="54"/>
      <c r="AY218" s="256"/>
      <c r="AZ218" s="54"/>
      <c r="BA218" s="54"/>
      <c r="BB218" s="256"/>
      <c r="BC218" s="54"/>
      <c r="BD218" s="54"/>
      <c r="BE218" s="256"/>
      <c r="BF218" s="54"/>
      <c r="BG218" s="54"/>
      <c r="BH218" s="256"/>
      <c r="BI218" s="54"/>
      <c r="BJ218" s="54"/>
      <c r="BK218" s="256"/>
      <c r="BL218" s="54"/>
      <c r="BM218" s="54"/>
      <c r="BN218" s="256"/>
      <c r="BO218" s="54"/>
      <c r="BP218" s="54"/>
      <c r="BQ218" s="256"/>
      <c r="BR218" s="54"/>
      <c r="BS218" s="54"/>
      <c r="BT218" s="256"/>
      <c r="BU218" s="54"/>
      <c r="BV218" s="54"/>
      <c r="BW218" s="256"/>
      <c r="BX218" s="54"/>
      <c r="BY218" s="54"/>
      <c r="BZ218" s="256"/>
      <c r="CA218" s="54"/>
      <c r="CB218" s="54"/>
      <c r="CC218" s="256"/>
      <c r="CD218" s="54"/>
      <c r="CE218" s="54"/>
      <c r="CF218" s="256"/>
      <c r="CG218" s="54"/>
      <c r="CH218" s="54"/>
      <c r="CI218" s="1684">
        <f t="shared" si="29"/>
        <v>0</v>
      </c>
      <c r="CJ218" s="54"/>
      <c r="CK218" s="54"/>
      <c r="CL218" s="256"/>
      <c r="CM218" s="54"/>
      <c r="CN218" s="54"/>
      <c r="CO218" s="256"/>
      <c r="CP218" s="54"/>
      <c r="CQ218" s="54"/>
      <c r="CR218" s="256"/>
      <c r="CS218" s="54"/>
      <c r="CT218" s="54"/>
      <c r="CU218" s="256"/>
      <c r="CV218" s="54"/>
      <c r="CW218" s="54"/>
      <c r="CX218" s="256"/>
      <c r="CY218" s="54"/>
      <c r="CZ218" s="54"/>
    </row>
    <row r="219" spans="1:104">
      <c r="A219" s="260">
        <f t="shared" si="32"/>
        <v>212</v>
      </c>
      <c r="B219" s="495">
        <f>'Stmt H'!B129</f>
        <v>901</v>
      </c>
      <c r="C219" s="294" t="str">
        <f>'Stmt H'!D129</f>
        <v>Customer Accounts Supervision</v>
      </c>
      <c r="D219" s="286"/>
      <c r="E219" s="289" t="s">
        <v>276</v>
      </c>
      <c r="F219" s="285"/>
      <c r="G219" s="353">
        <f>'Stmt H'!F129</f>
        <v>254770.15999999997</v>
      </c>
      <c r="H219" s="311"/>
      <c r="I219" s="316" t="s">
        <v>276</v>
      </c>
      <c r="J219" s="311"/>
      <c r="K219" s="353">
        <f>'Stmt H'!U129</f>
        <v>258554.74256354259</v>
      </c>
      <c r="M219" s="1624">
        <f>IF(ISERROR(O219/K219),0,O219/K219)</f>
        <v>0.94873241983789069</v>
      </c>
      <c r="N219" s="1566">
        <f>M219*G219</f>
        <v>241708.71039928656</v>
      </c>
      <c r="O219" s="1566">
        <v>245299.26657287264</v>
      </c>
      <c r="Q219" s="816">
        <v>259161.58313258324</v>
      </c>
      <c r="R219" s="256"/>
      <c r="S219" s="816">
        <v>259161.58313258324</v>
      </c>
      <c r="T219" s="1691">
        <v>245874.99589439438</v>
      </c>
      <c r="U219" s="256"/>
      <c r="V219" s="816">
        <v>259161.58313258324</v>
      </c>
      <c r="W219" s="1691">
        <v>245874.99589439438</v>
      </c>
      <c r="X219" s="256"/>
      <c r="Y219" s="816">
        <v>259036.22313258325</v>
      </c>
      <c r="Z219" s="1691">
        <v>245756.06279824351</v>
      </c>
      <c r="AA219" s="256"/>
      <c r="AB219" s="816">
        <v>259036.22313258325</v>
      </c>
      <c r="AC219" s="1691">
        <v>245756.06279824351</v>
      </c>
      <c r="AD219" s="256"/>
      <c r="AE219" s="816">
        <v>259036.22313258325</v>
      </c>
      <c r="AF219" s="1691">
        <v>245756.06279824351</v>
      </c>
      <c r="AG219" s="256"/>
      <c r="AH219" s="816">
        <v>259036.22313258325</v>
      </c>
      <c r="AI219" s="1691">
        <v>245756.06279824351</v>
      </c>
      <c r="AJ219" s="256"/>
      <c r="AK219" s="816">
        <v>259036.22313258325</v>
      </c>
      <c r="AL219" s="1691">
        <v>245756.06279824351</v>
      </c>
      <c r="AM219" s="256"/>
      <c r="AN219" s="816">
        <v>258840.84796103198</v>
      </c>
      <c r="AO219" s="1691">
        <v>245570.70403896141</v>
      </c>
      <c r="AP219" s="256"/>
      <c r="AQ219" s="816">
        <v>258840.84796103198</v>
      </c>
      <c r="AR219" s="1691">
        <v>245570.70403896141</v>
      </c>
      <c r="AS219" s="256"/>
      <c r="AT219" s="816">
        <v>258840.84796103198</v>
      </c>
      <c r="AU219" s="816">
        <v>245570.70403896141</v>
      </c>
      <c r="AV219" s="256"/>
      <c r="AW219" s="816">
        <v>258840.84796103198</v>
      </c>
      <c r="AX219" s="816">
        <v>245570.70403896141</v>
      </c>
      <c r="AY219" s="256"/>
      <c r="AZ219" s="816">
        <v>258840.84796103198</v>
      </c>
      <c r="BA219" s="816">
        <v>245570.70403896141</v>
      </c>
      <c r="BB219" s="256"/>
      <c r="BC219" s="816">
        <v>258840.84796103198</v>
      </c>
      <c r="BD219" s="816">
        <v>245570.70403896141</v>
      </c>
      <c r="BE219" s="256"/>
      <c r="BF219" s="816">
        <v>258840.84796103198</v>
      </c>
      <c r="BG219" s="816">
        <v>245570.70403896141</v>
      </c>
      <c r="BH219" s="256"/>
      <c r="BI219" s="816">
        <v>258840.84796103198</v>
      </c>
      <c r="BJ219" s="816">
        <v>245570.70403896141</v>
      </c>
      <c r="BK219" s="256"/>
      <c r="BL219" s="816">
        <v>258840.84796103198</v>
      </c>
      <c r="BM219" s="816">
        <v>245570.70403896141</v>
      </c>
      <c r="BN219" s="256"/>
      <c r="BO219" s="816">
        <v>258840.84796103198</v>
      </c>
      <c r="BP219" s="816">
        <v>245570.70403896141</v>
      </c>
      <c r="BQ219" s="256"/>
      <c r="BR219" s="816">
        <v>258840.84796103198</v>
      </c>
      <c r="BS219" s="816">
        <v>245570.70403896141</v>
      </c>
      <c r="BT219" s="256"/>
      <c r="BU219" s="816">
        <v>258840.84796103198</v>
      </c>
      <c r="BV219" s="816">
        <v>245570.70403896141</v>
      </c>
      <c r="BW219" s="256"/>
      <c r="BX219" s="816">
        <v>258840.84796103198</v>
      </c>
      <c r="BY219" s="816">
        <v>245570.70403896141</v>
      </c>
      <c r="BZ219" s="256"/>
      <c r="CA219" s="816">
        <v>258796.12796103198</v>
      </c>
      <c r="CB219" s="816">
        <v>245528.27672514628</v>
      </c>
      <c r="CC219" s="256"/>
      <c r="CD219" s="816">
        <v>258796.12796103198</v>
      </c>
      <c r="CE219" s="816">
        <v>245528.27672514628</v>
      </c>
      <c r="CF219" s="256"/>
      <c r="CG219" s="816">
        <v>258796.12796103198</v>
      </c>
      <c r="CH219" s="816">
        <v>245528.27672514628</v>
      </c>
      <c r="CI219" s="1684">
        <f t="shared" si="29"/>
        <v>0</v>
      </c>
      <c r="CJ219" s="816">
        <v>258796.12796103198</v>
      </c>
      <c r="CK219" s="816">
        <v>245528.27672514628</v>
      </c>
      <c r="CL219" s="256"/>
      <c r="CM219" s="816">
        <v>258181.18878254262</v>
      </c>
      <c r="CN219" s="816">
        <v>244944.86399028494</v>
      </c>
      <c r="CO219" s="256"/>
      <c r="CP219" s="353">
        <v>258181.18878254262</v>
      </c>
      <c r="CQ219" s="816">
        <v>244944.86399028494</v>
      </c>
      <c r="CR219" s="256"/>
      <c r="CS219" s="353">
        <v>258554.74256354259</v>
      </c>
      <c r="CT219" s="816">
        <v>245299.26657287264</v>
      </c>
      <c r="CU219" s="256"/>
      <c r="CV219" s="816">
        <v>258554.74256354259</v>
      </c>
      <c r="CW219" s="816">
        <v>245299.26657287264</v>
      </c>
      <c r="CX219" s="256"/>
      <c r="CY219" s="816"/>
      <c r="CZ219" s="816"/>
    </row>
    <row r="220" spans="1:104">
      <c r="A220" s="260">
        <f t="shared" si="32"/>
        <v>213</v>
      </c>
      <c r="B220" s="495">
        <f>'Stmt H'!B130</f>
        <v>902</v>
      </c>
      <c r="C220" s="294" t="s">
        <v>1154</v>
      </c>
      <c r="D220" s="286"/>
      <c r="E220" s="289" t="s">
        <v>276</v>
      </c>
      <c r="F220" s="285"/>
      <c r="G220" s="207">
        <f>'Stmt H'!F130</f>
        <v>664994.84</v>
      </c>
      <c r="H220" s="29"/>
      <c r="I220" s="635" t="s">
        <v>276</v>
      </c>
      <c r="J220" s="29"/>
      <c r="K220" s="1245">
        <f>'Stmt H'!U130</f>
        <v>714264.13289960171</v>
      </c>
      <c r="M220" s="1624">
        <f>IF(ISERROR(O220/K220),0,O220/K220)</f>
        <v>0.94873241983789069</v>
      </c>
      <c r="N220" s="1625">
        <f>M220*G220</f>
        <v>630902.16373291088</v>
      </c>
      <c r="O220" s="1625">
        <v>677645.53920925187</v>
      </c>
      <c r="Q220" s="1715">
        <v>730550.91679643432</v>
      </c>
      <c r="R220" s="256"/>
      <c r="S220" s="1715">
        <v>730550.91679643432</v>
      </c>
      <c r="T220" s="1716">
        <v>693097.3391070707</v>
      </c>
      <c r="U220" s="256"/>
      <c r="V220" s="1715">
        <v>730550.91679643432</v>
      </c>
      <c r="W220" s="1716">
        <v>693097.3391070707</v>
      </c>
      <c r="X220" s="256"/>
      <c r="Y220" s="1715">
        <v>728446.71679643437</v>
      </c>
      <c r="Z220" s="1716">
        <v>691101.01634924777</v>
      </c>
      <c r="AA220" s="256"/>
      <c r="AB220" s="1715">
        <v>728446.71679643437</v>
      </c>
      <c r="AC220" s="1716">
        <v>691101.01634924777</v>
      </c>
      <c r="AD220" s="256"/>
      <c r="AE220" s="1715">
        <v>728446.71679643437</v>
      </c>
      <c r="AF220" s="1716">
        <v>691101.01634924777</v>
      </c>
      <c r="AG220" s="256"/>
      <c r="AH220" s="1715">
        <v>728446.71679643437</v>
      </c>
      <c r="AI220" s="1716">
        <v>691101.01634924777</v>
      </c>
      <c r="AJ220" s="256"/>
      <c r="AK220" s="1715">
        <v>728446.71679643437</v>
      </c>
      <c r="AL220" s="1716">
        <v>691101.01634924777</v>
      </c>
      <c r="AM220" s="256"/>
      <c r="AN220" s="1715">
        <v>727866.08149408631</v>
      </c>
      <c r="AO220" s="1716">
        <v>690550.14881380787</v>
      </c>
      <c r="AP220" s="256"/>
      <c r="AQ220" s="1715">
        <v>727866.08149408631</v>
      </c>
      <c r="AR220" s="1716">
        <v>690550.14881380787</v>
      </c>
      <c r="AS220" s="256"/>
      <c r="AT220" s="1715">
        <v>727866.08149408631</v>
      </c>
      <c r="AU220" s="1715">
        <v>690550.14881380787</v>
      </c>
      <c r="AV220" s="256"/>
      <c r="AW220" s="1715">
        <v>727866.08149408631</v>
      </c>
      <c r="AX220" s="1715">
        <v>690550.14881380787</v>
      </c>
      <c r="AY220" s="256"/>
      <c r="AZ220" s="1715">
        <v>727866.08149408631</v>
      </c>
      <c r="BA220" s="1715">
        <v>690550.14881380787</v>
      </c>
      <c r="BB220" s="256"/>
      <c r="BC220" s="1715">
        <v>727866.08149408631</v>
      </c>
      <c r="BD220" s="1715">
        <v>690550.14881380787</v>
      </c>
      <c r="BE220" s="256"/>
      <c r="BF220" s="1715">
        <v>727866.08149408631</v>
      </c>
      <c r="BG220" s="1715">
        <v>690550.14881380787</v>
      </c>
      <c r="BH220" s="256"/>
      <c r="BI220" s="1715">
        <v>727866.08149408631</v>
      </c>
      <c r="BJ220" s="1715">
        <v>690550.14881380787</v>
      </c>
      <c r="BK220" s="256"/>
      <c r="BL220" s="1715">
        <v>727866.08149408631</v>
      </c>
      <c r="BM220" s="1715">
        <v>690550.14881380787</v>
      </c>
      <c r="BN220" s="256"/>
      <c r="BO220" s="1715">
        <v>727866.08149408631</v>
      </c>
      <c r="BP220" s="1715">
        <v>690550.14881380787</v>
      </c>
      <c r="BQ220" s="256"/>
      <c r="BR220" s="1715">
        <v>727866.08149408631</v>
      </c>
      <c r="BS220" s="1715">
        <v>690550.14881380787</v>
      </c>
      <c r="BT220" s="256"/>
      <c r="BU220" s="1715">
        <v>727866.08149408631</v>
      </c>
      <c r="BV220" s="1715">
        <v>690550.14881380787</v>
      </c>
      <c r="BW220" s="256"/>
      <c r="BX220" s="1715">
        <v>727866.08149408631</v>
      </c>
      <c r="BY220" s="1715">
        <v>690550.14881380787</v>
      </c>
      <c r="BZ220" s="256"/>
      <c r="CA220" s="1715">
        <v>727115.37149408623</v>
      </c>
      <c r="CB220" s="1715">
        <v>689837.92589891132</v>
      </c>
      <c r="CC220" s="256"/>
      <c r="CD220" s="1715">
        <v>727115.37149408623</v>
      </c>
      <c r="CE220" s="1715">
        <v>689837.92589891132</v>
      </c>
      <c r="CF220" s="256"/>
      <c r="CG220" s="1715">
        <v>727115.37149408623</v>
      </c>
      <c r="CH220" s="1715">
        <v>689837.92589891132</v>
      </c>
      <c r="CI220" s="1684">
        <f t="shared" si="29"/>
        <v>0</v>
      </c>
      <c r="CJ220" s="1715">
        <v>727115.37149408623</v>
      </c>
      <c r="CK220" s="1715">
        <v>689837.92589891132</v>
      </c>
      <c r="CL220" s="256"/>
      <c r="CM220" s="1715">
        <v>714250.63929260173</v>
      </c>
      <c r="CN220" s="1715">
        <v>677632.73738683038</v>
      </c>
      <c r="CO220" s="256"/>
      <c r="CP220" s="1245">
        <v>714250.63929260173</v>
      </c>
      <c r="CQ220" s="1715">
        <v>677632.73738683038</v>
      </c>
      <c r="CR220" s="256"/>
      <c r="CS220" s="1245">
        <v>714264.13289960171</v>
      </c>
      <c r="CT220" s="1715">
        <v>677645.53920925187</v>
      </c>
      <c r="CU220" s="256"/>
      <c r="CV220" s="1715">
        <v>714264.13289960171</v>
      </c>
      <c r="CW220" s="1715">
        <v>677645.53920925187</v>
      </c>
      <c r="CX220" s="256"/>
      <c r="CY220" s="1715"/>
      <c r="CZ220" s="1715"/>
    </row>
    <row r="221" spans="1:104">
      <c r="A221" s="260">
        <f t="shared" si="32"/>
        <v>214</v>
      </c>
      <c r="B221" s="495">
        <f>'Stmt H'!B131</f>
        <v>903</v>
      </c>
      <c r="C221" s="294" t="s">
        <v>1155</v>
      </c>
      <c r="D221" s="286"/>
      <c r="E221" s="289" t="s">
        <v>276</v>
      </c>
      <c r="F221" s="285"/>
      <c r="G221" s="207">
        <f>'Stmt H'!F131</f>
        <v>5763196.2599999998</v>
      </c>
      <c r="H221" s="29"/>
      <c r="I221" s="635" t="s">
        <v>276</v>
      </c>
      <c r="J221" s="29"/>
      <c r="K221" s="1245">
        <f>'Stmt H'!U131</f>
        <v>6055809.61893583</v>
      </c>
      <c r="M221" s="1624">
        <f>IF(ISERROR(O221/K221),0,O221/K221)</f>
        <v>0.94873241983789069</v>
      </c>
      <c r="N221" s="1625">
        <f>M221*G221</f>
        <v>5467731.1337504815</v>
      </c>
      <c r="O221" s="1625">
        <v>5745342.9138505645</v>
      </c>
      <c r="Q221" s="1715">
        <v>6094717.5331304381</v>
      </c>
      <c r="R221" s="256"/>
      <c r="S221" s="1715">
        <v>6094717.5331304381</v>
      </c>
      <c r="T221" s="1716">
        <v>5782256.11343526</v>
      </c>
      <c r="U221" s="256"/>
      <c r="V221" s="1715">
        <v>6094717.5331304381</v>
      </c>
      <c r="W221" s="1716">
        <v>5782256.11343526</v>
      </c>
      <c r="X221" s="256"/>
      <c r="Y221" s="1715">
        <v>6093157.703130438</v>
      </c>
      <c r="Z221" s="1716">
        <v>5780776.2521448238</v>
      </c>
      <c r="AA221" s="256"/>
      <c r="AB221" s="1715">
        <v>6059161.703130438</v>
      </c>
      <c r="AC221" s="1716">
        <v>5748523.1448000157</v>
      </c>
      <c r="AD221" s="256"/>
      <c r="AE221" s="1715">
        <v>6059161.703130438</v>
      </c>
      <c r="AF221" s="1716">
        <v>5748523.1448000157</v>
      </c>
      <c r="AG221" s="256"/>
      <c r="AH221" s="1715">
        <v>6059161.703130438</v>
      </c>
      <c r="AI221" s="1716">
        <v>5748523.1448000157</v>
      </c>
      <c r="AJ221" s="256"/>
      <c r="AK221" s="1715">
        <v>6059161.703130438</v>
      </c>
      <c r="AL221" s="1716">
        <v>5748523.1448000157</v>
      </c>
      <c r="AM221" s="256"/>
      <c r="AN221" s="1715">
        <v>6058089.7517485768</v>
      </c>
      <c r="AO221" s="1716">
        <v>5747506.1497715544</v>
      </c>
      <c r="AP221" s="256"/>
      <c r="AQ221" s="1715">
        <v>6058089.7517485768</v>
      </c>
      <c r="AR221" s="1716">
        <v>5747506.1497715544</v>
      </c>
      <c r="AS221" s="256"/>
      <c r="AT221" s="1715">
        <v>6058089.7517485768</v>
      </c>
      <c r="AU221" s="1715">
        <v>5747506.1497715544</v>
      </c>
      <c r="AV221" s="256"/>
      <c r="AW221" s="1715">
        <v>6058089.7517485768</v>
      </c>
      <c r="AX221" s="1715">
        <v>5747506.1497715544</v>
      </c>
      <c r="AY221" s="256"/>
      <c r="AZ221" s="1715">
        <v>6058089.7517485768</v>
      </c>
      <c r="BA221" s="1715">
        <v>5747506.1497715544</v>
      </c>
      <c r="BB221" s="256"/>
      <c r="BC221" s="1715">
        <v>6058089.7517485768</v>
      </c>
      <c r="BD221" s="1715">
        <v>5747506.1497715544</v>
      </c>
      <c r="BE221" s="256"/>
      <c r="BF221" s="1715">
        <v>6058089.7517485768</v>
      </c>
      <c r="BG221" s="1715">
        <v>5747506.1497715544</v>
      </c>
      <c r="BH221" s="256"/>
      <c r="BI221" s="1715">
        <v>6058089.7517485768</v>
      </c>
      <c r="BJ221" s="1715">
        <v>5747506.1497715544</v>
      </c>
      <c r="BK221" s="256"/>
      <c r="BL221" s="1715">
        <v>6058089.7517485768</v>
      </c>
      <c r="BM221" s="1715">
        <v>5747506.1497715544</v>
      </c>
      <c r="BN221" s="256"/>
      <c r="BO221" s="1715">
        <v>6058089.7517485768</v>
      </c>
      <c r="BP221" s="1715">
        <v>5747506.1497715544</v>
      </c>
      <c r="BQ221" s="256"/>
      <c r="BR221" s="1715">
        <v>6058089.7517485768</v>
      </c>
      <c r="BS221" s="1715">
        <v>5747506.1497715544</v>
      </c>
      <c r="BT221" s="256"/>
      <c r="BU221" s="1715">
        <v>6058089.7517485768</v>
      </c>
      <c r="BV221" s="1715">
        <v>5747506.1497715544</v>
      </c>
      <c r="BW221" s="256"/>
      <c r="BX221" s="1715">
        <v>6058089.7517485768</v>
      </c>
      <c r="BY221" s="1715">
        <v>5747506.1497715544</v>
      </c>
      <c r="BZ221" s="256"/>
      <c r="CA221" s="1715">
        <v>6057533.2617485775</v>
      </c>
      <c r="CB221" s="1715">
        <v>5746978.1896672389</v>
      </c>
      <c r="CC221" s="256"/>
      <c r="CD221" s="1715">
        <v>6057533.2617485775</v>
      </c>
      <c r="CE221" s="1715">
        <v>5746978.1896672389</v>
      </c>
      <c r="CF221" s="256"/>
      <c r="CG221" s="1715">
        <v>6057533.2617485775</v>
      </c>
      <c r="CH221" s="1715">
        <v>5746978.1896672389</v>
      </c>
      <c r="CI221" s="1684">
        <f t="shared" si="29"/>
        <v>0</v>
      </c>
      <c r="CJ221" s="1715">
        <v>6057533.2617485775</v>
      </c>
      <c r="CK221" s="1715">
        <v>5746978.1896672389</v>
      </c>
      <c r="CL221" s="256"/>
      <c r="CM221" s="1715">
        <v>6048541.8500978304</v>
      </c>
      <c r="CN221" s="1715">
        <v>5738447.7459340673</v>
      </c>
      <c r="CO221" s="256"/>
      <c r="CP221" s="1245">
        <v>6048541.8500978304</v>
      </c>
      <c r="CQ221" s="1715">
        <v>5738447.7459340673</v>
      </c>
      <c r="CR221" s="256"/>
      <c r="CS221" s="1245">
        <v>6055809.61893583</v>
      </c>
      <c r="CT221" s="1715">
        <v>5745342.9138505645</v>
      </c>
      <c r="CU221" s="256"/>
      <c r="CV221" s="1715">
        <v>6055809.61893583</v>
      </c>
      <c r="CW221" s="1715">
        <v>5745342.9138505645</v>
      </c>
      <c r="CX221" s="256"/>
      <c r="CY221" s="1715"/>
      <c r="CZ221" s="1715"/>
    </row>
    <row r="222" spans="1:104">
      <c r="A222" s="260">
        <f t="shared" si="32"/>
        <v>215</v>
      </c>
      <c r="B222" s="495">
        <f>'Stmt H'!B132</f>
        <v>904</v>
      </c>
      <c r="C222" s="294" t="s">
        <v>211</v>
      </c>
      <c r="D222" s="286"/>
      <c r="E222" s="289" t="s">
        <v>276</v>
      </c>
      <c r="F222" s="285"/>
      <c r="G222" s="207">
        <f>'Stmt H'!F132</f>
        <v>519241.04000000004</v>
      </c>
      <c r="H222" s="29"/>
      <c r="I222" s="635" t="s">
        <v>276</v>
      </c>
      <c r="J222" s="29"/>
      <c r="K222" s="1245">
        <f ca="1">'Stmt H'!U132</f>
        <v>664748.74297257431</v>
      </c>
      <c r="M222" s="1624">
        <f ca="1">IF(ISERROR(O222/K222),0,O222/K222)</f>
        <v>0.94873241983789081</v>
      </c>
      <c r="N222" s="1625">
        <f ca="1">M222*G222</f>
        <v>492620.80835834309</v>
      </c>
      <c r="O222" s="1625">
        <v>630668.68350456655</v>
      </c>
      <c r="Q222" s="1715">
        <v>697023.42663560389</v>
      </c>
      <c r="R222" s="256"/>
      <c r="S222" s="1715">
        <v>697023.32099146931</v>
      </c>
      <c r="T222" s="1716">
        <v>661288.62200767943</v>
      </c>
      <c r="U222" s="256"/>
      <c r="V222" s="1715">
        <v>697028.82769198122</v>
      </c>
      <c r="W222" s="1716">
        <v>661293.84639298148</v>
      </c>
      <c r="X222" s="256"/>
      <c r="Y222" s="1715">
        <v>697209.81370176875</v>
      </c>
      <c r="Z222" s="1716">
        <v>661465.55368800403</v>
      </c>
      <c r="AA222" s="256"/>
      <c r="AB222" s="1715">
        <v>697059.56573328737</v>
      </c>
      <c r="AC222" s="1716">
        <v>661323.00856929098</v>
      </c>
      <c r="AD222" s="256"/>
      <c r="AE222" s="1715">
        <v>696920.48082835367</v>
      </c>
      <c r="AF222" s="1716">
        <v>661191.05421087029</v>
      </c>
      <c r="AG222" s="256"/>
      <c r="AH222" s="1715">
        <v>694328.48878240259</v>
      </c>
      <c r="AI222" s="1716">
        <v>658731.94732491451</v>
      </c>
      <c r="AJ222" s="256"/>
      <c r="AK222" s="1715">
        <v>693675.99539289903</v>
      </c>
      <c r="AL222" s="1716">
        <v>658112.90569256258</v>
      </c>
      <c r="AM222" s="256"/>
      <c r="AN222" s="1715">
        <v>693426.45074164728</v>
      </c>
      <c r="AO222" s="1716">
        <v>657876.15459172288</v>
      </c>
      <c r="AP222" s="256"/>
      <c r="AQ222" s="1715">
        <v>690791.54516788665</v>
      </c>
      <c r="AR222" s="1716">
        <v>655376.33425068471</v>
      </c>
      <c r="AS222" s="256"/>
      <c r="AT222" s="1715">
        <v>690861.90856331552</v>
      </c>
      <c r="AU222" s="1715">
        <v>655443.09028509795</v>
      </c>
      <c r="AV222" s="256"/>
      <c r="AW222" s="1715">
        <v>690520.35227273637</v>
      </c>
      <c r="AX222" s="1715">
        <v>655119.04475902591</v>
      </c>
      <c r="AY222" s="256"/>
      <c r="AZ222" s="1715">
        <v>686414.25968717493</v>
      </c>
      <c r="BA222" s="1715">
        <v>651223.4616042478</v>
      </c>
      <c r="BB222" s="256"/>
      <c r="BC222" s="1715">
        <v>686414.25968717493</v>
      </c>
      <c r="BD222" s="1715">
        <v>651223.4616042478</v>
      </c>
      <c r="BE222" s="256"/>
      <c r="BF222" s="1715">
        <v>685210.46238168178</v>
      </c>
      <c r="BG222" s="1715">
        <v>650081.38007361291</v>
      </c>
      <c r="BH222" s="256"/>
      <c r="BI222" s="1715">
        <v>684035.62037272484</v>
      </c>
      <c r="BJ222" s="1715">
        <v>648966.76937152795</v>
      </c>
      <c r="BK222" s="256"/>
      <c r="BL222" s="1715">
        <v>683042.58311559795</v>
      </c>
      <c r="BM222" s="1715">
        <v>648024.64273158484</v>
      </c>
      <c r="BN222" s="256"/>
      <c r="BO222" s="1715">
        <v>672722.88109575224</v>
      </c>
      <c r="BP222" s="1715">
        <v>638234.00686229055</v>
      </c>
      <c r="BQ222" s="256"/>
      <c r="BR222" s="1715">
        <v>665022.9907439478</v>
      </c>
      <c r="BS222" s="1715">
        <v>630928.8712563368</v>
      </c>
      <c r="BT222" s="256"/>
      <c r="BU222" s="1715">
        <v>662052.96876997466</v>
      </c>
      <c r="BV222" s="1715">
        <v>628111.11512199754</v>
      </c>
      <c r="BW222" s="256"/>
      <c r="BX222" s="1715">
        <v>662533.23580917786</v>
      </c>
      <c r="BY222" s="1715">
        <v>628566.76003226917</v>
      </c>
      <c r="BZ222" s="256"/>
      <c r="CA222" s="1715">
        <v>667002.1939876189</v>
      </c>
      <c r="CB222" s="1715">
        <v>632806.60553905589</v>
      </c>
      <c r="CC222" s="256"/>
      <c r="CD222" s="1715">
        <v>667002.1939876189</v>
      </c>
      <c r="CE222" s="1715">
        <v>632806.60553905589</v>
      </c>
      <c r="CF222" s="256"/>
      <c r="CG222" s="1715">
        <v>666855.23859466345</v>
      </c>
      <c r="CH222" s="1715">
        <v>632667.18419348903</v>
      </c>
      <c r="CI222" s="1684">
        <f t="shared" si="29"/>
        <v>-139.42134556686506</v>
      </c>
      <c r="CJ222" s="1715">
        <v>666855.23859466345</v>
      </c>
      <c r="CK222" s="1715">
        <v>632667.18419348903</v>
      </c>
      <c r="CL222" s="256"/>
      <c r="CM222" s="1715">
        <v>664237.32852104353</v>
      </c>
      <c r="CN222" s="1715">
        <v>630183.48803442565</v>
      </c>
      <c r="CO222" s="256"/>
      <c r="CP222" s="1245">
        <v>665606.82865153044</v>
      </c>
      <c r="CQ222" s="1715">
        <v>631482.77720719075</v>
      </c>
      <c r="CR222" s="256"/>
      <c r="CS222" s="1245">
        <v>665013.28028724983</v>
      </c>
      <c r="CT222" s="1715">
        <v>630919.65863125597</v>
      </c>
      <c r="CU222" s="256"/>
      <c r="CV222" s="1715">
        <v>664748.74297257431</v>
      </c>
      <c r="CW222" s="1715">
        <v>630668.68350456655</v>
      </c>
      <c r="CX222" s="256"/>
      <c r="CY222" s="1715"/>
      <c r="CZ222" s="1715"/>
    </row>
    <row r="223" spans="1:104">
      <c r="A223" s="260">
        <f t="shared" si="32"/>
        <v>216</v>
      </c>
      <c r="B223" s="495">
        <f>'Stmt H'!B133</f>
        <v>905</v>
      </c>
      <c r="C223" s="294" t="s">
        <v>171</v>
      </c>
      <c r="D223" s="286"/>
      <c r="E223" s="289" t="s">
        <v>276</v>
      </c>
      <c r="F223" s="285"/>
      <c r="G223" s="787">
        <f>'Stmt H'!F133</f>
        <v>161857.26</v>
      </c>
      <c r="H223" s="29"/>
      <c r="I223" s="635" t="s">
        <v>276</v>
      </c>
      <c r="J223" s="29"/>
      <c r="K223" s="637">
        <f>'Stmt H'!U133</f>
        <v>165908.54092312654</v>
      </c>
      <c r="M223" s="1624">
        <f>IF(ISERROR(O223/K223),0,O223/K223)</f>
        <v>0.94873241983789069</v>
      </c>
      <c r="N223" s="1626">
        <f>M223*G223</f>
        <v>153559.22994813064</v>
      </c>
      <c r="O223" s="1626">
        <v>157402.81150177156</v>
      </c>
      <c r="Q223" s="1701">
        <v>166714.08763222297</v>
      </c>
      <c r="R223" s="256"/>
      <c r="S223" s="1701">
        <v>166714.08763222297</v>
      </c>
      <c r="T223" s="1702">
        <v>158167.05978038505</v>
      </c>
      <c r="U223" s="256"/>
      <c r="V223" s="1701">
        <v>166714.08763222297</v>
      </c>
      <c r="W223" s="1702">
        <v>158167.05978038505</v>
      </c>
      <c r="X223" s="256"/>
      <c r="Y223" s="1701">
        <v>166625.02763222298</v>
      </c>
      <c r="Z223" s="1702">
        <v>158082.56567107429</v>
      </c>
      <c r="AA223" s="256"/>
      <c r="AB223" s="1701">
        <v>166625.02763222298</v>
      </c>
      <c r="AC223" s="1702">
        <v>158082.56567107429</v>
      </c>
      <c r="AD223" s="256"/>
      <c r="AE223" s="1701">
        <v>166625.02763222298</v>
      </c>
      <c r="AF223" s="1702">
        <v>158082.56567107429</v>
      </c>
      <c r="AG223" s="256"/>
      <c r="AH223" s="1701">
        <v>166625.02763222298</v>
      </c>
      <c r="AI223" s="1702">
        <v>158082.56567107429</v>
      </c>
      <c r="AJ223" s="256"/>
      <c r="AK223" s="1701">
        <v>166625.02763222298</v>
      </c>
      <c r="AL223" s="1702">
        <v>158082.56567107429</v>
      </c>
      <c r="AM223" s="256"/>
      <c r="AN223" s="1701">
        <v>166408.51665662922</v>
      </c>
      <c r="AO223" s="1702">
        <v>157877.15468927778</v>
      </c>
      <c r="AP223" s="256"/>
      <c r="AQ223" s="1701">
        <v>166408.51665662922</v>
      </c>
      <c r="AR223" s="1702">
        <v>157877.15468927778</v>
      </c>
      <c r="AS223" s="256"/>
      <c r="AT223" s="1701">
        <v>166408.51665662922</v>
      </c>
      <c r="AU223" s="1701">
        <v>157877.15468927778</v>
      </c>
      <c r="AV223" s="256"/>
      <c r="AW223" s="1701">
        <v>166408.51665662922</v>
      </c>
      <c r="AX223" s="1701">
        <v>157877.15468927778</v>
      </c>
      <c r="AY223" s="256"/>
      <c r="AZ223" s="1701">
        <v>166408.51665662922</v>
      </c>
      <c r="BA223" s="1701">
        <v>157877.15468927778</v>
      </c>
      <c r="BB223" s="256"/>
      <c r="BC223" s="1701">
        <v>166408.51665662922</v>
      </c>
      <c r="BD223" s="1701">
        <v>157877.15468927778</v>
      </c>
      <c r="BE223" s="256"/>
      <c r="BF223" s="1701">
        <v>166408.51665662922</v>
      </c>
      <c r="BG223" s="1701">
        <v>157877.15468927778</v>
      </c>
      <c r="BH223" s="256"/>
      <c r="BI223" s="1701">
        <v>166408.51665662922</v>
      </c>
      <c r="BJ223" s="1701">
        <v>157877.15468927778</v>
      </c>
      <c r="BK223" s="256"/>
      <c r="BL223" s="1701">
        <v>166408.51665662922</v>
      </c>
      <c r="BM223" s="1701">
        <v>157877.15468927778</v>
      </c>
      <c r="BN223" s="256"/>
      <c r="BO223" s="1701">
        <v>166408.51665662922</v>
      </c>
      <c r="BP223" s="1701">
        <v>157877.15468927778</v>
      </c>
      <c r="BQ223" s="256"/>
      <c r="BR223" s="1701">
        <v>166408.51665662922</v>
      </c>
      <c r="BS223" s="1701">
        <v>157877.15468927778</v>
      </c>
      <c r="BT223" s="256"/>
      <c r="BU223" s="1701">
        <v>166408.51665662922</v>
      </c>
      <c r="BV223" s="1701">
        <v>157877.15468927778</v>
      </c>
      <c r="BW223" s="256"/>
      <c r="BX223" s="1701">
        <v>166408.51665662922</v>
      </c>
      <c r="BY223" s="1701">
        <v>157877.15468927778</v>
      </c>
      <c r="BZ223" s="256"/>
      <c r="CA223" s="1701">
        <v>166376.74665662923</v>
      </c>
      <c r="CB223" s="1701">
        <v>157847.01346029952</v>
      </c>
      <c r="CC223" s="256"/>
      <c r="CD223" s="1701">
        <v>166376.74665662923</v>
      </c>
      <c r="CE223" s="1701">
        <v>157847.01346029952</v>
      </c>
      <c r="CF223" s="256"/>
      <c r="CG223" s="1701">
        <v>166376.74665662923</v>
      </c>
      <c r="CH223" s="1701">
        <v>157847.01346029952</v>
      </c>
      <c r="CI223" s="1684">
        <f t="shared" si="29"/>
        <v>0</v>
      </c>
      <c r="CJ223" s="1701">
        <v>166376.74665662923</v>
      </c>
      <c r="CK223" s="1701">
        <v>157847.01346029952</v>
      </c>
      <c r="CL223" s="256"/>
      <c r="CM223" s="1701">
        <v>165674.89989712657</v>
      </c>
      <c r="CN223" s="1701">
        <v>157181.14868580119</v>
      </c>
      <c r="CO223" s="256"/>
      <c r="CP223" s="637">
        <v>165674.89989712657</v>
      </c>
      <c r="CQ223" s="1701">
        <v>157181.14868580119</v>
      </c>
      <c r="CR223" s="256"/>
      <c r="CS223" s="637">
        <v>165908.54092312654</v>
      </c>
      <c r="CT223" s="1701">
        <v>157402.81150177156</v>
      </c>
      <c r="CU223" s="256"/>
      <c r="CV223" s="1701">
        <v>165908.54092312654</v>
      </c>
      <c r="CW223" s="1701">
        <v>157402.81150177156</v>
      </c>
      <c r="CX223" s="256"/>
      <c r="CY223" s="1701"/>
      <c r="CZ223" s="1701"/>
    </row>
    <row r="224" spans="1:104">
      <c r="A224" s="260">
        <f t="shared" si="32"/>
        <v>217</v>
      </c>
      <c r="B224" s="495"/>
      <c r="C224" s="275" t="s">
        <v>69</v>
      </c>
      <c r="D224" s="266"/>
      <c r="E224" s="265"/>
      <c r="F224" s="264"/>
      <c r="G224" s="361">
        <f>SUM(G219:G223)</f>
        <v>7364059.5599999996</v>
      </c>
      <c r="H224" s="29"/>
      <c r="I224" s="1229"/>
      <c r="J224" s="29"/>
      <c r="K224" s="49">
        <f ca="1">SUM(K219:K223)</f>
        <v>7859285.7782946751</v>
      </c>
      <c r="M224" s="1630" t="s">
        <v>1528</v>
      </c>
      <c r="N224" s="1614">
        <f ca="1">SUM(N219:N223)</f>
        <v>6986522.0461891526</v>
      </c>
      <c r="O224" s="1614">
        <v>7456359.2146390267</v>
      </c>
      <c r="Q224" s="49">
        <v>7948167.5473272828</v>
      </c>
      <c r="R224" s="256"/>
      <c r="S224" s="49">
        <v>7948167.441683148</v>
      </c>
      <c r="T224" s="1721">
        <v>7540684.1302247895</v>
      </c>
      <c r="U224" s="256"/>
      <c r="V224" s="49">
        <v>7948172.9483836601</v>
      </c>
      <c r="W224" s="1721">
        <v>7540689.354610092</v>
      </c>
      <c r="X224" s="256"/>
      <c r="Y224" s="49">
        <v>7944475.4843934476</v>
      </c>
      <c r="Z224" s="1721">
        <v>7537181.4506513933</v>
      </c>
      <c r="AA224" s="256"/>
      <c r="AB224" s="49">
        <v>7910329.2364249658</v>
      </c>
      <c r="AC224" s="1721">
        <v>7504785.7981878724</v>
      </c>
      <c r="AD224" s="256"/>
      <c r="AE224" s="49">
        <v>7910190.1515200324</v>
      </c>
      <c r="AF224" s="1721">
        <v>7504653.8438294521</v>
      </c>
      <c r="AG224" s="256"/>
      <c r="AH224" s="49">
        <v>7907598.1594740823</v>
      </c>
      <c r="AI224" s="1721">
        <v>7502194.7369434964</v>
      </c>
      <c r="AJ224" s="256"/>
      <c r="AK224" s="49">
        <v>7906945.6660845783</v>
      </c>
      <c r="AL224" s="1721">
        <v>7501575.695311144</v>
      </c>
      <c r="AM224" s="256"/>
      <c r="AN224" s="49">
        <v>7904631.6486019706</v>
      </c>
      <c r="AO224" s="1721">
        <v>7499380.3119053235</v>
      </c>
      <c r="AP224" s="256"/>
      <c r="AQ224" s="49">
        <v>7901996.7430282105</v>
      </c>
      <c r="AR224" s="1721">
        <v>7496880.4915642859</v>
      </c>
      <c r="AS224" s="256"/>
      <c r="AT224" s="49">
        <v>7902067.1064236397</v>
      </c>
      <c r="AU224" s="49">
        <v>7496947.2475986993</v>
      </c>
      <c r="AV224" s="256"/>
      <c r="AW224" s="49">
        <v>7901725.5501330597</v>
      </c>
      <c r="AX224" s="49">
        <v>7496623.2020726269</v>
      </c>
      <c r="AY224" s="256"/>
      <c r="AZ224" s="49">
        <v>7897619.4575474989</v>
      </c>
      <c r="BA224" s="49">
        <v>7492727.6189178489</v>
      </c>
      <c r="BB224" s="256"/>
      <c r="BC224" s="49">
        <v>7897619.4575474989</v>
      </c>
      <c r="BD224" s="49">
        <v>7492727.6189178489</v>
      </c>
      <c r="BE224" s="256"/>
      <c r="BF224" s="49">
        <v>7896415.6602420053</v>
      </c>
      <c r="BG224" s="49">
        <v>7491585.5373872137</v>
      </c>
      <c r="BH224" s="256"/>
      <c r="BI224" s="49">
        <v>7895240.8182330485</v>
      </c>
      <c r="BJ224" s="49">
        <v>7490470.9266851293</v>
      </c>
      <c r="BK224" s="256"/>
      <c r="BL224" s="49">
        <v>7894247.780975922</v>
      </c>
      <c r="BM224" s="49">
        <v>7489528.8000451857</v>
      </c>
      <c r="BN224" s="256"/>
      <c r="BO224" s="49">
        <v>7883928.0789560759</v>
      </c>
      <c r="BP224" s="49">
        <v>7479738.1641758913</v>
      </c>
      <c r="BQ224" s="256"/>
      <c r="BR224" s="49">
        <v>7876228.188604272</v>
      </c>
      <c r="BS224" s="49">
        <v>7472433.0285699377</v>
      </c>
      <c r="BT224" s="256"/>
      <c r="BU224" s="49">
        <v>7873258.1666302988</v>
      </c>
      <c r="BV224" s="49">
        <v>7469615.272435599</v>
      </c>
      <c r="BW224" s="256"/>
      <c r="BX224" s="49">
        <v>7873738.4336695019</v>
      </c>
      <c r="BY224" s="49">
        <v>7470070.9173458703</v>
      </c>
      <c r="BZ224" s="256"/>
      <c r="CA224" s="49">
        <v>7876823.7018479444</v>
      </c>
      <c r="CB224" s="49">
        <v>7472998.0112906517</v>
      </c>
      <c r="CC224" s="256"/>
      <c r="CD224" s="49">
        <v>7876823.7018479444</v>
      </c>
      <c r="CE224" s="49">
        <v>7472998.0112906517</v>
      </c>
      <c r="CF224" s="256"/>
      <c r="CG224" s="49">
        <v>7876676.7464549886</v>
      </c>
      <c r="CH224" s="49">
        <v>7472858.5899450853</v>
      </c>
      <c r="CI224" s="1684">
        <f t="shared" si="29"/>
        <v>-139.4213455663994</v>
      </c>
      <c r="CJ224" s="49">
        <v>7876676.7464549886</v>
      </c>
      <c r="CK224" s="49">
        <v>7472858.5899450853</v>
      </c>
      <c r="CL224" s="256"/>
      <c r="CM224" s="49">
        <v>7850885.9065911453</v>
      </c>
      <c r="CN224" s="49">
        <v>7448389.984031409</v>
      </c>
      <c r="CO224" s="256"/>
      <c r="CP224" s="49">
        <v>7852255.406721632</v>
      </c>
      <c r="CQ224" s="49">
        <v>7449689.2732041748</v>
      </c>
      <c r="CR224" s="256"/>
      <c r="CS224" s="49">
        <v>7859550.3156093508</v>
      </c>
      <c r="CT224" s="49">
        <v>7456610.189765716</v>
      </c>
      <c r="CU224" s="256"/>
      <c r="CV224" s="49">
        <v>7859285.7782946751</v>
      </c>
      <c r="CW224" s="49">
        <v>7456359.2146390267</v>
      </c>
      <c r="CX224" s="256"/>
      <c r="CY224" s="49"/>
      <c r="CZ224" s="49"/>
    </row>
    <row r="225" spans="1:104">
      <c r="A225" s="260">
        <f t="shared" si="32"/>
        <v>218</v>
      </c>
      <c r="B225" s="495"/>
      <c r="D225" s="266"/>
      <c r="E225" s="265"/>
      <c r="F225" s="264"/>
      <c r="G225" s="361"/>
      <c r="H225" s="29"/>
      <c r="I225" s="24"/>
      <c r="J225" s="29"/>
      <c r="K225" s="54"/>
      <c r="M225" s="1624"/>
      <c r="N225" s="1113"/>
      <c r="O225" s="1113"/>
      <c r="Q225" s="54"/>
      <c r="R225" s="256"/>
      <c r="S225" s="54"/>
      <c r="T225" s="1694"/>
      <c r="U225" s="256"/>
      <c r="V225" s="54"/>
      <c r="W225" s="1694"/>
      <c r="X225" s="256"/>
      <c r="Y225" s="54"/>
      <c r="Z225" s="1694"/>
      <c r="AA225" s="256"/>
      <c r="AB225" s="54"/>
      <c r="AC225" s="1694"/>
      <c r="AD225" s="256"/>
      <c r="AE225" s="54"/>
      <c r="AF225" s="1694"/>
      <c r="AG225" s="256"/>
      <c r="AH225" s="54"/>
      <c r="AI225" s="1694"/>
      <c r="AJ225" s="256"/>
      <c r="AK225" s="54"/>
      <c r="AL225" s="1694"/>
      <c r="AM225" s="256"/>
      <c r="AN225" s="54"/>
      <c r="AO225" s="1694"/>
      <c r="AP225" s="256"/>
      <c r="AQ225" s="54"/>
      <c r="AR225" s="1694"/>
      <c r="AS225" s="256"/>
      <c r="AT225" s="54"/>
      <c r="AU225" s="54"/>
      <c r="AV225" s="256"/>
      <c r="AW225" s="54"/>
      <c r="AX225" s="54"/>
      <c r="AY225" s="256"/>
      <c r="AZ225" s="54"/>
      <c r="BA225" s="54"/>
      <c r="BB225" s="256"/>
      <c r="BC225" s="54"/>
      <c r="BD225" s="54"/>
      <c r="BE225" s="256"/>
      <c r="BF225" s="54"/>
      <c r="BG225" s="54"/>
      <c r="BH225" s="256"/>
      <c r="BI225" s="54"/>
      <c r="BJ225" s="54"/>
      <c r="BK225" s="256"/>
      <c r="BL225" s="54"/>
      <c r="BM225" s="54"/>
      <c r="BN225" s="256"/>
      <c r="BO225" s="54"/>
      <c r="BP225" s="54"/>
      <c r="BQ225" s="256"/>
      <c r="BR225" s="54"/>
      <c r="BS225" s="54"/>
      <c r="BT225" s="256"/>
      <c r="BU225" s="54"/>
      <c r="BV225" s="54"/>
      <c r="BW225" s="256"/>
      <c r="BX225" s="54"/>
      <c r="BY225" s="54"/>
      <c r="BZ225" s="256"/>
      <c r="CA225" s="54"/>
      <c r="CB225" s="54"/>
      <c r="CC225" s="256"/>
      <c r="CD225" s="54"/>
      <c r="CE225" s="54"/>
      <c r="CF225" s="256"/>
      <c r="CG225" s="54"/>
      <c r="CH225" s="54"/>
      <c r="CI225" s="1684">
        <f t="shared" si="29"/>
        <v>0</v>
      </c>
      <c r="CJ225" s="54"/>
      <c r="CK225" s="54"/>
      <c r="CL225" s="256"/>
      <c r="CM225" s="54"/>
      <c r="CN225" s="54"/>
      <c r="CO225" s="256"/>
      <c r="CP225" s="54"/>
      <c r="CQ225" s="54"/>
      <c r="CR225" s="256"/>
      <c r="CS225" s="54"/>
      <c r="CT225" s="54"/>
      <c r="CU225" s="256"/>
      <c r="CV225" s="54"/>
      <c r="CW225" s="54"/>
      <c r="CX225" s="256"/>
      <c r="CY225" s="54"/>
      <c r="CZ225" s="54"/>
    </row>
    <row r="226" spans="1:104">
      <c r="A226" s="260">
        <f t="shared" si="32"/>
        <v>219</v>
      </c>
      <c r="B226" s="495"/>
      <c r="C226" s="275" t="s">
        <v>262</v>
      </c>
      <c r="D226" s="266"/>
      <c r="E226" s="265"/>
      <c r="F226" s="264"/>
      <c r="G226" s="361"/>
      <c r="H226" s="29"/>
      <c r="I226" s="24"/>
      <c r="J226" s="29"/>
      <c r="K226" s="54"/>
      <c r="M226" s="1624"/>
      <c r="N226" s="1113"/>
      <c r="O226" s="1113"/>
      <c r="Q226" s="54"/>
      <c r="R226" s="256"/>
      <c r="S226" s="54"/>
      <c r="T226" s="1694"/>
      <c r="U226" s="256"/>
      <c r="V226" s="54"/>
      <c r="W226" s="1694"/>
      <c r="X226" s="256"/>
      <c r="Y226" s="54"/>
      <c r="Z226" s="1694"/>
      <c r="AA226" s="256"/>
      <c r="AB226" s="54"/>
      <c r="AC226" s="1694"/>
      <c r="AD226" s="256"/>
      <c r="AE226" s="54"/>
      <c r="AF226" s="1694"/>
      <c r="AG226" s="256"/>
      <c r="AH226" s="54"/>
      <c r="AI226" s="1694"/>
      <c r="AJ226" s="256"/>
      <c r="AK226" s="54"/>
      <c r="AL226" s="1694"/>
      <c r="AM226" s="256"/>
      <c r="AN226" s="54"/>
      <c r="AO226" s="1694"/>
      <c r="AP226" s="256"/>
      <c r="AQ226" s="54"/>
      <c r="AR226" s="1694"/>
      <c r="AS226" s="256"/>
      <c r="AT226" s="54"/>
      <c r="AU226" s="54"/>
      <c r="AV226" s="256"/>
      <c r="AW226" s="54"/>
      <c r="AX226" s="54"/>
      <c r="AY226" s="256"/>
      <c r="AZ226" s="54"/>
      <c r="BA226" s="54"/>
      <c r="BB226" s="256"/>
      <c r="BC226" s="54"/>
      <c r="BD226" s="54"/>
      <c r="BE226" s="256"/>
      <c r="BF226" s="54"/>
      <c r="BG226" s="54"/>
      <c r="BH226" s="256"/>
      <c r="BI226" s="54"/>
      <c r="BJ226" s="54"/>
      <c r="BK226" s="256"/>
      <c r="BL226" s="54"/>
      <c r="BM226" s="54"/>
      <c r="BN226" s="256"/>
      <c r="BO226" s="54"/>
      <c r="BP226" s="54"/>
      <c r="BQ226" s="256"/>
      <c r="BR226" s="54"/>
      <c r="BS226" s="54"/>
      <c r="BT226" s="256"/>
      <c r="BU226" s="54"/>
      <c r="BV226" s="54"/>
      <c r="BW226" s="256"/>
      <c r="BX226" s="54"/>
      <c r="BY226" s="54"/>
      <c r="BZ226" s="256"/>
      <c r="CA226" s="54"/>
      <c r="CB226" s="54"/>
      <c r="CC226" s="256"/>
      <c r="CD226" s="54"/>
      <c r="CE226" s="54"/>
      <c r="CF226" s="256"/>
      <c r="CG226" s="54"/>
      <c r="CH226" s="54"/>
      <c r="CI226" s="1684">
        <f t="shared" si="29"/>
        <v>0</v>
      </c>
      <c r="CJ226" s="54"/>
      <c r="CK226" s="54"/>
      <c r="CL226" s="256"/>
      <c r="CM226" s="54"/>
      <c r="CN226" s="54"/>
      <c r="CO226" s="256"/>
      <c r="CP226" s="54"/>
      <c r="CQ226" s="54"/>
      <c r="CR226" s="256"/>
      <c r="CS226" s="54"/>
      <c r="CT226" s="54"/>
      <c r="CU226" s="256"/>
      <c r="CV226" s="54"/>
      <c r="CW226" s="54"/>
      <c r="CX226" s="256"/>
      <c r="CY226" s="54"/>
      <c r="CZ226" s="54"/>
    </row>
    <row r="227" spans="1:104" ht="13.5">
      <c r="A227" s="260">
        <f t="shared" si="32"/>
        <v>220</v>
      </c>
      <c r="B227" s="495"/>
      <c r="C227" s="295" t="s">
        <v>49</v>
      </c>
      <c r="D227" s="266"/>
      <c r="E227" s="265"/>
      <c r="F227" s="264"/>
      <c r="G227" s="361"/>
      <c r="H227" s="29"/>
      <c r="I227" s="24"/>
      <c r="J227" s="29"/>
      <c r="K227" s="54"/>
      <c r="M227" s="1624"/>
      <c r="N227" s="1113"/>
      <c r="O227" s="1113"/>
      <c r="Q227" s="54"/>
      <c r="R227" s="256"/>
      <c r="S227" s="54"/>
      <c r="T227" s="1694"/>
      <c r="U227" s="256"/>
      <c r="V227" s="54"/>
      <c r="W227" s="1694"/>
      <c r="X227" s="256"/>
      <c r="Y227" s="54"/>
      <c r="Z227" s="1694"/>
      <c r="AA227" s="256"/>
      <c r="AB227" s="54"/>
      <c r="AC227" s="1694"/>
      <c r="AD227" s="256"/>
      <c r="AE227" s="54"/>
      <c r="AF227" s="1694"/>
      <c r="AG227" s="256"/>
      <c r="AH227" s="54"/>
      <c r="AI227" s="1694"/>
      <c r="AJ227" s="256"/>
      <c r="AK227" s="54"/>
      <c r="AL227" s="1694"/>
      <c r="AM227" s="256"/>
      <c r="AN227" s="54"/>
      <c r="AO227" s="1694"/>
      <c r="AP227" s="256"/>
      <c r="AQ227" s="54"/>
      <c r="AR227" s="1694"/>
      <c r="AS227" s="256"/>
      <c r="AT227" s="54"/>
      <c r="AU227" s="54"/>
      <c r="AV227" s="256"/>
      <c r="AW227" s="54"/>
      <c r="AX227" s="54"/>
      <c r="AY227" s="256"/>
      <c r="AZ227" s="54"/>
      <c r="BA227" s="54"/>
      <c r="BB227" s="256"/>
      <c r="BC227" s="54"/>
      <c r="BD227" s="54"/>
      <c r="BE227" s="256"/>
      <c r="BF227" s="54"/>
      <c r="BG227" s="54"/>
      <c r="BH227" s="256"/>
      <c r="BI227" s="54"/>
      <c r="BJ227" s="54"/>
      <c r="BK227" s="256"/>
      <c r="BL227" s="54"/>
      <c r="BM227" s="54"/>
      <c r="BN227" s="256"/>
      <c r="BO227" s="54"/>
      <c r="BP227" s="54"/>
      <c r="BQ227" s="256"/>
      <c r="BR227" s="54"/>
      <c r="BS227" s="54"/>
      <c r="BT227" s="256"/>
      <c r="BU227" s="54"/>
      <c r="BV227" s="54"/>
      <c r="BW227" s="256"/>
      <c r="BX227" s="54"/>
      <c r="BY227" s="54"/>
      <c r="BZ227" s="256"/>
      <c r="CA227" s="54"/>
      <c r="CB227" s="54"/>
      <c r="CC227" s="256"/>
      <c r="CD227" s="54"/>
      <c r="CE227" s="54"/>
      <c r="CF227" s="256"/>
      <c r="CG227" s="54"/>
      <c r="CH227" s="54"/>
      <c r="CI227" s="1684">
        <f t="shared" si="29"/>
        <v>0</v>
      </c>
      <c r="CJ227" s="54"/>
      <c r="CK227" s="54"/>
      <c r="CL227" s="256"/>
      <c r="CM227" s="54"/>
      <c r="CN227" s="54"/>
      <c r="CO227" s="256"/>
      <c r="CP227" s="54"/>
      <c r="CQ227" s="54"/>
      <c r="CR227" s="256"/>
      <c r="CS227" s="54"/>
      <c r="CT227" s="54"/>
      <c r="CU227" s="256"/>
      <c r="CV227" s="54"/>
      <c r="CW227" s="54"/>
      <c r="CX227" s="256"/>
      <c r="CY227" s="54"/>
      <c r="CZ227" s="54"/>
    </row>
    <row r="228" spans="1:104">
      <c r="A228" s="260">
        <f t="shared" si="32"/>
        <v>221</v>
      </c>
      <c r="B228" s="495">
        <f>'Stmt H'!B138</f>
        <v>907</v>
      </c>
      <c r="C228" s="294" t="s">
        <v>191</v>
      </c>
      <c r="D228" s="286"/>
      <c r="E228" s="289" t="s">
        <v>276</v>
      </c>
      <c r="F228" s="285"/>
      <c r="G228" s="361">
        <f>'Stmt H'!F138</f>
        <v>101887.28</v>
      </c>
      <c r="H228" s="29"/>
      <c r="I228" s="583" t="s">
        <v>276</v>
      </c>
      <c r="J228" s="29"/>
      <c r="K228" s="361">
        <f>'Stmt H'!U138</f>
        <v>103310.22256000002</v>
      </c>
      <c r="M228" s="1624">
        <f>IF(ISERROR(O228/K228),0,O228/K228)</f>
        <v>0.84322344405581251</v>
      </c>
      <c r="N228" s="1113">
        <f>M228*G228</f>
        <v>85913.743147078902</v>
      </c>
      <c r="O228" s="1113">
        <v>87113.601673215715</v>
      </c>
      <c r="Q228" s="333">
        <v>103107.22072100003</v>
      </c>
      <c r="R228" s="256"/>
      <c r="S228" s="333">
        <v>103107.22072100003</v>
      </c>
      <c r="T228" s="1693">
        <v>86942.425763384468</v>
      </c>
      <c r="U228" s="256"/>
      <c r="V228" s="333">
        <v>103107.22072100003</v>
      </c>
      <c r="W228" s="1693">
        <v>86942.425763384468</v>
      </c>
      <c r="X228" s="256"/>
      <c r="Y228" s="333">
        <v>103105.89072100003</v>
      </c>
      <c r="Z228" s="1693">
        <v>86941.304276203882</v>
      </c>
      <c r="AA228" s="256"/>
      <c r="AB228" s="333">
        <v>103105.89072100003</v>
      </c>
      <c r="AC228" s="1693">
        <v>86941.304276203882</v>
      </c>
      <c r="AD228" s="256"/>
      <c r="AE228" s="333">
        <v>103105.89072100003</v>
      </c>
      <c r="AF228" s="1693">
        <v>86941.304276203882</v>
      </c>
      <c r="AG228" s="256"/>
      <c r="AH228" s="333">
        <v>103105.89072100003</v>
      </c>
      <c r="AI228" s="1693">
        <v>86941.304276203882</v>
      </c>
      <c r="AJ228" s="256"/>
      <c r="AK228" s="333">
        <v>103105.89072100003</v>
      </c>
      <c r="AL228" s="1693">
        <v>86941.304276203882</v>
      </c>
      <c r="AM228" s="256"/>
      <c r="AN228" s="333">
        <v>103105.89072100003</v>
      </c>
      <c r="AO228" s="1693">
        <v>86941.304276203882</v>
      </c>
      <c r="AP228" s="256"/>
      <c r="AQ228" s="333">
        <v>103105.89072100003</v>
      </c>
      <c r="AR228" s="1693">
        <v>86941.304276203882</v>
      </c>
      <c r="AS228" s="256"/>
      <c r="AT228" s="333">
        <v>103105.89072100003</v>
      </c>
      <c r="AU228" s="333">
        <v>86941.304276203882</v>
      </c>
      <c r="AV228" s="256"/>
      <c r="AW228" s="333">
        <v>103105.89072100003</v>
      </c>
      <c r="AX228" s="333">
        <v>86941.304276203882</v>
      </c>
      <c r="AY228" s="256"/>
      <c r="AZ228" s="333">
        <v>103105.89072100003</v>
      </c>
      <c r="BA228" s="333">
        <v>86941.304276203882</v>
      </c>
      <c r="BB228" s="256"/>
      <c r="BC228" s="333">
        <v>103105.89072100003</v>
      </c>
      <c r="BD228" s="333">
        <v>86941.304276203882</v>
      </c>
      <c r="BE228" s="256"/>
      <c r="BF228" s="333">
        <v>103105.89072100003</v>
      </c>
      <c r="BG228" s="333">
        <v>86941.304276203882</v>
      </c>
      <c r="BH228" s="256"/>
      <c r="BI228" s="333">
        <v>103105.89072100003</v>
      </c>
      <c r="BJ228" s="333">
        <v>86941.304276203882</v>
      </c>
      <c r="BK228" s="256"/>
      <c r="BL228" s="333">
        <v>103105.89072100003</v>
      </c>
      <c r="BM228" s="333">
        <v>86941.304276203882</v>
      </c>
      <c r="BN228" s="256"/>
      <c r="BO228" s="333">
        <v>103105.89072100003</v>
      </c>
      <c r="BP228" s="333">
        <v>86941.304276203882</v>
      </c>
      <c r="BQ228" s="256"/>
      <c r="BR228" s="333">
        <v>103105.89072100003</v>
      </c>
      <c r="BS228" s="333">
        <v>86941.304276203882</v>
      </c>
      <c r="BT228" s="256"/>
      <c r="BU228" s="333">
        <v>103105.89072100003</v>
      </c>
      <c r="BV228" s="333">
        <v>86941.304276203882</v>
      </c>
      <c r="BW228" s="256"/>
      <c r="BX228" s="333">
        <v>103105.89072100003</v>
      </c>
      <c r="BY228" s="333">
        <v>86941.304276203882</v>
      </c>
      <c r="BZ228" s="256"/>
      <c r="CA228" s="333">
        <v>103105.41072100004</v>
      </c>
      <c r="CB228" s="333">
        <v>86940.899528950729</v>
      </c>
      <c r="CC228" s="256"/>
      <c r="CD228" s="333">
        <v>103105.41072100004</v>
      </c>
      <c r="CE228" s="333">
        <v>86940.899528950729</v>
      </c>
      <c r="CF228" s="256"/>
      <c r="CG228" s="333">
        <v>103105.41072100004</v>
      </c>
      <c r="CH228" s="333">
        <v>86940.899528950729</v>
      </c>
      <c r="CI228" s="1684">
        <f t="shared" si="29"/>
        <v>0</v>
      </c>
      <c r="CJ228" s="333">
        <v>103105.41072100004</v>
      </c>
      <c r="CK228" s="333">
        <v>86940.899528950729</v>
      </c>
      <c r="CL228" s="256"/>
      <c r="CM228" s="333">
        <v>103105.41072100004</v>
      </c>
      <c r="CN228" s="333">
        <v>86940.899528950729</v>
      </c>
      <c r="CO228" s="256"/>
      <c r="CP228" s="361">
        <v>103105.41072100004</v>
      </c>
      <c r="CQ228" s="333">
        <v>86940.899528950729</v>
      </c>
      <c r="CR228" s="256"/>
      <c r="CS228" s="361">
        <v>103310.22256000002</v>
      </c>
      <c r="CT228" s="333">
        <v>87113.601673215715</v>
      </c>
      <c r="CU228" s="256"/>
      <c r="CV228" s="333">
        <v>103310.22256000002</v>
      </c>
      <c r="CW228" s="333">
        <v>87113.601673215715</v>
      </c>
      <c r="CX228" s="256"/>
      <c r="CY228" s="333"/>
      <c r="CZ228" s="333"/>
    </row>
    <row r="229" spans="1:104">
      <c r="A229" s="260">
        <f t="shared" si="32"/>
        <v>222</v>
      </c>
      <c r="B229" s="495">
        <f>'Stmt H'!B139</f>
        <v>908</v>
      </c>
      <c r="C229" s="294" t="s">
        <v>173</v>
      </c>
      <c r="D229" s="286"/>
      <c r="E229" s="289" t="s">
        <v>276</v>
      </c>
      <c r="F229" s="285"/>
      <c r="G229" s="209">
        <f>'Stmt H'!F139</f>
        <v>132163.63</v>
      </c>
      <c r="H229" s="29"/>
      <c r="I229" s="635" t="s">
        <v>276</v>
      </c>
      <c r="J229" s="29"/>
      <c r="K229" s="636">
        <f>'Stmt H'!U139</f>
        <v>131313.89288500001</v>
      </c>
      <c r="M229" s="1624">
        <f>IF(ISERROR(O229/K229),0,O229/K229)</f>
        <v>0.84322344405581229</v>
      </c>
      <c r="N229" s="1628">
        <f>M229*G229</f>
        <v>111443.47126751808</v>
      </c>
      <c r="O229" s="1628">
        <v>110726.95301086573</v>
      </c>
      <c r="Q229" s="1699">
        <v>132593.32484100002</v>
      </c>
      <c r="R229" s="256"/>
      <c r="S229" s="1699">
        <v>132593.32484100002</v>
      </c>
      <c r="T229" s="1700">
        <v>111805.80003123914</v>
      </c>
      <c r="U229" s="256"/>
      <c r="V229" s="1699">
        <v>132593.32484100002</v>
      </c>
      <c r="W229" s="1700">
        <v>111805.80003123914</v>
      </c>
      <c r="X229" s="256"/>
      <c r="Y229" s="1699">
        <v>132581.71484100001</v>
      </c>
      <c r="Z229" s="1700">
        <v>111796.01020705365</v>
      </c>
      <c r="AA229" s="256"/>
      <c r="AB229" s="1699">
        <v>132581.71484100001</v>
      </c>
      <c r="AC229" s="1700">
        <v>111796.01020705365</v>
      </c>
      <c r="AD229" s="256"/>
      <c r="AE229" s="1699">
        <v>132581.71484100001</v>
      </c>
      <c r="AF229" s="1700">
        <v>111796.01020705365</v>
      </c>
      <c r="AG229" s="256"/>
      <c r="AH229" s="1699">
        <v>132581.71484100001</v>
      </c>
      <c r="AI229" s="1700">
        <v>111796.01020705365</v>
      </c>
      <c r="AJ229" s="256"/>
      <c r="AK229" s="1699">
        <v>132581.71484100001</v>
      </c>
      <c r="AL229" s="1700">
        <v>111796.01020705365</v>
      </c>
      <c r="AM229" s="256"/>
      <c r="AN229" s="1699">
        <v>132581.71484100001</v>
      </c>
      <c r="AO229" s="1700">
        <v>111796.01020705365</v>
      </c>
      <c r="AP229" s="256"/>
      <c r="AQ229" s="1699">
        <v>132581.71484100001</v>
      </c>
      <c r="AR229" s="1700">
        <v>111796.01020705365</v>
      </c>
      <c r="AS229" s="256"/>
      <c r="AT229" s="1699">
        <v>132581.71484100001</v>
      </c>
      <c r="AU229" s="1699">
        <v>111796.01020705365</v>
      </c>
      <c r="AV229" s="256"/>
      <c r="AW229" s="1699">
        <v>132581.71484100001</v>
      </c>
      <c r="AX229" s="1699">
        <v>111796.01020705365</v>
      </c>
      <c r="AY229" s="256"/>
      <c r="AZ229" s="1699">
        <v>132581.71484100001</v>
      </c>
      <c r="BA229" s="1699">
        <v>111796.01020705365</v>
      </c>
      <c r="BB229" s="256"/>
      <c r="BC229" s="1699">
        <v>132581.71484100001</v>
      </c>
      <c r="BD229" s="1699">
        <v>111796.01020705365</v>
      </c>
      <c r="BE229" s="256"/>
      <c r="BF229" s="1699">
        <v>132581.71484100001</v>
      </c>
      <c r="BG229" s="1699">
        <v>111796.01020705365</v>
      </c>
      <c r="BH229" s="256"/>
      <c r="BI229" s="1699">
        <v>132581.71484100001</v>
      </c>
      <c r="BJ229" s="1699">
        <v>111796.01020705365</v>
      </c>
      <c r="BK229" s="256"/>
      <c r="BL229" s="1699">
        <v>132581.71484100001</v>
      </c>
      <c r="BM229" s="1699">
        <v>111796.01020705365</v>
      </c>
      <c r="BN229" s="256"/>
      <c r="BO229" s="1699">
        <v>132581.71484100001</v>
      </c>
      <c r="BP229" s="1699">
        <v>111796.01020705365</v>
      </c>
      <c r="BQ229" s="256"/>
      <c r="BR229" s="1699">
        <v>132581.71484100001</v>
      </c>
      <c r="BS229" s="1699">
        <v>111796.01020705365</v>
      </c>
      <c r="BT229" s="256"/>
      <c r="BU229" s="1699">
        <v>132581.71484100001</v>
      </c>
      <c r="BV229" s="1699">
        <v>111796.01020705365</v>
      </c>
      <c r="BW229" s="256"/>
      <c r="BX229" s="1699">
        <v>132581.71484100001</v>
      </c>
      <c r="BY229" s="1699">
        <v>111796.01020705365</v>
      </c>
      <c r="BZ229" s="256"/>
      <c r="CA229" s="1699">
        <v>132577.57484100002</v>
      </c>
      <c r="CB229" s="1699">
        <v>111792.51926199524</v>
      </c>
      <c r="CC229" s="256"/>
      <c r="CD229" s="1699">
        <v>132577.57484100002</v>
      </c>
      <c r="CE229" s="1699">
        <v>111792.51926199524</v>
      </c>
      <c r="CF229" s="256"/>
      <c r="CG229" s="1699">
        <v>132577.57484100002</v>
      </c>
      <c r="CH229" s="1699">
        <v>111792.51926199524</v>
      </c>
      <c r="CI229" s="1684">
        <f t="shared" si="29"/>
        <v>0</v>
      </c>
      <c r="CJ229" s="1699">
        <v>132577.57484100002</v>
      </c>
      <c r="CK229" s="1699">
        <v>111792.51926199524</v>
      </c>
      <c r="CL229" s="256"/>
      <c r="CM229" s="1699">
        <v>132577.57484100002</v>
      </c>
      <c r="CN229" s="1699">
        <v>111792.51926199524</v>
      </c>
      <c r="CO229" s="256"/>
      <c r="CP229" s="636">
        <v>132577.57484100002</v>
      </c>
      <c r="CQ229" s="1699">
        <v>111792.51926199524</v>
      </c>
      <c r="CR229" s="256"/>
      <c r="CS229" s="636">
        <v>131313.89288500001</v>
      </c>
      <c r="CT229" s="1699">
        <v>110726.95301086573</v>
      </c>
      <c r="CU229" s="256"/>
      <c r="CV229" s="1699">
        <v>131313.89288500001</v>
      </c>
      <c r="CW229" s="1699">
        <v>110726.95301086573</v>
      </c>
      <c r="CX229" s="256"/>
      <c r="CY229" s="1699"/>
      <c r="CZ229" s="1699"/>
    </row>
    <row r="230" spans="1:104">
      <c r="A230" s="260">
        <f t="shared" si="32"/>
        <v>223</v>
      </c>
      <c r="B230" s="495">
        <f>'Stmt H'!B140</f>
        <v>909</v>
      </c>
      <c r="C230" s="294" t="s">
        <v>1156</v>
      </c>
      <c r="D230" s="286"/>
      <c r="E230" s="289" t="s">
        <v>276</v>
      </c>
      <c r="F230" s="285"/>
      <c r="G230" s="209">
        <f>'Stmt H'!F140</f>
        <v>17849.540000000005</v>
      </c>
      <c r="H230" s="29"/>
      <c r="I230" s="635" t="s">
        <v>276</v>
      </c>
      <c r="J230" s="29"/>
      <c r="K230" s="636">
        <f>'Stmt H'!U140</f>
        <v>664.92460000000392</v>
      </c>
      <c r="M230" s="1624">
        <f>IF(ISERROR(O230/K230),0,O230/K230)</f>
        <v>0.84322344405581251</v>
      </c>
      <c r="N230" s="1628">
        <f>M230*G230</f>
        <v>15051.150593611992</v>
      </c>
      <c r="O230" s="1628">
        <v>560.6800112494368</v>
      </c>
      <c r="Q230" s="1699">
        <v>663.68779200000426</v>
      </c>
      <c r="R230" s="256"/>
      <c r="S230" s="1699">
        <v>663.68779200000426</v>
      </c>
      <c r="T230" s="1700">
        <v>559.63710574804122</v>
      </c>
      <c r="U230" s="256"/>
      <c r="V230" s="1699">
        <v>663.68779200000426</v>
      </c>
      <c r="W230" s="1700">
        <v>559.63710574804122</v>
      </c>
      <c r="X230" s="256"/>
      <c r="Y230" s="1699">
        <v>663.68779200000426</v>
      </c>
      <c r="Z230" s="1700">
        <v>559.63710574804122</v>
      </c>
      <c r="AA230" s="256"/>
      <c r="AB230" s="1699">
        <v>663.68779200000426</v>
      </c>
      <c r="AC230" s="1700">
        <v>559.63710574804122</v>
      </c>
      <c r="AD230" s="256"/>
      <c r="AE230" s="1699">
        <v>663.68779200000426</v>
      </c>
      <c r="AF230" s="1700">
        <v>559.63710574804122</v>
      </c>
      <c r="AG230" s="256"/>
      <c r="AH230" s="1699">
        <v>663.68779200000426</v>
      </c>
      <c r="AI230" s="1700">
        <v>559.63710574804122</v>
      </c>
      <c r="AJ230" s="256"/>
      <c r="AK230" s="1699">
        <v>663.68779200000426</v>
      </c>
      <c r="AL230" s="1700">
        <v>559.63710574804122</v>
      </c>
      <c r="AM230" s="256"/>
      <c r="AN230" s="1699">
        <v>663.68779200000426</v>
      </c>
      <c r="AO230" s="1700">
        <v>559.63710574804122</v>
      </c>
      <c r="AP230" s="256"/>
      <c r="AQ230" s="1699">
        <v>663.68779200000426</v>
      </c>
      <c r="AR230" s="1700">
        <v>559.63710574804122</v>
      </c>
      <c r="AS230" s="256"/>
      <c r="AT230" s="1699">
        <v>663.68779200000426</v>
      </c>
      <c r="AU230" s="1699">
        <v>559.63710574804122</v>
      </c>
      <c r="AV230" s="256"/>
      <c r="AW230" s="1699">
        <v>663.68779200000426</v>
      </c>
      <c r="AX230" s="1699">
        <v>559.63710574804122</v>
      </c>
      <c r="AY230" s="256"/>
      <c r="AZ230" s="1699">
        <v>663.68779200000426</v>
      </c>
      <c r="BA230" s="1699">
        <v>559.63710574804122</v>
      </c>
      <c r="BB230" s="256"/>
      <c r="BC230" s="1699">
        <v>663.68779200000426</v>
      </c>
      <c r="BD230" s="1699">
        <v>559.63710574804122</v>
      </c>
      <c r="BE230" s="256"/>
      <c r="BF230" s="1699">
        <v>663.68779200000426</v>
      </c>
      <c r="BG230" s="1699">
        <v>559.63710574804122</v>
      </c>
      <c r="BH230" s="256"/>
      <c r="BI230" s="1699">
        <v>663.68779200000426</v>
      </c>
      <c r="BJ230" s="1699">
        <v>559.63710574804122</v>
      </c>
      <c r="BK230" s="256"/>
      <c r="BL230" s="1699">
        <v>663.68779200000426</v>
      </c>
      <c r="BM230" s="1699">
        <v>559.63710574804122</v>
      </c>
      <c r="BN230" s="256"/>
      <c r="BO230" s="1699">
        <v>663.68779200000426</v>
      </c>
      <c r="BP230" s="1699">
        <v>559.63710574804122</v>
      </c>
      <c r="BQ230" s="256"/>
      <c r="BR230" s="1699">
        <v>663.68779200000426</v>
      </c>
      <c r="BS230" s="1699">
        <v>559.63710574804122</v>
      </c>
      <c r="BT230" s="256"/>
      <c r="BU230" s="1699">
        <v>663.68779200000426</v>
      </c>
      <c r="BV230" s="1699">
        <v>559.63710574804122</v>
      </c>
      <c r="BW230" s="256"/>
      <c r="BX230" s="1699">
        <v>663.68779200000426</v>
      </c>
      <c r="BY230" s="1699">
        <v>559.63710574804122</v>
      </c>
      <c r="BZ230" s="256"/>
      <c r="CA230" s="1699">
        <v>663.68779200000426</v>
      </c>
      <c r="CB230" s="1699">
        <v>559.63710574804122</v>
      </c>
      <c r="CC230" s="256"/>
      <c r="CD230" s="1699">
        <v>663.68779200000426</v>
      </c>
      <c r="CE230" s="1699">
        <v>559.63710574804122</v>
      </c>
      <c r="CF230" s="256"/>
      <c r="CG230" s="1699">
        <v>663.68779200000426</v>
      </c>
      <c r="CH230" s="1699">
        <v>559.63710574804122</v>
      </c>
      <c r="CI230" s="1684">
        <f t="shared" si="29"/>
        <v>0</v>
      </c>
      <c r="CJ230" s="1699">
        <v>663.68779200000426</v>
      </c>
      <c r="CK230" s="1699">
        <v>559.63710574804122</v>
      </c>
      <c r="CL230" s="256"/>
      <c r="CM230" s="1699">
        <v>663.68779200000426</v>
      </c>
      <c r="CN230" s="1699">
        <v>559.63710574804122</v>
      </c>
      <c r="CO230" s="256"/>
      <c r="CP230" s="636">
        <v>663.68779200000426</v>
      </c>
      <c r="CQ230" s="1699">
        <v>559.63710574804122</v>
      </c>
      <c r="CR230" s="256"/>
      <c r="CS230" s="636">
        <v>664.92460000000392</v>
      </c>
      <c r="CT230" s="1699">
        <v>560.6800112494368</v>
      </c>
      <c r="CU230" s="256"/>
      <c r="CV230" s="1699">
        <v>664.92460000000392</v>
      </c>
      <c r="CW230" s="1699">
        <v>560.6800112494368</v>
      </c>
      <c r="CX230" s="256"/>
      <c r="CY230" s="1699"/>
      <c r="CZ230" s="1699"/>
    </row>
    <row r="231" spans="1:104">
      <c r="A231" s="260">
        <f t="shared" si="32"/>
        <v>224</v>
      </c>
      <c r="B231" s="495">
        <f>'Stmt H'!B141</f>
        <v>910</v>
      </c>
      <c r="C231" s="296" t="s">
        <v>1157</v>
      </c>
      <c r="D231" s="286"/>
      <c r="E231" s="289" t="s">
        <v>276</v>
      </c>
      <c r="F231" s="285"/>
      <c r="G231" s="787">
        <f>'Stmt H'!F141</f>
        <v>3856.7599999999998</v>
      </c>
      <c r="H231" s="29"/>
      <c r="I231" s="635" t="s">
        <v>276</v>
      </c>
      <c r="J231" s="29"/>
      <c r="K231" s="637">
        <f>'Stmt H'!U141</f>
        <v>3812.6019309999997</v>
      </c>
      <c r="M231" s="1624">
        <f>IF(ISERROR(O231/K231),0,O231/K231)</f>
        <v>0.84322344405581251</v>
      </c>
      <c r="N231" s="1626">
        <f>M231*G231</f>
        <v>3252.1104500966953</v>
      </c>
      <c r="O231" s="1626">
        <v>3214.8753310716611</v>
      </c>
      <c r="Q231" s="1701">
        <v>3810.847585</v>
      </c>
      <c r="R231" s="256"/>
      <c r="S231" s="1701">
        <v>3810.847585</v>
      </c>
      <c r="T231" s="1702">
        <v>3213.3960253954751</v>
      </c>
      <c r="U231" s="256"/>
      <c r="V231" s="1701">
        <v>3810.847585</v>
      </c>
      <c r="W231" s="1702">
        <v>3213.3960253954751</v>
      </c>
      <c r="X231" s="256"/>
      <c r="Y231" s="1701">
        <v>3810.8175849999998</v>
      </c>
      <c r="Z231" s="1702">
        <v>3213.3707286921531</v>
      </c>
      <c r="AA231" s="256"/>
      <c r="AB231" s="1701">
        <v>3810.8175849999998</v>
      </c>
      <c r="AC231" s="1702">
        <v>3213.3707286921531</v>
      </c>
      <c r="AD231" s="256"/>
      <c r="AE231" s="1701">
        <v>3810.8175849999998</v>
      </c>
      <c r="AF231" s="1702">
        <v>3213.3707286921531</v>
      </c>
      <c r="AG231" s="256"/>
      <c r="AH231" s="1701">
        <v>3810.8175849999998</v>
      </c>
      <c r="AI231" s="1702">
        <v>3213.3707286921531</v>
      </c>
      <c r="AJ231" s="256"/>
      <c r="AK231" s="1701">
        <v>3810.8175849999998</v>
      </c>
      <c r="AL231" s="1702">
        <v>3213.3707286921531</v>
      </c>
      <c r="AM231" s="256"/>
      <c r="AN231" s="1701">
        <v>3810.8175849999998</v>
      </c>
      <c r="AO231" s="1702">
        <v>3213.3707286921531</v>
      </c>
      <c r="AP231" s="256"/>
      <c r="AQ231" s="1701">
        <v>3810.8175849999998</v>
      </c>
      <c r="AR231" s="1702">
        <v>3213.3707286921531</v>
      </c>
      <c r="AS231" s="256"/>
      <c r="AT231" s="1701">
        <v>3810.8175849999998</v>
      </c>
      <c r="AU231" s="1701">
        <v>3213.3707286921531</v>
      </c>
      <c r="AV231" s="256"/>
      <c r="AW231" s="1701">
        <v>3810.8175849999998</v>
      </c>
      <c r="AX231" s="1701">
        <v>3213.3707286921531</v>
      </c>
      <c r="AY231" s="256"/>
      <c r="AZ231" s="1701">
        <v>3810.8175849999998</v>
      </c>
      <c r="BA231" s="1701">
        <v>3213.3707286921531</v>
      </c>
      <c r="BB231" s="256"/>
      <c r="BC231" s="1701">
        <v>3810.8175849999998</v>
      </c>
      <c r="BD231" s="1701">
        <v>3213.3707286921531</v>
      </c>
      <c r="BE231" s="256"/>
      <c r="BF231" s="1701">
        <v>3810.8175849999998</v>
      </c>
      <c r="BG231" s="1701">
        <v>3213.3707286921531</v>
      </c>
      <c r="BH231" s="256"/>
      <c r="BI231" s="1701">
        <v>3810.8175849999998</v>
      </c>
      <c r="BJ231" s="1701">
        <v>3213.3707286921531</v>
      </c>
      <c r="BK231" s="256"/>
      <c r="BL231" s="1701">
        <v>3810.8175849999998</v>
      </c>
      <c r="BM231" s="1701">
        <v>3213.3707286921531</v>
      </c>
      <c r="BN231" s="256"/>
      <c r="BO231" s="1701">
        <v>3810.8175849999998</v>
      </c>
      <c r="BP231" s="1701">
        <v>3213.3707286921531</v>
      </c>
      <c r="BQ231" s="256"/>
      <c r="BR231" s="1701">
        <v>3810.8175849999998</v>
      </c>
      <c r="BS231" s="1701">
        <v>3213.3707286921531</v>
      </c>
      <c r="BT231" s="256"/>
      <c r="BU231" s="1701">
        <v>3810.8175849999998</v>
      </c>
      <c r="BV231" s="1701">
        <v>3213.3707286921531</v>
      </c>
      <c r="BW231" s="256"/>
      <c r="BX231" s="1701">
        <v>3810.8175849999998</v>
      </c>
      <c r="BY231" s="1701">
        <v>3213.3707286921531</v>
      </c>
      <c r="BZ231" s="256"/>
      <c r="CA231" s="1701">
        <v>3810.807585</v>
      </c>
      <c r="CB231" s="1701">
        <v>3213.3622964577135</v>
      </c>
      <c r="CC231" s="256"/>
      <c r="CD231" s="1701">
        <v>3810.807585</v>
      </c>
      <c r="CE231" s="1701">
        <v>3213.3622964577135</v>
      </c>
      <c r="CF231" s="256"/>
      <c r="CG231" s="1701">
        <v>3810.807585</v>
      </c>
      <c r="CH231" s="1701">
        <v>3213.3622964577135</v>
      </c>
      <c r="CI231" s="1684">
        <f t="shared" si="29"/>
        <v>0</v>
      </c>
      <c r="CJ231" s="1701">
        <v>3810.807585</v>
      </c>
      <c r="CK231" s="1701">
        <v>3213.3622964577135</v>
      </c>
      <c r="CL231" s="256"/>
      <c r="CM231" s="1701">
        <v>3810.807585</v>
      </c>
      <c r="CN231" s="1701">
        <v>3213.3622964577135</v>
      </c>
      <c r="CO231" s="256"/>
      <c r="CP231" s="637">
        <v>3810.807585</v>
      </c>
      <c r="CQ231" s="1701">
        <v>3213.3622964577135</v>
      </c>
      <c r="CR231" s="256"/>
      <c r="CS231" s="637">
        <v>3812.6019309999997</v>
      </c>
      <c r="CT231" s="1701">
        <v>3214.8753310716611</v>
      </c>
      <c r="CU231" s="256"/>
      <c r="CV231" s="1701">
        <v>3812.6019309999997</v>
      </c>
      <c r="CW231" s="1701">
        <v>3214.8753310716611</v>
      </c>
      <c r="CX231" s="256"/>
      <c r="CY231" s="1701"/>
      <c r="CZ231" s="1701"/>
    </row>
    <row r="232" spans="1:104">
      <c r="A232" s="260">
        <f t="shared" si="32"/>
        <v>225</v>
      </c>
      <c r="B232" s="495"/>
      <c r="C232" s="275" t="s">
        <v>140</v>
      </c>
      <c r="D232" s="266"/>
      <c r="E232" s="265"/>
      <c r="F232" s="264"/>
      <c r="G232" s="361">
        <f>SUM(G228:G231)</f>
        <v>255757.21000000002</v>
      </c>
      <c r="H232" s="29"/>
      <c r="I232" s="1229"/>
      <c r="J232" s="29"/>
      <c r="K232" s="49">
        <f>SUM(K228:K231)</f>
        <v>239101.64197600004</v>
      </c>
      <c r="M232" s="1630" t="s">
        <v>1528</v>
      </c>
      <c r="N232" s="1614">
        <f>SUM(N228:N231)</f>
        <v>215660.47545830565</v>
      </c>
      <c r="O232" s="1614">
        <v>201616.11002640257</v>
      </c>
      <c r="Q232" s="49">
        <v>240175.08093900009</v>
      </c>
      <c r="R232" s="256"/>
      <c r="S232" s="49">
        <v>240175.08093900009</v>
      </c>
      <c r="T232" s="1721">
        <v>202521.25892576712</v>
      </c>
      <c r="U232" s="256"/>
      <c r="V232" s="49">
        <v>240175.08093900009</v>
      </c>
      <c r="W232" s="1721">
        <v>202521.25892576712</v>
      </c>
      <c r="X232" s="256"/>
      <c r="Y232" s="49">
        <v>240162.11093900006</v>
      </c>
      <c r="Z232" s="1721">
        <v>202510.32231769772</v>
      </c>
      <c r="AA232" s="256"/>
      <c r="AB232" s="49">
        <v>240162.11093900006</v>
      </c>
      <c r="AC232" s="1721">
        <v>202510.32231769772</v>
      </c>
      <c r="AD232" s="256"/>
      <c r="AE232" s="49">
        <v>240162.11093900006</v>
      </c>
      <c r="AF232" s="1721">
        <v>202510.32231769772</v>
      </c>
      <c r="AG232" s="256"/>
      <c r="AH232" s="49">
        <v>240162.11093900006</v>
      </c>
      <c r="AI232" s="1721">
        <v>202510.32231769772</v>
      </c>
      <c r="AJ232" s="256"/>
      <c r="AK232" s="49">
        <v>240162.11093900006</v>
      </c>
      <c r="AL232" s="1721">
        <v>202510.32231769772</v>
      </c>
      <c r="AM232" s="256"/>
      <c r="AN232" s="49">
        <v>240162.11093900006</v>
      </c>
      <c r="AO232" s="1721">
        <v>202510.32231769772</v>
      </c>
      <c r="AP232" s="256"/>
      <c r="AQ232" s="49">
        <v>240162.11093900006</v>
      </c>
      <c r="AR232" s="1721">
        <v>202510.32231769772</v>
      </c>
      <c r="AS232" s="256"/>
      <c r="AT232" s="49">
        <v>240162.11093900006</v>
      </c>
      <c r="AU232" s="49">
        <v>202510.32231769772</v>
      </c>
      <c r="AV232" s="256"/>
      <c r="AW232" s="49">
        <v>240162.11093900006</v>
      </c>
      <c r="AX232" s="49">
        <v>202510.32231769772</v>
      </c>
      <c r="AY232" s="256"/>
      <c r="AZ232" s="49">
        <v>240162.11093900006</v>
      </c>
      <c r="BA232" s="49">
        <v>202510.32231769772</v>
      </c>
      <c r="BB232" s="256"/>
      <c r="BC232" s="49">
        <v>240162.11093900006</v>
      </c>
      <c r="BD232" s="49">
        <v>202510.32231769772</v>
      </c>
      <c r="BE232" s="256"/>
      <c r="BF232" s="49">
        <v>240162.11093900006</v>
      </c>
      <c r="BG232" s="49">
        <v>202510.32231769772</v>
      </c>
      <c r="BH232" s="256"/>
      <c r="BI232" s="49">
        <v>240162.11093900006</v>
      </c>
      <c r="BJ232" s="49">
        <v>202510.32231769772</v>
      </c>
      <c r="BK232" s="256"/>
      <c r="BL232" s="49">
        <v>240162.11093900006</v>
      </c>
      <c r="BM232" s="49">
        <v>202510.32231769772</v>
      </c>
      <c r="BN232" s="256"/>
      <c r="BO232" s="49">
        <v>240162.11093900006</v>
      </c>
      <c r="BP232" s="49">
        <v>202510.32231769772</v>
      </c>
      <c r="BQ232" s="256"/>
      <c r="BR232" s="49">
        <v>240162.11093900006</v>
      </c>
      <c r="BS232" s="49">
        <v>202510.32231769772</v>
      </c>
      <c r="BT232" s="256"/>
      <c r="BU232" s="49">
        <v>240162.11093900006</v>
      </c>
      <c r="BV232" s="49">
        <v>202510.32231769772</v>
      </c>
      <c r="BW232" s="256"/>
      <c r="BX232" s="49">
        <v>240162.11093900006</v>
      </c>
      <c r="BY232" s="49">
        <v>202510.32231769772</v>
      </c>
      <c r="BZ232" s="256"/>
      <c r="CA232" s="49">
        <v>240157.48093900009</v>
      </c>
      <c r="CB232" s="49">
        <v>202506.41819315171</v>
      </c>
      <c r="CC232" s="256"/>
      <c r="CD232" s="49">
        <v>240157.48093900009</v>
      </c>
      <c r="CE232" s="49">
        <v>202506.41819315171</v>
      </c>
      <c r="CF232" s="256"/>
      <c r="CG232" s="49">
        <v>240157.48093900009</v>
      </c>
      <c r="CH232" s="49">
        <v>202506.41819315171</v>
      </c>
      <c r="CI232" s="1684">
        <f t="shared" si="29"/>
        <v>0</v>
      </c>
      <c r="CJ232" s="49">
        <v>240157.48093900009</v>
      </c>
      <c r="CK232" s="49">
        <v>202506.41819315171</v>
      </c>
      <c r="CL232" s="256"/>
      <c r="CM232" s="49">
        <v>240157.48093900009</v>
      </c>
      <c r="CN232" s="49">
        <v>202506.41819315171</v>
      </c>
      <c r="CO232" s="256"/>
      <c r="CP232" s="49">
        <v>240157.48093900009</v>
      </c>
      <c r="CQ232" s="49">
        <v>202506.41819315171</v>
      </c>
      <c r="CR232" s="256"/>
      <c r="CS232" s="49">
        <v>239101.64197600004</v>
      </c>
      <c r="CT232" s="49">
        <v>201616.11002640257</v>
      </c>
      <c r="CU232" s="256"/>
      <c r="CV232" s="49">
        <v>239101.64197600004</v>
      </c>
      <c r="CW232" s="49">
        <v>201616.11002640257</v>
      </c>
      <c r="CX232" s="256"/>
      <c r="CY232" s="49"/>
      <c r="CZ232" s="49"/>
    </row>
    <row r="233" spans="1:104">
      <c r="A233" s="260">
        <f t="shared" si="32"/>
        <v>226</v>
      </c>
      <c r="B233" s="495"/>
      <c r="D233" s="266"/>
      <c r="E233" s="265"/>
      <c r="F233" s="264"/>
      <c r="G233" s="361"/>
      <c r="H233" s="29"/>
      <c r="I233" s="1229"/>
      <c r="J233" s="29"/>
      <c r="K233" s="54"/>
      <c r="M233" s="1624"/>
      <c r="N233" s="1614"/>
      <c r="O233" s="1614"/>
      <c r="Q233" s="54"/>
      <c r="R233" s="256"/>
      <c r="S233" s="54"/>
      <c r="T233" s="1694"/>
      <c r="U233" s="256"/>
      <c r="V233" s="54"/>
      <c r="W233" s="1694"/>
      <c r="X233" s="256"/>
      <c r="Y233" s="54"/>
      <c r="Z233" s="1694"/>
      <c r="AA233" s="256"/>
      <c r="AB233" s="54"/>
      <c r="AC233" s="1694"/>
      <c r="AD233" s="256"/>
      <c r="AE233" s="54"/>
      <c r="AF233" s="1694"/>
      <c r="AG233" s="256"/>
      <c r="AH233" s="54"/>
      <c r="AI233" s="1694"/>
      <c r="AJ233" s="256"/>
      <c r="AK233" s="54"/>
      <c r="AL233" s="1694"/>
      <c r="AM233" s="256"/>
      <c r="AN233" s="54"/>
      <c r="AO233" s="1694"/>
      <c r="AP233" s="256"/>
      <c r="AQ233" s="54"/>
      <c r="AR233" s="1694"/>
      <c r="AS233" s="256"/>
      <c r="AT233" s="54"/>
      <c r="AU233" s="54"/>
      <c r="AV233" s="256"/>
      <c r="AW233" s="54"/>
      <c r="AX233" s="54"/>
      <c r="AY233" s="256"/>
      <c r="AZ233" s="54"/>
      <c r="BA233" s="54"/>
      <c r="BB233" s="256"/>
      <c r="BC233" s="54"/>
      <c r="BD233" s="54"/>
      <c r="BE233" s="256"/>
      <c r="BF233" s="54"/>
      <c r="BG233" s="54"/>
      <c r="BH233" s="256"/>
      <c r="BI233" s="54"/>
      <c r="BJ233" s="54"/>
      <c r="BK233" s="256"/>
      <c r="BL233" s="54"/>
      <c r="BM233" s="54"/>
      <c r="BN233" s="256"/>
      <c r="BO233" s="54"/>
      <c r="BP233" s="54"/>
      <c r="BQ233" s="256"/>
      <c r="BR233" s="54"/>
      <c r="BS233" s="54"/>
      <c r="BT233" s="256"/>
      <c r="BU233" s="54"/>
      <c r="BV233" s="54"/>
      <c r="BW233" s="256"/>
      <c r="BX233" s="54"/>
      <c r="BY233" s="54"/>
      <c r="BZ233" s="256"/>
      <c r="CA233" s="54"/>
      <c r="CB233" s="54"/>
      <c r="CC233" s="256"/>
      <c r="CD233" s="54"/>
      <c r="CE233" s="54"/>
      <c r="CF233" s="256"/>
      <c r="CG233" s="54"/>
      <c r="CH233" s="54"/>
      <c r="CI233" s="1684">
        <f t="shared" si="29"/>
        <v>0</v>
      </c>
      <c r="CJ233" s="54"/>
      <c r="CK233" s="54"/>
      <c r="CL233" s="256"/>
      <c r="CM233" s="54"/>
      <c r="CN233" s="54"/>
      <c r="CO233" s="256"/>
      <c r="CP233" s="54"/>
      <c r="CQ233" s="54"/>
      <c r="CR233" s="256"/>
      <c r="CS233" s="54"/>
      <c r="CT233" s="54"/>
      <c r="CU233" s="256"/>
      <c r="CV233" s="54"/>
      <c r="CW233" s="54"/>
      <c r="CX233" s="256"/>
      <c r="CY233" s="54"/>
      <c r="CZ233" s="54"/>
    </row>
    <row r="234" spans="1:104">
      <c r="A234" s="260">
        <f t="shared" si="32"/>
        <v>227</v>
      </c>
      <c r="B234" s="495"/>
      <c r="C234" s="275" t="s">
        <v>70</v>
      </c>
      <c r="D234" s="266"/>
      <c r="E234" s="265"/>
      <c r="F234" s="264"/>
      <c r="G234" s="743">
        <f>+G224+G232</f>
        <v>7619816.7699999996</v>
      </c>
      <c r="H234" s="29"/>
      <c r="I234" s="1229"/>
      <c r="J234" s="29"/>
      <c r="K234" s="313">
        <f ca="1">+K224+K232</f>
        <v>8098387.4202706749</v>
      </c>
      <c r="M234" s="1630" t="s">
        <v>1528</v>
      </c>
      <c r="N234" s="1112">
        <f ca="1">+N224+N232</f>
        <v>7202182.521647458</v>
      </c>
      <c r="O234" s="1112">
        <v>7657975.3246654291</v>
      </c>
      <c r="Q234" s="313">
        <v>8188342.6282662833</v>
      </c>
      <c r="R234" s="256"/>
      <c r="S234" s="313">
        <v>8188342.5226221485</v>
      </c>
      <c r="T234" s="1704">
        <v>7743205.3891505562</v>
      </c>
      <c r="U234" s="256"/>
      <c r="V234" s="313">
        <v>8188348.0293226605</v>
      </c>
      <c r="W234" s="1704">
        <v>7743210.6135358587</v>
      </c>
      <c r="X234" s="256"/>
      <c r="Y234" s="313">
        <v>8184637.5953324474</v>
      </c>
      <c r="Z234" s="1704">
        <v>7739691.7729690913</v>
      </c>
      <c r="AA234" s="256"/>
      <c r="AB234" s="313">
        <v>8150491.3473639656</v>
      </c>
      <c r="AC234" s="1704">
        <v>7707296.1205055704</v>
      </c>
      <c r="AD234" s="256"/>
      <c r="AE234" s="313">
        <v>8150352.2624590322</v>
      </c>
      <c r="AF234" s="1704">
        <v>7707164.1661471501</v>
      </c>
      <c r="AG234" s="256"/>
      <c r="AH234" s="313">
        <v>8147760.2704130821</v>
      </c>
      <c r="AI234" s="1704">
        <v>7704705.0592611944</v>
      </c>
      <c r="AJ234" s="256"/>
      <c r="AK234" s="313">
        <v>8147107.7770235781</v>
      </c>
      <c r="AL234" s="1704">
        <v>7704086.017628842</v>
      </c>
      <c r="AM234" s="256"/>
      <c r="AN234" s="313">
        <v>8144793.7595409704</v>
      </c>
      <c r="AO234" s="1704">
        <v>7701890.6342230216</v>
      </c>
      <c r="AP234" s="256"/>
      <c r="AQ234" s="313">
        <v>8142158.8539672103</v>
      </c>
      <c r="AR234" s="1704">
        <v>7699390.813881984</v>
      </c>
      <c r="AS234" s="256"/>
      <c r="AT234" s="313">
        <v>8142229.2173626395</v>
      </c>
      <c r="AU234" s="313">
        <v>7699457.5699163973</v>
      </c>
      <c r="AV234" s="256"/>
      <c r="AW234" s="313">
        <v>8141887.6610720595</v>
      </c>
      <c r="AX234" s="313">
        <v>7699133.524390325</v>
      </c>
      <c r="AY234" s="256"/>
      <c r="AZ234" s="313">
        <v>8137781.5684864987</v>
      </c>
      <c r="BA234" s="313">
        <v>7695237.941235547</v>
      </c>
      <c r="BB234" s="256"/>
      <c r="BC234" s="313">
        <v>8137781.5684864987</v>
      </c>
      <c r="BD234" s="313">
        <v>7695237.941235547</v>
      </c>
      <c r="BE234" s="256"/>
      <c r="BF234" s="313">
        <v>8136577.7711810051</v>
      </c>
      <c r="BG234" s="313">
        <v>7694095.8597049117</v>
      </c>
      <c r="BH234" s="256"/>
      <c r="BI234" s="313">
        <v>8135402.9291720483</v>
      </c>
      <c r="BJ234" s="313">
        <v>7692981.2490028273</v>
      </c>
      <c r="BK234" s="256"/>
      <c r="BL234" s="313">
        <v>8134409.8919149218</v>
      </c>
      <c r="BM234" s="313">
        <v>7692039.1223628838</v>
      </c>
      <c r="BN234" s="256"/>
      <c r="BO234" s="313">
        <v>8124090.1898950757</v>
      </c>
      <c r="BP234" s="313">
        <v>7682248.4864935894</v>
      </c>
      <c r="BQ234" s="256"/>
      <c r="BR234" s="313">
        <v>8116390.2995432718</v>
      </c>
      <c r="BS234" s="313">
        <v>7674943.3508876357</v>
      </c>
      <c r="BT234" s="256"/>
      <c r="BU234" s="313">
        <v>8113420.2775692986</v>
      </c>
      <c r="BV234" s="313">
        <v>7672125.594753297</v>
      </c>
      <c r="BW234" s="256"/>
      <c r="BX234" s="313">
        <v>8113900.5446085017</v>
      </c>
      <c r="BY234" s="313">
        <v>7672581.2396635683</v>
      </c>
      <c r="BZ234" s="256"/>
      <c r="CA234" s="313">
        <v>8116981.1827869443</v>
      </c>
      <c r="CB234" s="313">
        <v>7675504.429483803</v>
      </c>
      <c r="CC234" s="256"/>
      <c r="CD234" s="313">
        <v>8116981.1827869443</v>
      </c>
      <c r="CE234" s="313">
        <v>7675504.429483803</v>
      </c>
      <c r="CF234" s="256"/>
      <c r="CG234" s="313">
        <v>8116834.2273939885</v>
      </c>
      <c r="CH234" s="313">
        <v>7675365.0081382375</v>
      </c>
      <c r="CI234" s="1684">
        <f t="shared" si="29"/>
        <v>-139.42134556546807</v>
      </c>
      <c r="CJ234" s="313">
        <v>8116834.2273939885</v>
      </c>
      <c r="CK234" s="313">
        <v>7675365.0081382375</v>
      </c>
      <c r="CL234" s="256"/>
      <c r="CM234" s="313">
        <v>8091043.3875301452</v>
      </c>
      <c r="CN234" s="313">
        <v>7650896.4022245612</v>
      </c>
      <c r="CO234" s="256"/>
      <c r="CP234" s="313">
        <v>8092412.8876606319</v>
      </c>
      <c r="CQ234" s="313">
        <v>7652195.6913973261</v>
      </c>
      <c r="CR234" s="256"/>
      <c r="CS234" s="313">
        <v>8098651.9575853506</v>
      </c>
      <c r="CT234" s="313">
        <v>7658226.2997921184</v>
      </c>
      <c r="CU234" s="256"/>
      <c r="CV234" s="313">
        <v>8098387.4202706749</v>
      </c>
      <c r="CW234" s="313">
        <v>7657975.3246654291</v>
      </c>
      <c r="CX234" s="256"/>
      <c r="CY234" s="313"/>
      <c r="CZ234" s="313"/>
    </row>
    <row r="235" spans="1:104">
      <c r="A235" s="260">
        <f t="shared" si="32"/>
        <v>228</v>
      </c>
      <c r="B235" s="495"/>
      <c r="D235" s="266"/>
      <c r="E235" s="265"/>
      <c r="F235" s="264"/>
      <c r="G235" s="361"/>
      <c r="H235" s="29"/>
      <c r="I235" s="1229"/>
      <c r="J235" s="29"/>
      <c r="K235" s="54"/>
      <c r="M235" s="1624"/>
      <c r="N235" s="1113"/>
      <c r="O235" s="1113"/>
      <c r="Q235" s="54"/>
      <c r="R235" s="256"/>
      <c r="S235" s="54"/>
      <c r="T235" s="1694"/>
      <c r="U235" s="256"/>
      <c r="V235" s="54"/>
      <c r="W235" s="1694"/>
      <c r="X235" s="256"/>
      <c r="Y235" s="54"/>
      <c r="Z235" s="1694"/>
      <c r="AA235" s="256"/>
      <c r="AB235" s="54"/>
      <c r="AC235" s="1694"/>
      <c r="AD235" s="256"/>
      <c r="AE235" s="54"/>
      <c r="AF235" s="1694"/>
      <c r="AG235" s="256"/>
      <c r="AH235" s="54"/>
      <c r="AI235" s="1694"/>
      <c r="AJ235" s="256"/>
      <c r="AK235" s="54"/>
      <c r="AL235" s="1694"/>
      <c r="AM235" s="256"/>
      <c r="AN235" s="54"/>
      <c r="AO235" s="1694"/>
      <c r="AP235" s="256"/>
      <c r="AQ235" s="54"/>
      <c r="AR235" s="1694"/>
      <c r="AS235" s="256"/>
      <c r="AT235" s="54"/>
      <c r="AU235" s="54"/>
      <c r="AV235" s="256"/>
      <c r="AW235" s="54"/>
      <c r="AX235" s="54"/>
      <c r="AY235" s="256"/>
      <c r="AZ235" s="54"/>
      <c r="BA235" s="54"/>
      <c r="BB235" s="256"/>
      <c r="BC235" s="54"/>
      <c r="BD235" s="54"/>
      <c r="BE235" s="256"/>
      <c r="BF235" s="54"/>
      <c r="BG235" s="54"/>
      <c r="BH235" s="256"/>
      <c r="BI235" s="54"/>
      <c r="BJ235" s="54"/>
      <c r="BK235" s="256"/>
      <c r="BL235" s="54"/>
      <c r="BM235" s="54"/>
      <c r="BN235" s="256"/>
      <c r="BO235" s="54"/>
      <c r="BP235" s="54"/>
      <c r="BQ235" s="256"/>
      <c r="BR235" s="54"/>
      <c r="BS235" s="54"/>
      <c r="BT235" s="256"/>
      <c r="BU235" s="54"/>
      <c r="BV235" s="54"/>
      <c r="BW235" s="256"/>
      <c r="BX235" s="54"/>
      <c r="BY235" s="54"/>
      <c r="BZ235" s="256"/>
      <c r="CA235" s="54"/>
      <c r="CB235" s="54"/>
      <c r="CC235" s="256"/>
      <c r="CD235" s="54"/>
      <c r="CE235" s="54"/>
      <c r="CF235" s="256"/>
      <c r="CG235" s="54"/>
      <c r="CH235" s="54"/>
      <c r="CI235" s="1684">
        <f t="shared" si="29"/>
        <v>0</v>
      </c>
      <c r="CJ235" s="54"/>
      <c r="CK235" s="54"/>
      <c r="CL235" s="256"/>
      <c r="CM235" s="54"/>
      <c r="CN235" s="54"/>
      <c r="CO235" s="256"/>
      <c r="CP235" s="54"/>
      <c r="CQ235" s="54"/>
      <c r="CR235" s="256"/>
      <c r="CS235" s="54"/>
      <c r="CT235" s="54"/>
      <c r="CU235" s="256"/>
      <c r="CV235" s="54"/>
      <c r="CW235" s="54"/>
      <c r="CX235" s="256"/>
      <c r="CY235" s="54"/>
      <c r="CZ235" s="54"/>
    </row>
    <row r="236" spans="1:104">
      <c r="A236" s="260">
        <f t="shared" si="32"/>
        <v>229</v>
      </c>
      <c r="B236" s="254"/>
      <c r="C236" s="275" t="s">
        <v>71</v>
      </c>
      <c r="D236" s="266"/>
      <c r="E236" s="265"/>
      <c r="F236" s="264"/>
      <c r="G236" s="361"/>
      <c r="H236" s="29"/>
      <c r="I236" s="1229"/>
      <c r="J236" s="29"/>
      <c r="K236" s="54"/>
      <c r="M236" s="1624"/>
      <c r="N236" s="1113"/>
      <c r="O236" s="1113"/>
      <c r="Q236" s="54"/>
      <c r="R236" s="256"/>
      <c r="S236" s="54"/>
      <c r="T236" s="1694"/>
      <c r="U236" s="256"/>
      <c r="V236" s="54"/>
      <c r="W236" s="1694"/>
      <c r="X236" s="256"/>
      <c r="Y236" s="54"/>
      <c r="Z236" s="1694"/>
      <c r="AA236" s="256"/>
      <c r="AB236" s="54"/>
      <c r="AC236" s="1694"/>
      <c r="AD236" s="256"/>
      <c r="AE236" s="54"/>
      <c r="AF236" s="1694"/>
      <c r="AG236" s="256"/>
      <c r="AH236" s="54"/>
      <c r="AI236" s="1694"/>
      <c r="AJ236" s="256"/>
      <c r="AK236" s="54"/>
      <c r="AL236" s="1694"/>
      <c r="AM236" s="256"/>
      <c r="AN236" s="54"/>
      <c r="AO236" s="1694"/>
      <c r="AP236" s="256"/>
      <c r="AQ236" s="54"/>
      <c r="AR236" s="1694"/>
      <c r="AS236" s="256"/>
      <c r="AT236" s="54"/>
      <c r="AU236" s="54"/>
      <c r="AV236" s="256"/>
      <c r="AW236" s="54"/>
      <c r="AX236" s="54"/>
      <c r="AY236" s="256"/>
      <c r="AZ236" s="54"/>
      <c r="BA236" s="54"/>
      <c r="BB236" s="256"/>
      <c r="BC236" s="54"/>
      <c r="BD236" s="54"/>
      <c r="BE236" s="256"/>
      <c r="BF236" s="54"/>
      <c r="BG236" s="54"/>
      <c r="BH236" s="256"/>
      <c r="BI236" s="54"/>
      <c r="BJ236" s="54"/>
      <c r="BK236" s="256"/>
      <c r="BL236" s="54"/>
      <c r="BM236" s="54"/>
      <c r="BN236" s="256"/>
      <c r="BO236" s="54"/>
      <c r="BP236" s="54"/>
      <c r="BQ236" s="256"/>
      <c r="BR236" s="54"/>
      <c r="BS236" s="54"/>
      <c r="BT236" s="256"/>
      <c r="BU236" s="54"/>
      <c r="BV236" s="54"/>
      <c r="BW236" s="256"/>
      <c r="BX236" s="54"/>
      <c r="BY236" s="54"/>
      <c r="BZ236" s="256"/>
      <c r="CA236" s="54"/>
      <c r="CB236" s="54"/>
      <c r="CC236" s="256"/>
      <c r="CD236" s="54"/>
      <c r="CE236" s="54"/>
      <c r="CF236" s="256"/>
      <c r="CG236" s="54"/>
      <c r="CH236" s="54"/>
      <c r="CI236" s="1684">
        <f t="shared" si="29"/>
        <v>0</v>
      </c>
      <c r="CJ236" s="54"/>
      <c r="CK236" s="54"/>
      <c r="CL236" s="256"/>
      <c r="CM236" s="54"/>
      <c r="CN236" s="54"/>
      <c r="CO236" s="256"/>
      <c r="CP236" s="54"/>
      <c r="CQ236" s="54"/>
      <c r="CR236" s="256"/>
      <c r="CS236" s="54"/>
      <c r="CT236" s="54"/>
      <c r="CU236" s="256"/>
      <c r="CV236" s="54"/>
      <c r="CW236" s="54"/>
      <c r="CX236" s="256"/>
      <c r="CY236" s="54"/>
      <c r="CZ236" s="54"/>
    </row>
    <row r="237" spans="1:104" ht="13.5">
      <c r="A237" s="260">
        <f t="shared" si="32"/>
        <v>230</v>
      </c>
      <c r="B237" s="254"/>
      <c r="C237" s="295" t="s">
        <v>49</v>
      </c>
      <c r="D237" s="266"/>
      <c r="E237" s="265"/>
      <c r="F237" s="264"/>
      <c r="G237" s="361"/>
      <c r="H237" s="29"/>
      <c r="I237" s="1229"/>
      <c r="J237" s="29"/>
      <c r="K237" s="54"/>
      <c r="M237" s="1624"/>
      <c r="N237" s="1113"/>
      <c r="O237" s="1113"/>
      <c r="Q237" s="54"/>
      <c r="R237" s="256"/>
      <c r="S237" s="54"/>
      <c r="T237" s="1694"/>
      <c r="U237" s="256"/>
      <c r="V237" s="54"/>
      <c r="W237" s="1694"/>
      <c r="X237" s="256"/>
      <c r="Y237" s="54"/>
      <c r="Z237" s="1694"/>
      <c r="AA237" s="256"/>
      <c r="AB237" s="54"/>
      <c r="AC237" s="1694"/>
      <c r="AD237" s="256"/>
      <c r="AE237" s="54"/>
      <c r="AF237" s="1694"/>
      <c r="AG237" s="256"/>
      <c r="AH237" s="54"/>
      <c r="AI237" s="1694"/>
      <c r="AJ237" s="256"/>
      <c r="AK237" s="54"/>
      <c r="AL237" s="1694"/>
      <c r="AM237" s="256"/>
      <c r="AN237" s="54"/>
      <c r="AO237" s="1694"/>
      <c r="AP237" s="256"/>
      <c r="AQ237" s="54"/>
      <c r="AR237" s="1694"/>
      <c r="AS237" s="256"/>
      <c r="AT237" s="54"/>
      <c r="AU237" s="54"/>
      <c r="AV237" s="256"/>
      <c r="AW237" s="54"/>
      <c r="AX237" s="54"/>
      <c r="AY237" s="256"/>
      <c r="AZ237" s="54"/>
      <c r="BA237" s="54"/>
      <c r="BB237" s="256"/>
      <c r="BC237" s="54"/>
      <c r="BD237" s="54"/>
      <c r="BE237" s="256"/>
      <c r="BF237" s="54"/>
      <c r="BG237" s="54"/>
      <c r="BH237" s="256"/>
      <c r="BI237" s="54"/>
      <c r="BJ237" s="54"/>
      <c r="BK237" s="256"/>
      <c r="BL237" s="54"/>
      <c r="BM237" s="54"/>
      <c r="BN237" s="256"/>
      <c r="BO237" s="54"/>
      <c r="BP237" s="54"/>
      <c r="BQ237" s="256"/>
      <c r="BR237" s="54"/>
      <c r="BS237" s="54"/>
      <c r="BT237" s="256"/>
      <c r="BU237" s="54"/>
      <c r="BV237" s="54"/>
      <c r="BW237" s="256"/>
      <c r="BX237" s="54"/>
      <c r="BY237" s="54"/>
      <c r="BZ237" s="256"/>
      <c r="CA237" s="54"/>
      <c r="CB237" s="54"/>
      <c r="CC237" s="256"/>
      <c r="CD237" s="54"/>
      <c r="CE237" s="54"/>
      <c r="CF237" s="256"/>
      <c r="CG237" s="54"/>
      <c r="CH237" s="54"/>
      <c r="CI237" s="1684">
        <f t="shared" si="29"/>
        <v>0</v>
      </c>
      <c r="CJ237" s="54"/>
      <c r="CK237" s="54"/>
      <c r="CL237" s="256"/>
      <c r="CM237" s="54"/>
      <c r="CN237" s="54"/>
      <c r="CO237" s="256"/>
      <c r="CP237" s="54"/>
      <c r="CQ237" s="54"/>
      <c r="CR237" s="256"/>
      <c r="CS237" s="54"/>
      <c r="CT237" s="54"/>
      <c r="CU237" s="256"/>
      <c r="CV237" s="54"/>
      <c r="CW237" s="54"/>
      <c r="CX237" s="256"/>
      <c r="CY237" s="54"/>
      <c r="CZ237" s="54"/>
    </row>
    <row r="238" spans="1:104">
      <c r="A238" s="260">
        <f t="shared" si="32"/>
        <v>231</v>
      </c>
      <c r="B238" s="495">
        <f>'Stmt H'!B146</f>
        <v>911</v>
      </c>
      <c r="C238" s="294" t="s">
        <v>191</v>
      </c>
      <c r="D238" s="266"/>
      <c r="E238" s="289" t="s">
        <v>276</v>
      </c>
      <c r="F238" s="264"/>
      <c r="G238" s="353">
        <f>'Stmt H'!F146</f>
        <v>0</v>
      </c>
      <c r="H238" s="29"/>
      <c r="I238" s="583" t="s">
        <v>276</v>
      </c>
      <c r="J238" s="29"/>
      <c r="K238" s="361">
        <f>'Stmt H'!U146</f>
        <v>0</v>
      </c>
      <c r="M238" s="1624">
        <f>IF(ISERROR(O238/K238),0,O238/K238)</f>
        <v>0</v>
      </c>
      <c r="N238" s="1566">
        <f>M238*G238</f>
        <v>0</v>
      </c>
      <c r="O238" s="1566">
        <v>0</v>
      </c>
      <c r="Q238" s="333">
        <v>0</v>
      </c>
      <c r="R238" s="256"/>
      <c r="S238" s="333">
        <v>0</v>
      </c>
      <c r="T238" s="1693">
        <v>0</v>
      </c>
      <c r="U238" s="256"/>
      <c r="V238" s="333">
        <v>0</v>
      </c>
      <c r="W238" s="1693">
        <v>0</v>
      </c>
      <c r="X238" s="256"/>
      <c r="Y238" s="333">
        <v>0</v>
      </c>
      <c r="Z238" s="1693">
        <v>0</v>
      </c>
      <c r="AA238" s="256"/>
      <c r="AB238" s="333">
        <v>0</v>
      </c>
      <c r="AC238" s="1693">
        <v>0</v>
      </c>
      <c r="AD238" s="256"/>
      <c r="AE238" s="333">
        <v>0</v>
      </c>
      <c r="AF238" s="1693">
        <v>0</v>
      </c>
      <c r="AG238" s="256"/>
      <c r="AH238" s="333">
        <v>0</v>
      </c>
      <c r="AI238" s="1693">
        <v>0</v>
      </c>
      <c r="AJ238" s="256"/>
      <c r="AK238" s="333">
        <v>0</v>
      </c>
      <c r="AL238" s="1693">
        <v>0</v>
      </c>
      <c r="AM238" s="256"/>
      <c r="AN238" s="333">
        <v>0</v>
      </c>
      <c r="AO238" s="1693">
        <v>0</v>
      </c>
      <c r="AP238" s="256"/>
      <c r="AQ238" s="333">
        <v>0</v>
      </c>
      <c r="AR238" s="1693">
        <v>0</v>
      </c>
      <c r="AS238" s="256"/>
      <c r="AT238" s="333">
        <v>0</v>
      </c>
      <c r="AU238" s="333">
        <v>0</v>
      </c>
      <c r="AV238" s="256"/>
      <c r="AW238" s="333">
        <v>0</v>
      </c>
      <c r="AX238" s="333">
        <v>0</v>
      </c>
      <c r="AY238" s="256"/>
      <c r="AZ238" s="333">
        <v>0</v>
      </c>
      <c r="BA238" s="333">
        <v>0</v>
      </c>
      <c r="BB238" s="256"/>
      <c r="BC238" s="333">
        <v>0</v>
      </c>
      <c r="BD238" s="333">
        <v>0</v>
      </c>
      <c r="BE238" s="256"/>
      <c r="BF238" s="333">
        <v>0</v>
      </c>
      <c r="BG238" s="333">
        <v>0</v>
      </c>
      <c r="BH238" s="256"/>
      <c r="BI238" s="333">
        <v>0</v>
      </c>
      <c r="BJ238" s="333">
        <v>0</v>
      </c>
      <c r="BK238" s="256"/>
      <c r="BL238" s="333">
        <v>0</v>
      </c>
      <c r="BM238" s="333">
        <v>0</v>
      </c>
      <c r="BN238" s="256"/>
      <c r="BO238" s="333">
        <v>0</v>
      </c>
      <c r="BP238" s="333">
        <v>0</v>
      </c>
      <c r="BQ238" s="256"/>
      <c r="BR238" s="333">
        <v>0</v>
      </c>
      <c r="BS238" s="333">
        <v>0</v>
      </c>
      <c r="BT238" s="256"/>
      <c r="BU238" s="333">
        <v>0</v>
      </c>
      <c r="BV238" s="333">
        <v>0</v>
      </c>
      <c r="BW238" s="256"/>
      <c r="BX238" s="333">
        <v>0</v>
      </c>
      <c r="BY238" s="333">
        <v>0</v>
      </c>
      <c r="BZ238" s="256"/>
      <c r="CA238" s="333">
        <v>0</v>
      </c>
      <c r="CB238" s="333">
        <v>0</v>
      </c>
      <c r="CC238" s="256"/>
      <c r="CD238" s="333">
        <v>0</v>
      </c>
      <c r="CE238" s="333">
        <v>0</v>
      </c>
      <c r="CF238" s="256"/>
      <c r="CG238" s="333">
        <v>0</v>
      </c>
      <c r="CH238" s="333">
        <v>0</v>
      </c>
      <c r="CI238" s="1684">
        <f t="shared" si="29"/>
        <v>0</v>
      </c>
      <c r="CJ238" s="333">
        <v>0</v>
      </c>
      <c r="CK238" s="333">
        <v>0</v>
      </c>
      <c r="CL238" s="256"/>
      <c r="CM238" s="333">
        <v>0</v>
      </c>
      <c r="CN238" s="333">
        <v>0</v>
      </c>
      <c r="CO238" s="256"/>
      <c r="CP238" s="361">
        <v>0</v>
      </c>
      <c r="CQ238" s="333">
        <v>0</v>
      </c>
      <c r="CR238" s="256"/>
      <c r="CS238" s="361">
        <v>0</v>
      </c>
      <c r="CT238" s="333">
        <v>0</v>
      </c>
      <c r="CU238" s="256"/>
      <c r="CV238" s="333">
        <v>0</v>
      </c>
      <c r="CW238" s="333">
        <v>0</v>
      </c>
      <c r="CX238" s="256"/>
      <c r="CY238" s="333"/>
      <c r="CZ238" s="333"/>
    </row>
    <row r="239" spans="1:104">
      <c r="A239" s="260">
        <f t="shared" si="32"/>
        <v>232</v>
      </c>
      <c r="B239" s="495">
        <f>'Stmt H'!B147</f>
        <v>912</v>
      </c>
      <c r="C239" s="294" t="s">
        <v>1158</v>
      </c>
      <c r="D239" s="266"/>
      <c r="E239" s="289" t="s">
        <v>276</v>
      </c>
      <c r="F239" s="264"/>
      <c r="G239" s="207">
        <f>'Stmt H'!F147</f>
        <v>352923.03</v>
      </c>
      <c r="H239" s="29"/>
      <c r="I239" s="635" t="s">
        <v>276</v>
      </c>
      <c r="J239" s="29"/>
      <c r="K239" s="636">
        <f>'Stmt H'!U147</f>
        <v>343832.69154115691</v>
      </c>
      <c r="M239" s="1624">
        <f>IF(ISERROR(O239/K239),0,O239/K239)</f>
        <v>0.8432234440558124</v>
      </c>
      <c r="N239" s="1625">
        <f>M239*G239</f>
        <v>297592.97284321283</v>
      </c>
      <c r="O239" s="1625">
        <v>289927.78634031414</v>
      </c>
      <c r="Q239" s="1699">
        <v>347037.05396737414</v>
      </c>
      <c r="R239" s="256"/>
      <c r="S239" s="1699">
        <v>347037.05396737414</v>
      </c>
      <c r="T239" s="1700">
        <v>292629.77986135206</v>
      </c>
      <c r="U239" s="256"/>
      <c r="V239" s="1699">
        <v>347037.05396737414</v>
      </c>
      <c r="W239" s="1700">
        <v>292629.77986135206</v>
      </c>
      <c r="X239" s="256"/>
      <c r="Y239" s="1699">
        <v>346948.86396737414</v>
      </c>
      <c r="Z239" s="1700">
        <v>292555.41598582081</v>
      </c>
      <c r="AA239" s="256"/>
      <c r="AB239" s="1699">
        <v>346948.86396737414</v>
      </c>
      <c r="AC239" s="1700">
        <v>292555.41598582081</v>
      </c>
      <c r="AD239" s="256"/>
      <c r="AE239" s="1699">
        <v>346948.86396737414</v>
      </c>
      <c r="AF239" s="1700">
        <v>292555.41598582081</v>
      </c>
      <c r="AG239" s="256"/>
      <c r="AH239" s="1699">
        <v>346948.86396737414</v>
      </c>
      <c r="AI239" s="1700">
        <v>292555.41598582081</v>
      </c>
      <c r="AJ239" s="256"/>
      <c r="AK239" s="1699">
        <v>346948.86396737414</v>
      </c>
      <c r="AL239" s="1700">
        <v>292555.41598582081</v>
      </c>
      <c r="AM239" s="256"/>
      <c r="AN239" s="1699">
        <v>346780.24043785827</v>
      </c>
      <c r="AO239" s="1700">
        <v>292413.22867251356</v>
      </c>
      <c r="AP239" s="256"/>
      <c r="AQ239" s="1699">
        <v>346780.24043785827</v>
      </c>
      <c r="AR239" s="1700">
        <v>292413.22867251356</v>
      </c>
      <c r="AS239" s="256"/>
      <c r="AT239" s="1699">
        <v>346780.24043785827</v>
      </c>
      <c r="AU239" s="1699">
        <v>292413.22867251356</v>
      </c>
      <c r="AV239" s="256"/>
      <c r="AW239" s="1699">
        <v>346780.24043785827</v>
      </c>
      <c r="AX239" s="1699">
        <v>292413.22867251356</v>
      </c>
      <c r="AY239" s="256"/>
      <c r="AZ239" s="1699">
        <v>346780.24043785827</v>
      </c>
      <c r="BA239" s="1699">
        <v>292413.22867251356</v>
      </c>
      <c r="BB239" s="256"/>
      <c r="BC239" s="1699">
        <v>346780.24043785827</v>
      </c>
      <c r="BD239" s="1699">
        <v>292413.22867251356</v>
      </c>
      <c r="BE239" s="256"/>
      <c r="BF239" s="1699">
        <v>346780.24043785827</v>
      </c>
      <c r="BG239" s="1699">
        <v>292413.22867251356</v>
      </c>
      <c r="BH239" s="256"/>
      <c r="BI239" s="1699">
        <v>346780.24043785827</v>
      </c>
      <c r="BJ239" s="1699">
        <v>292413.22867251356</v>
      </c>
      <c r="BK239" s="256"/>
      <c r="BL239" s="1699">
        <v>346780.24043785827</v>
      </c>
      <c r="BM239" s="1699">
        <v>292413.22867251356</v>
      </c>
      <c r="BN239" s="256"/>
      <c r="BO239" s="1699">
        <v>346780.24043785827</v>
      </c>
      <c r="BP239" s="1699">
        <v>292413.22867251356</v>
      </c>
      <c r="BQ239" s="256"/>
      <c r="BR239" s="1699">
        <v>346780.24043785827</v>
      </c>
      <c r="BS239" s="1699">
        <v>292413.22867251356</v>
      </c>
      <c r="BT239" s="256"/>
      <c r="BU239" s="1699">
        <v>346780.24043785827</v>
      </c>
      <c r="BV239" s="1699">
        <v>292413.22867251356</v>
      </c>
      <c r="BW239" s="256"/>
      <c r="BX239" s="1699">
        <v>346780.24043785827</v>
      </c>
      <c r="BY239" s="1699">
        <v>292413.22867251356</v>
      </c>
      <c r="BZ239" s="256"/>
      <c r="CA239" s="1699">
        <v>346748.78043785831</v>
      </c>
      <c r="CB239" s="1699">
        <v>292386.70086296357</v>
      </c>
      <c r="CC239" s="256"/>
      <c r="CD239" s="1699">
        <v>346748.78043785831</v>
      </c>
      <c r="CE239" s="1699">
        <v>292386.70086296357</v>
      </c>
      <c r="CF239" s="256"/>
      <c r="CG239" s="1699">
        <v>346748.78043785831</v>
      </c>
      <c r="CH239" s="1699">
        <v>292386.70086296357</v>
      </c>
      <c r="CI239" s="1684">
        <f t="shared" si="29"/>
        <v>0</v>
      </c>
      <c r="CJ239" s="1699">
        <v>346748.78043785831</v>
      </c>
      <c r="CK239" s="1699">
        <v>292386.70086296357</v>
      </c>
      <c r="CL239" s="256"/>
      <c r="CM239" s="1699">
        <v>346218.04148115689</v>
      </c>
      <c r="CN239" s="1699">
        <v>291939.16933199926</v>
      </c>
      <c r="CO239" s="256"/>
      <c r="CP239" s="636">
        <v>346218.04148115689</v>
      </c>
      <c r="CQ239" s="1699">
        <v>291939.16933199926</v>
      </c>
      <c r="CR239" s="256"/>
      <c r="CS239" s="636">
        <v>343832.69154115691</v>
      </c>
      <c r="CT239" s="1699">
        <v>289927.78634031414</v>
      </c>
      <c r="CU239" s="256"/>
      <c r="CV239" s="1699">
        <v>343832.69154115691</v>
      </c>
      <c r="CW239" s="1699">
        <v>289927.78634031414</v>
      </c>
      <c r="CX239" s="256"/>
      <c r="CY239" s="1699"/>
      <c r="CZ239" s="1699"/>
    </row>
    <row r="240" spans="1:104">
      <c r="A240" s="260">
        <f t="shared" si="32"/>
        <v>233</v>
      </c>
      <c r="B240" s="495">
        <f>'Stmt H'!B148</f>
        <v>913</v>
      </c>
      <c r="C240" s="294" t="s">
        <v>177</v>
      </c>
      <c r="D240" s="266"/>
      <c r="E240" s="289" t="s">
        <v>276</v>
      </c>
      <c r="F240" s="264"/>
      <c r="G240" s="207">
        <f>'Stmt H'!F148</f>
        <v>208274.19999999998</v>
      </c>
      <c r="H240" s="29"/>
      <c r="I240" s="635" t="s">
        <v>276</v>
      </c>
      <c r="J240" s="29"/>
      <c r="K240" s="636">
        <f>'Stmt H'!U148</f>
        <v>1679.8951108373317</v>
      </c>
      <c r="M240" s="1624">
        <f>IF(ISERROR(O240/K240),0,O240/K240)</f>
        <v>0.84322344405581251</v>
      </c>
      <c r="N240" s="1625">
        <f>M240*G240</f>
        <v>175621.68823196908</v>
      </c>
      <c r="O240" s="1625">
        <v>1416.5269410127758</v>
      </c>
      <c r="Q240" s="1699">
        <v>1735.0241958385559</v>
      </c>
      <c r="R240" s="256"/>
      <c r="S240" s="1699">
        <v>1735.0241958385559</v>
      </c>
      <c r="T240" s="1700">
        <v>1463.0130779351534</v>
      </c>
      <c r="U240" s="256"/>
      <c r="V240" s="1699">
        <v>1735.0241958385559</v>
      </c>
      <c r="W240" s="1700">
        <v>1463.0130779351534</v>
      </c>
      <c r="X240" s="256"/>
      <c r="Y240" s="1699">
        <v>1735.0241958385559</v>
      </c>
      <c r="Z240" s="1700">
        <v>1463.0130779351534</v>
      </c>
      <c r="AA240" s="256"/>
      <c r="AB240" s="1699">
        <v>1735.0241958385559</v>
      </c>
      <c r="AC240" s="1700">
        <v>1463.0130779351534</v>
      </c>
      <c r="AD240" s="256"/>
      <c r="AE240" s="1699">
        <v>1735.0241958385559</v>
      </c>
      <c r="AF240" s="1700">
        <v>1463.0130779351534</v>
      </c>
      <c r="AG240" s="256"/>
      <c r="AH240" s="1699">
        <v>1735.0241958385559</v>
      </c>
      <c r="AI240" s="1700">
        <v>1463.0130779351534</v>
      </c>
      <c r="AJ240" s="256"/>
      <c r="AK240" s="1699">
        <v>1735.0241958385559</v>
      </c>
      <c r="AL240" s="1700">
        <v>1463.0130779351534</v>
      </c>
      <c r="AM240" s="256"/>
      <c r="AN240" s="1699">
        <v>1737.4270769784735</v>
      </c>
      <c r="AO240" s="1700">
        <v>1465.0392436456114</v>
      </c>
      <c r="AP240" s="256"/>
      <c r="AQ240" s="1699">
        <v>1737.4270769784735</v>
      </c>
      <c r="AR240" s="1700">
        <v>1465.0392436456114</v>
      </c>
      <c r="AS240" s="256"/>
      <c r="AT240" s="1699">
        <v>1737.4270769784735</v>
      </c>
      <c r="AU240" s="1699">
        <v>1465.0392436456114</v>
      </c>
      <c r="AV240" s="256"/>
      <c r="AW240" s="1699">
        <v>1737.4270769784735</v>
      </c>
      <c r="AX240" s="1699">
        <v>1465.0392436456114</v>
      </c>
      <c r="AY240" s="256"/>
      <c r="AZ240" s="1699">
        <v>1737.4270769784735</v>
      </c>
      <c r="BA240" s="1699">
        <v>1465.0392436456114</v>
      </c>
      <c r="BB240" s="256"/>
      <c r="BC240" s="1699">
        <v>1737.4270769784735</v>
      </c>
      <c r="BD240" s="1699">
        <v>1465.0392436456114</v>
      </c>
      <c r="BE240" s="256"/>
      <c r="BF240" s="1699">
        <v>1737.4270769784735</v>
      </c>
      <c r="BG240" s="1699">
        <v>1465.0392436456114</v>
      </c>
      <c r="BH240" s="256"/>
      <c r="BI240" s="1699">
        <v>1737.4270769784735</v>
      </c>
      <c r="BJ240" s="1699">
        <v>1465.0392436456114</v>
      </c>
      <c r="BK240" s="256"/>
      <c r="BL240" s="1699">
        <v>1737.4270769784735</v>
      </c>
      <c r="BM240" s="1699">
        <v>1465.0392436456114</v>
      </c>
      <c r="BN240" s="256"/>
      <c r="BO240" s="1699">
        <v>1737.4270769784735</v>
      </c>
      <c r="BP240" s="1699">
        <v>1465.0392436456114</v>
      </c>
      <c r="BQ240" s="256"/>
      <c r="BR240" s="1699">
        <v>1737.4270769784735</v>
      </c>
      <c r="BS240" s="1699">
        <v>1465.0392436456114</v>
      </c>
      <c r="BT240" s="256"/>
      <c r="BU240" s="1699">
        <v>1737.4270769784735</v>
      </c>
      <c r="BV240" s="1699">
        <v>1465.0392436456114</v>
      </c>
      <c r="BW240" s="256"/>
      <c r="BX240" s="1699">
        <v>1737.4270769784735</v>
      </c>
      <c r="BY240" s="1699">
        <v>1465.0392436456114</v>
      </c>
      <c r="BZ240" s="256"/>
      <c r="CA240" s="1699">
        <v>1737.4270769784735</v>
      </c>
      <c r="CB240" s="1699">
        <v>1465.0392436456114</v>
      </c>
      <c r="CC240" s="256"/>
      <c r="CD240" s="1699">
        <v>1737.4270769784735</v>
      </c>
      <c r="CE240" s="1699">
        <v>1465.0392436456114</v>
      </c>
      <c r="CF240" s="256"/>
      <c r="CG240" s="1699">
        <v>1737.4270769784735</v>
      </c>
      <c r="CH240" s="1699">
        <v>1465.0392436456114</v>
      </c>
      <c r="CI240" s="1684">
        <f t="shared" si="29"/>
        <v>0</v>
      </c>
      <c r="CJ240" s="1699">
        <v>1737.4270769784735</v>
      </c>
      <c r="CK240" s="1699">
        <v>1465.0392436456114</v>
      </c>
      <c r="CL240" s="256"/>
      <c r="CM240" s="1699">
        <v>1681.3937378373398</v>
      </c>
      <c r="CN240" s="1699">
        <v>1417.7906184330775</v>
      </c>
      <c r="CO240" s="256"/>
      <c r="CP240" s="636">
        <v>1681.3937378373398</v>
      </c>
      <c r="CQ240" s="1699">
        <v>1417.7906184330775</v>
      </c>
      <c r="CR240" s="256"/>
      <c r="CS240" s="636">
        <v>1679.8951108373317</v>
      </c>
      <c r="CT240" s="1699">
        <v>1416.5269410127758</v>
      </c>
      <c r="CU240" s="256"/>
      <c r="CV240" s="1699">
        <v>1679.8951108373317</v>
      </c>
      <c r="CW240" s="1699">
        <v>1416.5269410127758</v>
      </c>
      <c r="CX240" s="256"/>
      <c r="CY240" s="1699"/>
      <c r="CZ240" s="1699"/>
    </row>
    <row r="241" spans="1:104">
      <c r="A241" s="260">
        <f t="shared" si="32"/>
        <v>234</v>
      </c>
      <c r="B241" s="495">
        <f>'Stmt H'!B149</f>
        <v>916</v>
      </c>
      <c r="C241" s="296" t="s">
        <v>178</v>
      </c>
      <c r="D241" s="266"/>
      <c r="E241" s="289" t="s">
        <v>276</v>
      </c>
      <c r="F241" s="264"/>
      <c r="G241" s="787">
        <f>'Stmt H'!F149</f>
        <v>326.2700000000001</v>
      </c>
      <c r="H241" s="29"/>
      <c r="I241" s="635" t="s">
        <v>276</v>
      </c>
      <c r="J241" s="29"/>
      <c r="K241" s="637">
        <f>'Stmt H'!U149</f>
        <v>320.97294399999987</v>
      </c>
      <c r="M241" s="1624">
        <f>IF(ISERROR(O241/K241),0,O241/K241)</f>
        <v>0.84322344405581251</v>
      </c>
      <c r="N241" s="1626">
        <f>M241*G241</f>
        <v>275.11851309209004</v>
      </c>
      <c r="O241" s="1626">
        <v>270.65191128841332</v>
      </c>
      <c r="Q241" s="1701">
        <v>327.05634599999991</v>
      </c>
      <c r="R241" s="256"/>
      <c r="S241" s="1701">
        <v>327.05634599999991</v>
      </c>
      <c r="T241" s="1702">
        <v>275.78157847442935</v>
      </c>
      <c r="U241" s="256"/>
      <c r="V241" s="1701">
        <v>327.05634599999991</v>
      </c>
      <c r="W241" s="1702">
        <v>275.78157847442935</v>
      </c>
      <c r="X241" s="256"/>
      <c r="Y241" s="1701">
        <v>327.05634599999991</v>
      </c>
      <c r="Z241" s="1702">
        <v>275.78157847442935</v>
      </c>
      <c r="AA241" s="256"/>
      <c r="AB241" s="1701">
        <v>327.05634599999991</v>
      </c>
      <c r="AC241" s="1702">
        <v>275.78157847442935</v>
      </c>
      <c r="AD241" s="256"/>
      <c r="AE241" s="1701">
        <v>327.05634599999991</v>
      </c>
      <c r="AF241" s="1702">
        <v>275.78157847442935</v>
      </c>
      <c r="AG241" s="256"/>
      <c r="AH241" s="1701">
        <v>327.05634599999991</v>
      </c>
      <c r="AI241" s="1702">
        <v>275.78157847442935</v>
      </c>
      <c r="AJ241" s="256"/>
      <c r="AK241" s="1701">
        <v>327.05634599999991</v>
      </c>
      <c r="AL241" s="1702">
        <v>275.78157847442935</v>
      </c>
      <c r="AM241" s="256"/>
      <c r="AN241" s="1701">
        <v>327.05634599999991</v>
      </c>
      <c r="AO241" s="1702">
        <v>275.78157847442935</v>
      </c>
      <c r="AP241" s="256"/>
      <c r="AQ241" s="1701">
        <v>327.05634599999991</v>
      </c>
      <c r="AR241" s="1702">
        <v>275.78157847442935</v>
      </c>
      <c r="AS241" s="256"/>
      <c r="AT241" s="1701">
        <v>327.05634599999991</v>
      </c>
      <c r="AU241" s="1701">
        <v>275.78157847442935</v>
      </c>
      <c r="AV241" s="256"/>
      <c r="AW241" s="1701">
        <v>327.05634599999991</v>
      </c>
      <c r="AX241" s="1701">
        <v>275.78157847442935</v>
      </c>
      <c r="AY241" s="256"/>
      <c r="AZ241" s="1701">
        <v>327.05634599999991</v>
      </c>
      <c r="BA241" s="1701">
        <v>275.78157847442935</v>
      </c>
      <c r="BB241" s="256"/>
      <c r="BC241" s="1701">
        <v>327.05634599999991</v>
      </c>
      <c r="BD241" s="1701">
        <v>275.78157847442935</v>
      </c>
      <c r="BE241" s="256"/>
      <c r="BF241" s="1701">
        <v>327.05634599999991</v>
      </c>
      <c r="BG241" s="1701">
        <v>275.78157847442935</v>
      </c>
      <c r="BH241" s="256"/>
      <c r="BI241" s="1701">
        <v>327.05634599999991</v>
      </c>
      <c r="BJ241" s="1701">
        <v>275.78157847442935</v>
      </c>
      <c r="BK241" s="256"/>
      <c r="BL241" s="1701">
        <v>327.05634599999991</v>
      </c>
      <c r="BM241" s="1701">
        <v>275.78157847442935</v>
      </c>
      <c r="BN241" s="256"/>
      <c r="BO241" s="1701">
        <v>327.05634599999991</v>
      </c>
      <c r="BP241" s="1701">
        <v>275.78157847442935</v>
      </c>
      <c r="BQ241" s="256"/>
      <c r="BR241" s="1701">
        <v>327.05634599999991</v>
      </c>
      <c r="BS241" s="1701">
        <v>275.78157847442935</v>
      </c>
      <c r="BT241" s="256"/>
      <c r="BU241" s="1701">
        <v>327.05634599999991</v>
      </c>
      <c r="BV241" s="1701">
        <v>275.78157847442935</v>
      </c>
      <c r="BW241" s="256"/>
      <c r="BX241" s="1701">
        <v>327.05634599999991</v>
      </c>
      <c r="BY241" s="1701">
        <v>275.78157847442935</v>
      </c>
      <c r="BZ241" s="256"/>
      <c r="CA241" s="1701">
        <v>327.05634599999991</v>
      </c>
      <c r="CB241" s="1701">
        <v>275.78157847442935</v>
      </c>
      <c r="CC241" s="256"/>
      <c r="CD241" s="1701">
        <v>327.05634599999991</v>
      </c>
      <c r="CE241" s="1701">
        <v>275.78157847442935</v>
      </c>
      <c r="CF241" s="256"/>
      <c r="CG241" s="1701">
        <v>327.05634599999991</v>
      </c>
      <c r="CH241" s="1701">
        <v>275.78157847442935</v>
      </c>
      <c r="CI241" s="1684">
        <f t="shared" si="29"/>
        <v>0</v>
      </c>
      <c r="CJ241" s="1701">
        <v>327.05634599999991</v>
      </c>
      <c r="CK241" s="1701">
        <v>275.78157847442935</v>
      </c>
      <c r="CL241" s="256"/>
      <c r="CM241" s="1701">
        <v>327.05634599999991</v>
      </c>
      <c r="CN241" s="1701">
        <v>275.78157847442935</v>
      </c>
      <c r="CO241" s="256"/>
      <c r="CP241" s="637">
        <v>327.05634599999991</v>
      </c>
      <c r="CQ241" s="1701">
        <v>275.78157847442935</v>
      </c>
      <c r="CR241" s="256"/>
      <c r="CS241" s="637">
        <v>320.97294399999987</v>
      </c>
      <c r="CT241" s="1701">
        <v>270.65191128841332</v>
      </c>
      <c r="CU241" s="256"/>
      <c r="CV241" s="1701">
        <v>320.97294399999987</v>
      </c>
      <c r="CW241" s="1701">
        <v>270.65191128841332</v>
      </c>
      <c r="CX241" s="256"/>
      <c r="CY241" s="1701"/>
      <c r="CZ241" s="1701"/>
    </row>
    <row r="242" spans="1:104">
      <c r="A242" s="260">
        <f t="shared" si="32"/>
        <v>235</v>
      </c>
      <c r="B242" s="495"/>
      <c r="C242" s="275" t="s">
        <v>72</v>
      </c>
      <c r="D242" s="266"/>
      <c r="E242" s="265"/>
      <c r="F242" s="264"/>
      <c r="G242" s="743">
        <f>SUM(G238:G241)</f>
        <v>561523.5</v>
      </c>
      <c r="H242" s="29"/>
      <c r="I242" s="1229"/>
      <c r="J242" s="29"/>
      <c r="K242" s="313">
        <f>SUM(K238:K241)</f>
        <v>345833.55959599424</v>
      </c>
      <c r="M242" s="1630" t="s">
        <v>1528</v>
      </c>
      <c r="N242" s="1614">
        <f>SUM(N238:N241)</f>
        <v>473489.77958827402</v>
      </c>
      <c r="O242" s="1614">
        <v>291614.96519261535</v>
      </c>
      <c r="Q242" s="313">
        <v>349099.13450921269</v>
      </c>
      <c r="R242" s="256"/>
      <c r="S242" s="313">
        <v>349099.13450921269</v>
      </c>
      <c r="T242" s="1704">
        <v>294368.57451776165</v>
      </c>
      <c r="U242" s="256"/>
      <c r="V242" s="313">
        <v>349099.13450921269</v>
      </c>
      <c r="W242" s="1704">
        <v>294368.57451776165</v>
      </c>
      <c r="X242" s="256"/>
      <c r="Y242" s="313">
        <v>349010.94450921268</v>
      </c>
      <c r="Z242" s="1704">
        <v>294294.21064223041</v>
      </c>
      <c r="AA242" s="256"/>
      <c r="AB242" s="313">
        <v>349010.94450921268</v>
      </c>
      <c r="AC242" s="1704">
        <v>294294.21064223041</v>
      </c>
      <c r="AD242" s="256"/>
      <c r="AE242" s="313">
        <v>349010.94450921268</v>
      </c>
      <c r="AF242" s="1704">
        <v>294294.21064223041</v>
      </c>
      <c r="AG242" s="256"/>
      <c r="AH242" s="313">
        <v>349010.94450921268</v>
      </c>
      <c r="AI242" s="1704">
        <v>294294.21064223041</v>
      </c>
      <c r="AJ242" s="256"/>
      <c r="AK242" s="313">
        <v>349010.94450921268</v>
      </c>
      <c r="AL242" s="1704">
        <v>294294.21064223041</v>
      </c>
      <c r="AM242" s="256"/>
      <c r="AN242" s="313">
        <v>348844.72386083676</v>
      </c>
      <c r="AO242" s="1704">
        <v>294154.04949463363</v>
      </c>
      <c r="AP242" s="256"/>
      <c r="AQ242" s="313">
        <v>348844.72386083676</v>
      </c>
      <c r="AR242" s="1704">
        <v>294154.04949463363</v>
      </c>
      <c r="AS242" s="256"/>
      <c r="AT242" s="313">
        <v>348844.72386083676</v>
      </c>
      <c r="AU242" s="313">
        <v>294154.04949463363</v>
      </c>
      <c r="AV242" s="256"/>
      <c r="AW242" s="313">
        <v>348844.72386083676</v>
      </c>
      <c r="AX242" s="313">
        <v>294154.04949463363</v>
      </c>
      <c r="AY242" s="256"/>
      <c r="AZ242" s="313">
        <v>348844.72386083676</v>
      </c>
      <c r="BA242" s="313">
        <v>294154.04949463363</v>
      </c>
      <c r="BB242" s="256"/>
      <c r="BC242" s="313">
        <v>348844.72386083676</v>
      </c>
      <c r="BD242" s="313">
        <v>294154.04949463363</v>
      </c>
      <c r="BE242" s="256"/>
      <c r="BF242" s="313">
        <v>348844.72386083676</v>
      </c>
      <c r="BG242" s="313">
        <v>294154.04949463363</v>
      </c>
      <c r="BH242" s="256"/>
      <c r="BI242" s="313">
        <v>348844.72386083676</v>
      </c>
      <c r="BJ242" s="313">
        <v>294154.04949463363</v>
      </c>
      <c r="BK242" s="256"/>
      <c r="BL242" s="313">
        <v>348844.72386083676</v>
      </c>
      <c r="BM242" s="313">
        <v>294154.04949463363</v>
      </c>
      <c r="BN242" s="256"/>
      <c r="BO242" s="313">
        <v>348844.72386083676</v>
      </c>
      <c r="BP242" s="313">
        <v>294154.04949463363</v>
      </c>
      <c r="BQ242" s="256"/>
      <c r="BR242" s="313">
        <v>348844.72386083676</v>
      </c>
      <c r="BS242" s="313">
        <v>294154.04949463363</v>
      </c>
      <c r="BT242" s="256"/>
      <c r="BU242" s="313">
        <v>348844.72386083676</v>
      </c>
      <c r="BV242" s="313">
        <v>294154.04949463363</v>
      </c>
      <c r="BW242" s="256"/>
      <c r="BX242" s="313">
        <v>348844.72386083676</v>
      </c>
      <c r="BY242" s="313">
        <v>294154.04949463363</v>
      </c>
      <c r="BZ242" s="256"/>
      <c r="CA242" s="313">
        <v>348813.2638608368</v>
      </c>
      <c r="CB242" s="313">
        <v>294127.52168508363</v>
      </c>
      <c r="CC242" s="256"/>
      <c r="CD242" s="313">
        <v>348813.2638608368</v>
      </c>
      <c r="CE242" s="313">
        <v>294127.52168508363</v>
      </c>
      <c r="CF242" s="256"/>
      <c r="CG242" s="313">
        <v>348813.2638608368</v>
      </c>
      <c r="CH242" s="313">
        <v>294127.52168508363</v>
      </c>
      <c r="CI242" s="1684">
        <f t="shared" si="29"/>
        <v>0</v>
      </c>
      <c r="CJ242" s="313">
        <v>348813.2638608368</v>
      </c>
      <c r="CK242" s="313">
        <v>294127.52168508363</v>
      </c>
      <c r="CL242" s="256"/>
      <c r="CM242" s="313">
        <v>348226.49156499421</v>
      </c>
      <c r="CN242" s="313">
        <v>293632.7415289068</v>
      </c>
      <c r="CO242" s="256"/>
      <c r="CP242" s="313">
        <v>348226.49156499421</v>
      </c>
      <c r="CQ242" s="313">
        <v>293632.7415289068</v>
      </c>
      <c r="CR242" s="256"/>
      <c r="CS242" s="313">
        <v>345833.55959599424</v>
      </c>
      <c r="CT242" s="313">
        <v>291614.96519261535</v>
      </c>
      <c r="CU242" s="256"/>
      <c r="CV242" s="313">
        <v>345833.55959599424</v>
      </c>
      <c r="CW242" s="313">
        <v>291614.96519261535</v>
      </c>
      <c r="CX242" s="256"/>
      <c r="CY242" s="313"/>
      <c r="CZ242" s="313"/>
    </row>
    <row r="243" spans="1:104">
      <c r="A243" s="260">
        <f t="shared" si="32"/>
        <v>236</v>
      </c>
      <c r="B243" s="495"/>
      <c r="D243" s="266"/>
      <c r="E243" s="265"/>
      <c r="F243" s="264"/>
      <c r="G243" s="361"/>
      <c r="H243" s="29"/>
      <c r="I243" s="24"/>
      <c r="J243" s="29"/>
      <c r="K243" s="54"/>
      <c r="M243" s="1624"/>
      <c r="N243" s="1113"/>
      <c r="O243" s="1113"/>
      <c r="Q243" s="54"/>
      <c r="R243" s="256"/>
      <c r="S243" s="54"/>
      <c r="T243" s="1694"/>
      <c r="U243" s="256"/>
      <c r="V243" s="54"/>
      <c r="W243" s="1694"/>
      <c r="X243" s="256"/>
      <c r="Y243" s="54"/>
      <c r="Z243" s="1694"/>
      <c r="AA243" s="256"/>
      <c r="AB243" s="54"/>
      <c r="AC243" s="1694"/>
      <c r="AD243" s="256"/>
      <c r="AE243" s="54"/>
      <c r="AF243" s="1694"/>
      <c r="AG243" s="256"/>
      <c r="AH243" s="54"/>
      <c r="AI243" s="1694"/>
      <c r="AJ243" s="256"/>
      <c r="AK243" s="54"/>
      <c r="AL243" s="1694"/>
      <c r="AM243" s="256"/>
      <c r="AN243" s="54"/>
      <c r="AO243" s="1694"/>
      <c r="AP243" s="256"/>
      <c r="AQ243" s="54"/>
      <c r="AR243" s="1694"/>
      <c r="AS243" s="256"/>
      <c r="AT243" s="54"/>
      <c r="AU243" s="54"/>
      <c r="AV243" s="256"/>
      <c r="AW243" s="54"/>
      <c r="AX243" s="54"/>
      <c r="AY243" s="256"/>
      <c r="AZ243" s="54"/>
      <c r="BA243" s="54"/>
      <c r="BB243" s="256"/>
      <c r="BC243" s="54"/>
      <c r="BD243" s="54"/>
      <c r="BE243" s="256"/>
      <c r="BF243" s="54"/>
      <c r="BG243" s="54"/>
      <c r="BH243" s="256"/>
      <c r="BI243" s="54"/>
      <c r="BJ243" s="54"/>
      <c r="BK243" s="256"/>
      <c r="BL243" s="54"/>
      <c r="BM243" s="54"/>
      <c r="BN243" s="256"/>
      <c r="BO243" s="54"/>
      <c r="BP243" s="54"/>
      <c r="BQ243" s="256"/>
      <c r="BR243" s="54"/>
      <c r="BS243" s="54"/>
      <c r="BT243" s="256"/>
      <c r="BU243" s="54"/>
      <c r="BV243" s="54"/>
      <c r="BW243" s="256"/>
      <c r="BX243" s="54"/>
      <c r="BY243" s="54"/>
      <c r="BZ243" s="256"/>
      <c r="CA243" s="54"/>
      <c r="CB243" s="54"/>
      <c r="CC243" s="256"/>
      <c r="CD243" s="54"/>
      <c r="CE243" s="54"/>
      <c r="CF243" s="256"/>
      <c r="CG243" s="54"/>
      <c r="CH243" s="54"/>
      <c r="CI243" s="1684">
        <f t="shared" si="29"/>
        <v>0</v>
      </c>
      <c r="CJ243" s="54"/>
      <c r="CK243" s="54"/>
      <c r="CL243" s="256"/>
      <c r="CM243" s="54"/>
      <c r="CN243" s="54"/>
      <c r="CO243" s="256"/>
      <c r="CP243" s="54"/>
      <c r="CQ243" s="54"/>
      <c r="CR243" s="256"/>
      <c r="CS243" s="54"/>
      <c r="CT243" s="54"/>
      <c r="CU243" s="256"/>
      <c r="CV243" s="54"/>
      <c r="CW243" s="54"/>
      <c r="CX243" s="256"/>
      <c r="CY243" s="54"/>
      <c r="CZ243" s="54"/>
    </row>
    <row r="244" spans="1:104">
      <c r="A244" s="260">
        <f t="shared" si="32"/>
        <v>237</v>
      </c>
      <c r="B244" s="254"/>
      <c r="C244" s="275" t="s">
        <v>133</v>
      </c>
      <c r="D244" s="266"/>
      <c r="E244" s="265"/>
      <c r="F244" s="264"/>
      <c r="G244" s="361"/>
      <c r="H244" s="29"/>
      <c r="I244" s="1774"/>
      <c r="J244" s="29"/>
      <c r="K244" s="54"/>
      <c r="M244" s="1624"/>
      <c r="N244" s="1113"/>
      <c r="O244" s="1113"/>
      <c r="Q244" s="54"/>
      <c r="R244" s="256"/>
      <c r="S244" s="54"/>
      <c r="T244" s="1694"/>
      <c r="U244" s="256"/>
      <c r="V244" s="54"/>
      <c r="W244" s="1694"/>
      <c r="X244" s="256"/>
      <c r="Y244" s="54"/>
      <c r="Z244" s="1694"/>
      <c r="AA244" s="256"/>
      <c r="AB244" s="54"/>
      <c r="AC244" s="1694"/>
      <c r="AD244" s="256"/>
      <c r="AE244" s="54"/>
      <c r="AF244" s="1694"/>
      <c r="AG244" s="256"/>
      <c r="AH244" s="54"/>
      <c r="AI244" s="1694"/>
      <c r="AJ244" s="256"/>
      <c r="AK244" s="54"/>
      <c r="AL244" s="1694"/>
      <c r="AM244" s="256"/>
      <c r="AN244" s="54"/>
      <c r="AO244" s="1694"/>
      <c r="AP244" s="256"/>
      <c r="AQ244" s="54"/>
      <c r="AR244" s="1694"/>
      <c r="AS244" s="256"/>
      <c r="AT244" s="54"/>
      <c r="AU244" s="54"/>
      <c r="AV244" s="256"/>
      <c r="AW244" s="54"/>
      <c r="AX244" s="54"/>
      <c r="AY244" s="256"/>
      <c r="AZ244" s="54"/>
      <c r="BA244" s="54"/>
      <c r="BB244" s="256"/>
      <c r="BC244" s="54"/>
      <c r="BD244" s="54"/>
      <c r="BE244" s="256"/>
      <c r="BF244" s="54"/>
      <c r="BG244" s="54"/>
      <c r="BH244" s="256"/>
      <c r="BI244" s="54"/>
      <c r="BJ244" s="54"/>
      <c r="BK244" s="256"/>
      <c r="BL244" s="54"/>
      <c r="BM244" s="54"/>
      <c r="BN244" s="256"/>
      <c r="BO244" s="54"/>
      <c r="BP244" s="54"/>
      <c r="BQ244" s="256"/>
      <c r="BR244" s="54"/>
      <c r="BS244" s="211"/>
      <c r="BT244" s="256"/>
      <c r="BU244" s="54"/>
      <c r="BV244" s="211"/>
      <c r="BW244" s="256"/>
      <c r="BX244" s="54"/>
      <c r="BY244" s="211"/>
      <c r="BZ244" s="256"/>
      <c r="CA244" s="54"/>
      <c r="CB244" s="211"/>
      <c r="CC244" s="256"/>
      <c r="CD244" s="54"/>
      <c r="CE244" s="211"/>
      <c r="CF244" s="256"/>
      <c r="CG244" s="54"/>
      <c r="CH244" s="54"/>
      <c r="CI244" s="1684">
        <f t="shared" si="29"/>
        <v>0</v>
      </c>
      <c r="CJ244" s="54"/>
      <c r="CK244" s="54"/>
      <c r="CL244" s="256"/>
      <c r="CM244" s="54"/>
      <c r="CN244" s="211"/>
      <c r="CO244" s="256"/>
      <c r="CP244" s="54"/>
      <c r="CQ244" s="54"/>
      <c r="CR244" s="256"/>
      <c r="CS244" s="54"/>
      <c r="CT244" s="54"/>
      <c r="CU244" s="256"/>
      <c r="CV244" s="54"/>
      <c r="CW244" s="54"/>
      <c r="CX244" s="256"/>
      <c r="CY244" s="54"/>
      <c r="CZ244" s="54"/>
    </row>
    <row r="245" spans="1:104" ht="13.5">
      <c r="A245" s="260">
        <f t="shared" si="32"/>
        <v>238</v>
      </c>
      <c r="B245" s="254"/>
      <c r="C245" s="295" t="s">
        <v>49</v>
      </c>
      <c r="D245" s="266"/>
      <c r="E245" s="265"/>
      <c r="F245" s="264"/>
      <c r="G245" s="361"/>
      <c r="H245" s="29"/>
      <c r="I245" s="265"/>
      <c r="J245" s="29"/>
      <c r="K245" s="54"/>
      <c r="M245" s="1624"/>
      <c r="N245" s="1113"/>
      <c r="O245" s="1113"/>
      <c r="Q245" s="54"/>
      <c r="R245" s="256"/>
      <c r="S245" s="54"/>
      <c r="T245" s="1694"/>
      <c r="U245" s="256"/>
      <c r="V245" s="54"/>
      <c r="W245" s="1694"/>
      <c r="X245" s="256"/>
      <c r="Y245" s="54"/>
      <c r="Z245" s="1694"/>
      <c r="AA245" s="256"/>
      <c r="AB245" s="54"/>
      <c r="AC245" s="1694"/>
      <c r="AD245" s="256"/>
      <c r="AE245" s="54"/>
      <c r="AF245" s="1694"/>
      <c r="AG245" s="256"/>
      <c r="AH245" s="54"/>
      <c r="AI245" s="1694"/>
      <c r="AJ245" s="256"/>
      <c r="AK245" s="54"/>
      <c r="AL245" s="1694"/>
      <c r="AM245" s="256"/>
      <c r="AN245" s="54"/>
      <c r="AO245" s="1694"/>
      <c r="AP245" s="256"/>
      <c r="AQ245" s="54"/>
      <c r="AR245" s="1694"/>
      <c r="AS245" s="256"/>
      <c r="AT245" s="54"/>
      <c r="AU245" s="54"/>
      <c r="AV245" s="256"/>
      <c r="AW245" s="54"/>
      <c r="AX245" s="54"/>
      <c r="AY245" s="256"/>
      <c r="AZ245" s="54"/>
      <c r="BA245" s="54"/>
      <c r="BB245" s="256"/>
      <c r="BC245" s="54"/>
      <c r="BD245" s="54"/>
      <c r="BE245" s="256"/>
      <c r="BF245" s="54"/>
      <c r="BG245" s="54"/>
      <c r="BH245" s="256"/>
      <c r="BI245" s="54"/>
      <c r="BJ245" s="54"/>
      <c r="BK245" s="256"/>
      <c r="BL245" s="54"/>
      <c r="BM245" s="54"/>
      <c r="BN245" s="256"/>
      <c r="BO245" s="54"/>
      <c r="BP245" s="54"/>
      <c r="BQ245" s="256"/>
      <c r="BR245" s="54"/>
      <c r="BS245" s="54"/>
      <c r="BT245" s="256"/>
      <c r="BU245" s="54"/>
      <c r="BV245" s="54"/>
      <c r="BW245" s="256"/>
      <c r="BX245" s="54"/>
      <c r="BY245" s="54"/>
      <c r="BZ245" s="256"/>
      <c r="CA245" s="54"/>
      <c r="CB245" s="54"/>
      <c r="CC245" s="256"/>
      <c r="CD245" s="54"/>
      <c r="CE245" s="54"/>
      <c r="CF245" s="256"/>
      <c r="CG245" s="54"/>
      <c r="CH245" s="54"/>
      <c r="CI245" s="1684">
        <f t="shared" si="29"/>
        <v>0</v>
      </c>
      <c r="CJ245" s="54"/>
      <c r="CK245" s="54"/>
      <c r="CL245" s="256"/>
      <c r="CM245" s="54"/>
      <c r="CN245" s="54"/>
      <c r="CO245" s="256"/>
      <c r="CP245" s="54"/>
      <c r="CQ245" s="54"/>
      <c r="CR245" s="256"/>
      <c r="CS245" s="54"/>
      <c r="CT245" s="54"/>
      <c r="CU245" s="256"/>
      <c r="CV245" s="54"/>
      <c r="CW245" s="54"/>
      <c r="CX245" s="256"/>
      <c r="CY245" s="54"/>
      <c r="CZ245" s="54"/>
    </row>
    <row r="246" spans="1:104">
      <c r="A246" s="260">
        <f t="shared" si="32"/>
        <v>239</v>
      </c>
      <c r="B246" s="495">
        <f>'Stmt H'!B154</f>
        <v>920</v>
      </c>
      <c r="C246" s="294" t="str">
        <f>'Stmt H'!D154</f>
        <v>Administrative &amp; General Salaries</v>
      </c>
      <c r="D246" s="286"/>
      <c r="E246" s="289" t="s">
        <v>276</v>
      </c>
      <c r="F246" s="285"/>
      <c r="G246" s="353">
        <f>'Stmt H'!F154</f>
        <v>11029387.559999999</v>
      </c>
      <c r="H246" s="311"/>
      <c r="I246" s="583" t="s">
        <v>276</v>
      </c>
      <c r="J246" s="311"/>
      <c r="K246" s="353">
        <f>'Stmt H'!U154</f>
        <v>12443583.055497548</v>
      </c>
      <c r="M246" s="1624">
        <f t="shared" ref="M246:M256" si="33">IF(ISERROR(O246/K246),0,O246/K246)</f>
        <v>0.87194347602411748</v>
      </c>
      <c r="N246" s="1566">
        <f t="shared" ref="N246:N256" si="34">M246*G246</f>
        <v>9617002.5274835583</v>
      </c>
      <c r="O246" s="1566">
        <v>10850101.06360534</v>
      </c>
      <c r="Q246" s="816">
        <v>13348166.643355893</v>
      </c>
      <c r="R246" s="256"/>
      <c r="S246" s="816">
        <v>13348166.643355893</v>
      </c>
      <c r="T246" s="1691">
        <v>11629433.456339849</v>
      </c>
      <c r="U246" s="256"/>
      <c r="V246" s="816">
        <v>13348166.643355893</v>
      </c>
      <c r="W246" s="1691">
        <v>11629433.456339849</v>
      </c>
      <c r="X246" s="256"/>
      <c r="Y246" s="816">
        <v>13348166.643355893</v>
      </c>
      <c r="Z246" s="1691">
        <v>11629545.229366479</v>
      </c>
      <c r="AA246" s="256"/>
      <c r="AB246" s="816">
        <v>13348166.643355893</v>
      </c>
      <c r="AC246" s="1691">
        <v>11628603.359720118</v>
      </c>
      <c r="AD246" s="256"/>
      <c r="AE246" s="816">
        <v>13348166.643355893</v>
      </c>
      <c r="AF246" s="1691">
        <v>11628603.359720118</v>
      </c>
      <c r="AG246" s="256"/>
      <c r="AH246" s="816">
        <v>13348166.643355893</v>
      </c>
      <c r="AI246" s="1691">
        <v>11628603.359720118</v>
      </c>
      <c r="AJ246" s="256"/>
      <c r="AK246" s="816">
        <v>13348166.643355893</v>
      </c>
      <c r="AL246" s="1691">
        <v>11628473.468816597</v>
      </c>
      <c r="AM246" s="256"/>
      <c r="AN246" s="816">
        <v>13344850.305931257</v>
      </c>
      <c r="AO246" s="1691">
        <v>11625658.76180614</v>
      </c>
      <c r="AP246" s="256"/>
      <c r="AQ246" s="816">
        <v>12971601.628119592</v>
      </c>
      <c r="AR246" s="1691">
        <v>11300494.997353487</v>
      </c>
      <c r="AS246" s="256"/>
      <c r="AT246" s="816">
        <v>12971601.628119592</v>
      </c>
      <c r="AU246" s="816">
        <v>11300494.997353487</v>
      </c>
      <c r="AV246" s="256"/>
      <c r="AW246" s="816">
        <v>12971601.628119592</v>
      </c>
      <c r="AX246" s="816">
        <v>11300494.997353487</v>
      </c>
      <c r="AY246" s="256"/>
      <c r="AZ246" s="816">
        <v>12971601.628119592</v>
      </c>
      <c r="BA246" s="816">
        <v>11300494.997353487</v>
      </c>
      <c r="BB246" s="256"/>
      <c r="BC246" s="816">
        <v>12971601.628119592</v>
      </c>
      <c r="BD246" s="816">
        <v>11300494.997353487</v>
      </c>
      <c r="BE246" s="256"/>
      <c r="BF246" s="816">
        <v>12698848.199364716</v>
      </c>
      <c r="BG246" s="816">
        <v>11062879.871209476</v>
      </c>
      <c r="BH246" s="256"/>
      <c r="BI246" s="816">
        <v>12432654.699364716</v>
      </c>
      <c r="BJ246" s="816">
        <v>10830979.570744107</v>
      </c>
      <c r="BK246" s="256"/>
      <c r="BL246" s="816">
        <v>12207654.699364716</v>
      </c>
      <c r="BM246" s="816">
        <v>10634965.890452482</v>
      </c>
      <c r="BN246" s="256"/>
      <c r="BO246" s="816">
        <v>11941461.199364716</v>
      </c>
      <c r="BP246" s="816">
        <v>10403065.589987114</v>
      </c>
      <c r="BQ246" s="256"/>
      <c r="BR246" s="816">
        <v>12207654.699364716</v>
      </c>
      <c r="BS246" s="816">
        <v>10634965.890452482</v>
      </c>
      <c r="BT246" s="256"/>
      <c r="BU246" s="816">
        <v>12207654.699364716</v>
      </c>
      <c r="BV246" s="816">
        <v>10634965.890452482</v>
      </c>
      <c r="BW246" s="256"/>
      <c r="BX246" s="816">
        <v>12207654.699364716</v>
      </c>
      <c r="BY246" s="816">
        <v>10634965.890452482</v>
      </c>
      <c r="BZ246" s="256"/>
      <c r="CA246" s="816">
        <v>12207654.699364716</v>
      </c>
      <c r="CB246" s="816">
        <v>10642278.653885555</v>
      </c>
      <c r="CC246" s="256"/>
      <c r="CD246" s="816">
        <v>12207654.699364716</v>
      </c>
      <c r="CE246" s="816">
        <v>10642278.653885555</v>
      </c>
      <c r="CF246" s="256"/>
      <c r="CG246" s="816">
        <v>12174360.588470444</v>
      </c>
      <c r="CH246" s="816">
        <v>10613253.81542181</v>
      </c>
      <c r="CI246" s="1684">
        <f>CH246-CE246</f>
        <v>-29024.838463744149</v>
      </c>
      <c r="CJ246" s="816">
        <v>12174360.588470444</v>
      </c>
      <c r="CK246" s="816">
        <v>10613253.81542181</v>
      </c>
      <c r="CL246" s="256"/>
      <c r="CM246" s="816">
        <v>12160297.037091089</v>
      </c>
      <c r="CN246" s="816">
        <v>10601880.51645042</v>
      </c>
      <c r="CO246" s="256"/>
      <c r="CP246" s="353">
        <v>12456509.732094549</v>
      </c>
      <c r="CQ246" s="816">
        <v>10860131.740931503</v>
      </c>
      <c r="CR246" s="256"/>
      <c r="CS246" s="353">
        <v>12443583.055497548</v>
      </c>
      <c r="CT246" s="816">
        <v>10850101.06360534</v>
      </c>
      <c r="CU246" s="256"/>
      <c r="CV246" s="816">
        <v>12443583.055497548</v>
      </c>
      <c r="CW246" s="816">
        <v>10850101.06360534</v>
      </c>
      <c r="CX246" s="256"/>
      <c r="CY246" s="816"/>
      <c r="CZ246" s="816"/>
    </row>
    <row r="247" spans="1:104">
      <c r="A247" s="260">
        <f t="shared" si="32"/>
        <v>240</v>
      </c>
      <c r="B247" s="495">
        <f>'Stmt H'!B155</f>
        <v>921</v>
      </c>
      <c r="C247" s="294" t="s">
        <v>464</v>
      </c>
      <c r="D247" s="286"/>
      <c r="E247" s="289" t="s">
        <v>276</v>
      </c>
      <c r="F247" s="285"/>
      <c r="G247" s="207">
        <f>'Stmt H'!F155</f>
        <v>3723829.26</v>
      </c>
      <c r="H247" s="29"/>
      <c r="I247" s="635" t="s">
        <v>276</v>
      </c>
      <c r="J247" s="29"/>
      <c r="K247" s="1245">
        <f>'Stmt H'!U155</f>
        <v>4275928.9665266424</v>
      </c>
      <c r="M247" s="1624">
        <f t="shared" si="33"/>
        <v>0.87194347602411748</v>
      </c>
      <c r="N247" s="1625">
        <f t="shared" si="34"/>
        <v>3246968.629084717</v>
      </c>
      <c r="O247" s="1625">
        <v>3728368.3663054528</v>
      </c>
      <c r="Q247" s="1715">
        <v>4316379.6667028219</v>
      </c>
      <c r="R247" s="256"/>
      <c r="S247" s="1715">
        <v>4316379.6667028219</v>
      </c>
      <c r="T247" s="1716">
        <v>3760595.1024895729</v>
      </c>
      <c r="U247" s="256"/>
      <c r="V247" s="1715">
        <v>4316379.6667028219</v>
      </c>
      <c r="W247" s="1716">
        <v>3760595.1024895729</v>
      </c>
      <c r="X247" s="256"/>
      <c r="Y247" s="1715">
        <v>4316379.6667028219</v>
      </c>
      <c r="Z247" s="1716">
        <v>3760631.2463910026</v>
      </c>
      <c r="AA247" s="256"/>
      <c r="AB247" s="1715">
        <v>4316379.6667028219</v>
      </c>
      <c r="AC247" s="1716">
        <v>3760326.6752016493</v>
      </c>
      <c r="AD247" s="256"/>
      <c r="AE247" s="1715">
        <v>4284865.6667028219</v>
      </c>
      <c r="AF247" s="1716">
        <v>3732872.4325277596</v>
      </c>
      <c r="AG247" s="256"/>
      <c r="AH247" s="1715">
        <v>4284865.6667028219</v>
      </c>
      <c r="AI247" s="1716">
        <v>3732872.4325277605</v>
      </c>
      <c r="AJ247" s="256"/>
      <c r="AK247" s="1715">
        <v>4284865.6667028219</v>
      </c>
      <c r="AL247" s="1716">
        <v>3732830.7365340116</v>
      </c>
      <c r="AM247" s="256"/>
      <c r="AN247" s="1715">
        <v>4284865.5179155804</v>
      </c>
      <c r="AO247" s="1716">
        <v>3732854.4876502473</v>
      </c>
      <c r="AP247" s="256"/>
      <c r="AQ247" s="1715">
        <v>4284865.5179155804</v>
      </c>
      <c r="AR247" s="1716">
        <v>3732854.4876502478</v>
      </c>
      <c r="AS247" s="256"/>
      <c r="AT247" s="1715">
        <v>4284865.5179155804</v>
      </c>
      <c r="AU247" s="1715">
        <v>3732854.4876502478</v>
      </c>
      <c r="AV247" s="256"/>
      <c r="AW247" s="1715">
        <v>4284865.5179155804</v>
      </c>
      <c r="AX247" s="1715">
        <v>3732854.4876502473</v>
      </c>
      <c r="AY247" s="256"/>
      <c r="AZ247" s="1715">
        <v>4284865.5179155804</v>
      </c>
      <c r="BA247" s="1715">
        <v>3732854.4876502478</v>
      </c>
      <c r="BB247" s="256"/>
      <c r="BC247" s="1715">
        <v>4284865.5179155804</v>
      </c>
      <c r="BD247" s="1715">
        <v>3732854.4876502478</v>
      </c>
      <c r="BE247" s="256"/>
      <c r="BF247" s="1715">
        <v>4284865.5179155804</v>
      </c>
      <c r="BG247" s="1715">
        <v>3732854.4876502478</v>
      </c>
      <c r="BH247" s="256"/>
      <c r="BI247" s="1715">
        <v>4284865.5179155804</v>
      </c>
      <c r="BJ247" s="1715">
        <v>3732854.4876502478</v>
      </c>
      <c r="BK247" s="256"/>
      <c r="BL247" s="1715">
        <v>4284865.5179155804</v>
      </c>
      <c r="BM247" s="1715">
        <v>3732854.4876502478</v>
      </c>
      <c r="BN247" s="256"/>
      <c r="BO247" s="1715">
        <v>4284865.5179155804</v>
      </c>
      <c r="BP247" s="1715">
        <v>3732854.4876502478</v>
      </c>
      <c r="BQ247" s="256"/>
      <c r="BR247" s="1715">
        <v>4284865.5179155804</v>
      </c>
      <c r="BS247" s="1715">
        <v>3732854.4876502478</v>
      </c>
      <c r="BT247" s="256"/>
      <c r="BU247" s="1715">
        <v>4284865.5179155804</v>
      </c>
      <c r="BV247" s="1715">
        <v>3732854.4876502478</v>
      </c>
      <c r="BW247" s="256"/>
      <c r="BX247" s="1715">
        <v>4284865.5179155804</v>
      </c>
      <c r="BY247" s="1715">
        <v>3732854.4876502478</v>
      </c>
      <c r="BZ247" s="256"/>
      <c r="CA247" s="1715">
        <v>4284865.5179155804</v>
      </c>
      <c r="CB247" s="1715">
        <v>3735421.2548669409</v>
      </c>
      <c r="CC247" s="256"/>
      <c r="CD247" s="1715">
        <v>4284865.5179155804</v>
      </c>
      <c r="CE247" s="1715">
        <v>3735421.2548669409</v>
      </c>
      <c r="CF247" s="256"/>
      <c r="CG247" s="1715">
        <v>4284865.5179155804</v>
      </c>
      <c r="CH247" s="1715">
        <v>3735421.2548669409</v>
      </c>
      <c r="CI247" s="1684">
        <f t="shared" ref="CI247:CI310" si="35">CH247-CE247</f>
        <v>0</v>
      </c>
      <c r="CJ247" s="1715">
        <v>4284865.5179155804</v>
      </c>
      <c r="CK247" s="1715">
        <v>3735421.2548669409</v>
      </c>
      <c r="CL247" s="256"/>
      <c r="CM247" s="1715">
        <v>4284860.3150066417</v>
      </c>
      <c r="CN247" s="1715">
        <v>3735729.230200402</v>
      </c>
      <c r="CO247" s="256"/>
      <c r="CP247" s="1245">
        <v>4284860.3150066417</v>
      </c>
      <c r="CQ247" s="1715">
        <v>3735729.230200402</v>
      </c>
      <c r="CR247" s="256"/>
      <c r="CS247" s="1245">
        <v>4275928.9665266424</v>
      </c>
      <c r="CT247" s="1715">
        <v>3728368.3663054528</v>
      </c>
      <c r="CU247" s="256"/>
      <c r="CV247" s="1715">
        <v>4275928.9665266424</v>
      </c>
      <c r="CW247" s="1715">
        <v>3728368.3663054528</v>
      </c>
      <c r="CX247" s="256"/>
      <c r="CY247" s="1715"/>
      <c r="CZ247" s="1715"/>
    </row>
    <row r="248" spans="1:104">
      <c r="A248" s="260">
        <f t="shared" si="32"/>
        <v>241</v>
      </c>
      <c r="B248" s="495">
        <f>'Stmt H'!B156</f>
        <v>922</v>
      </c>
      <c r="C248" s="294" t="s">
        <v>181</v>
      </c>
      <c r="D248" s="286"/>
      <c r="E248" s="289" t="s">
        <v>276</v>
      </c>
      <c r="F248" s="285"/>
      <c r="G248" s="207">
        <f>'Stmt H'!F156</f>
        <v>-2373972.4499999993</v>
      </c>
      <c r="H248" s="29"/>
      <c r="I248" s="635" t="s">
        <v>276</v>
      </c>
      <c r="J248" s="29"/>
      <c r="K248" s="1245">
        <f>'Stmt H'!U156</f>
        <v>-3248588.9635294112</v>
      </c>
      <c r="M248" s="1624">
        <f t="shared" si="33"/>
        <v>0.87194347602411748</v>
      </c>
      <c r="N248" s="1625">
        <f t="shared" si="34"/>
        <v>-2069969.7900384897</v>
      </c>
      <c r="O248" s="1625">
        <v>-2832585.9530334198</v>
      </c>
      <c r="Q248" s="1715">
        <v>-3248588.9635294112</v>
      </c>
      <c r="R248" s="256"/>
      <c r="S248" s="1715">
        <v>-3248588.9635294112</v>
      </c>
      <c r="T248" s="1716">
        <v>-2830294.9901490868</v>
      </c>
      <c r="U248" s="256"/>
      <c r="V248" s="1715">
        <v>-3248588.9635294112</v>
      </c>
      <c r="W248" s="1716">
        <v>-2830294.9901490868</v>
      </c>
      <c r="X248" s="256"/>
      <c r="Y248" s="1715">
        <v>-3248588.9635294112</v>
      </c>
      <c r="Z248" s="1716">
        <v>-2830322.1927328147</v>
      </c>
      <c r="AA248" s="256"/>
      <c r="AB248" s="1715">
        <v>-3248588.9635294112</v>
      </c>
      <c r="AC248" s="1716">
        <v>-2830092.96669601</v>
      </c>
      <c r="AD248" s="256"/>
      <c r="AE248" s="1715">
        <v>-3248588.9635294112</v>
      </c>
      <c r="AF248" s="1716">
        <v>-2830092.96669601</v>
      </c>
      <c r="AG248" s="256"/>
      <c r="AH248" s="1715">
        <v>-3248588.9635294112</v>
      </c>
      <c r="AI248" s="1716">
        <v>-2830092.9666960109</v>
      </c>
      <c r="AJ248" s="256"/>
      <c r="AK248" s="1715">
        <v>-3248588.9635294112</v>
      </c>
      <c r="AL248" s="1716">
        <v>-2830061.354702625</v>
      </c>
      <c r="AM248" s="256"/>
      <c r="AN248" s="1715">
        <v>-3248588.9635294112</v>
      </c>
      <c r="AO248" s="1716">
        <v>-2830079.4599828888</v>
      </c>
      <c r="AP248" s="256"/>
      <c r="AQ248" s="1715">
        <v>-3248588.9635294112</v>
      </c>
      <c r="AR248" s="1716">
        <v>-2830079.4599828888</v>
      </c>
      <c r="AS248" s="256"/>
      <c r="AT248" s="1715">
        <v>-3248588.9635294112</v>
      </c>
      <c r="AU248" s="1715">
        <v>-2830079.4599828888</v>
      </c>
      <c r="AV248" s="256"/>
      <c r="AW248" s="1715">
        <v>-3248588.9635294112</v>
      </c>
      <c r="AX248" s="1715">
        <v>-2830079.4599828888</v>
      </c>
      <c r="AY248" s="256"/>
      <c r="AZ248" s="1715">
        <v>-3248588.9635294112</v>
      </c>
      <c r="BA248" s="1715">
        <v>-2830079.4599828888</v>
      </c>
      <c r="BB248" s="256"/>
      <c r="BC248" s="1715">
        <v>-3248588.9635294112</v>
      </c>
      <c r="BD248" s="1715">
        <v>-2830079.4599828888</v>
      </c>
      <c r="BE248" s="256"/>
      <c r="BF248" s="1715">
        <v>-3248588.9635294112</v>
      </c>
      <c r="BG248" s="1715">
        <v>-2830079.4599828888</v>
      </c>
      <c r="BH248" s="256"/>
      <c r="BI248" s="1715">
        <v>-3248588.9635294112</v>
      </c>
      <c r="BJ248" s="1715">
        <v>-2830079.4599828888</v>
      </c>
      <c r="BK248" s="256"/>
      <c r="BL248" s="1715">
        <v>-3248588.9635294112</v>
      </c>
      <c r="BM248" s="1715">
        <v>-2830079.4599828888</v>
      </c>
      <c r="BN248" s="256"/>
      <c r="BO248" s="1715">
        <v>-3248588.9635294112</v>
      </c>
      <c r="BP248" s="1715">
        <v>-2830079.4599828888</v>
      </c>
      <c r="BQ248" s="256"/>
      <c r="BR248" s="1715">
        <v>-3248588.9635294112</v>
      </c>
      <c r="BS248" s="1715">
        <v>-2830079.4599828888</v>
      </c>
      <c r="BT248" s="256"/>
      <c r="BU248" s="1715">
        <v>-3248588.9635294112</v>
      </c>
      <c r="BV248" s="1715">
        <v>-2830079.4599828888</v>
      </c>
      <c r="BW248" s="256"/>
      <c r="BX248" s="1715">
        <v>-3248588.9635294112</v>
      </c>
      <c r="BY248" s="1715">
        <v>-2830079.4599828888</v>
      </c>
      <c r="BZ248" s="256"/>
      <c r="CA248" s="1715">
        <v>-3248588.9635294112</v>
      </c>
      <c r="CB248" s="1715">
        <v>-2832025.4654332898</v>
      </c>
      <c r="CC248" s="256"/>
      <c r="CD248" s="1715">
        <v>-3248588.9635294112</v>
      </c>
      <c r="CE248" s="1715">
        <v>-2832025.4654332898</v>
      </c>
      <c r="CF248" s="256"/>
      <c r="CG248" s="1715">
        <v>-3248588.9635294112</v>
      </c>
      <c r="CH248" s="1715">
        <v>-2832025.4654332898</v>
      </c>
      <c r="CI248" s="1684">
        <f t="shared" si="35"/>
        <v>0</v>
      </c>
      <c r="CJ248" s="1715">
        <v>-3248588.9635294112</v>
      </c>
      <c r="CK248" s="1715">
        <v>-2832025.4654332898</v>
      </c>
      <c r="CL248" s="256"/>
      <c r="CM248" s="1715">
        <v>-3248588.9635294112</v>
      </c>
      <c r="CN248" s="1715">
        <v>-2832262.3973202822</v>
      </c>
      <c r="CO248" s="256"/>
      <c r="CP248" s="1245">
        <v>-3248588.9635294112</v>
      </c>
      <c r="CQ248" s="1715">
        <v>-2832262.3973202822</v>
      </c>
      <c r="CR248" s="256"/>
      <c r="CS248" s="1245">
        <v>-3248588.9635294112</v>
      </c>
      <c r="CT248" s="1715">
        <v>-2832585.9530334198</v>
      </c>
      <c r="CU248" s="256"/>
      <c r="CV248" s="1715">
        <v>-3248588.9635294112</v>
      </c>
      <c r="CW248" s="1715">
        <v>-2832585.9530334198</v>
      </c>
      <c r="CX248" s="256"/>
      <c r="CY248" s="1715"/>
      <c r="CZ248" s="1715"/>
    </row>
    <row r="249" spans="1:104">
      <c r="A249" s="260">
        <f t="shared" si="32"/>
        <v>242</v>
      </c>
      <c r="B249" s="495">
        <f>'Stmt H'!B157</f>
        <v>923</v>
      </c>
      <c r="C249" s="294" t="s">
        <v>222</v>
      </c>
      <c r="D249" s="286"/>
      <c r="E249" s="289" t="s">
        <v>276</v>
      </c>
      <c r="F249" s="285"/>
      <c r="G249" s="207">
        <f>'Stmt H'!F157</f>
        <v>3281236.84</v>
      </c>
      <c r="H249" s="29"/>
      <c r="I249" s="635" t="s">
        <v>276</v>
      </c>
      <c r="J249" s="29"/>
      <c r="K249" s="1245">
        <f>'Stmt H'!U157</f>
        <v>3019470.8495949991</v>
      </c>
      <c r="M249" s="1624">
        <f t="shared" si="33"/>
        <v>0.87194347602411737</v>
      </c>
      <c r="N249" s="1625">
        <f t="shared" si="34"/>
        <v>2861053.0559279905</v>
      </c>
      <c r="O249" s="1625">
        <v>2632807.9083493585</v>
      </c>
      <c r="Q249" s="1715">
        <v>3033050.5322919991</v>
      </c>
      <c r="R249" s="256"/>
      <c r="S249" s="1715">
        <v>3033050.5322919991</v>
      </c>
      <c r="T249" s="1716">
        <v>2642509.6627455638</v>
      </c>
      <c r="U249" s="256"/>
      <c r="V249" s="1715">
        <v>3033050.5322919991</v>
      </c>
      <c r="W249" s="1716">
        <v>2642509.6627455638</v>
      </c>
      <c r="X249" s="256"/>
      <c r="Y249" s="1715">
        <v>3033050.5322919991</v>
      </c>
      <c r="Z249" s="1716">
        <v>2642535.0604834687</v>
      </c>
      <c r="AA249" s="256"/>
      <c r="AB249" s="1715">
        <v>3033050.5322919991</v>
      </c>
      <c r="AC249" s="1716">
        <v>2642321.0432098922</v>
      </c>
      <c r="AD249" s="256"/>
      <c r="AE249" s="1715">
        <v>3033050.5322919991</v>
      </c>
      <c r="AF249" s="1716">
        <v>2642321.0432098922</v>
      </c>
      <c r="AG249" s="256"/>
      <c r="AH249" s="1715">
        <v>3033050.5322919991</v>
      </c>
      <c r="AI249" s="1716">
        <v>2642321.0432098927</v>
      </c>
      <c r="AJ249" s="256"/>
      <c r="AK249" s="1715">
        <v>3033050.5322919991</v>
      </c>
      <c r="AL249" s="1716">
        <v>2642291.528619268</v>
      </c>
      <c r="AM249" s="256"/>
      <c r="AN249" s="1715">
        <v>3033050.5322919991</v>
      </c>
      <c r="AO249" s="1716">
        <v>2642308.4326445418</v>
      </c>
      <c r="AP249" s="256"/>
      <c r="AQ249" s="1715">
        <v>3033050.5322919991</v>
      </c>
      <c r="AR249" s="1716">
        <v>2642308.4326445418</v>
      </c>
      <c r="AS249" s="256"/>
      <c r="AT249" s="1715">
        <v>3033050.5322919991</v>
      </c>
      <c r="AU249" s="1715">
        <v>2642308.4326445418</v>
      </c>
      <c r="AV249" s="256"/>
      <c r="AW249" s="1715">
        <v>3033050.5322919991</v>
      </c>
      <c r="AX249" s="1715">
        <v>2642308.4326445418</v>
      </c>
      <c r="AY249" s="256"/>
      <c r="AZ249" s="1715">
        <v>3033050.5322919991</v>
      </c>
      <c r="BA249" s="1715">
        <v>2642308.4326445418</v>
      </c>
      <c r="BB249" s="256"/>
      <c r="BC249" s="1715">
        <v>3033050.5322919991</v>
      </c>
      <c r="BD249" s="1715">
        <v>2642308.4326445418</v>
      </c>
      <c r="BE249" s="256"/>
      <c r="BF249" s="1715">
        <v>3033050.5322919991</v>
      </c>
      <c r="BG249" s="1715">
        <v>2642308.4326445418</v>
      </c>
      <c r="BH249" s="256"/>
      <c r="BI249" s="1715">
        <v>3033050.5322919991</v>
      </c>
      <c r="BJ249" s="1715">
        <v>2642308.4326445418</v>
      </c>
      <c r="BK249" s="256"/>
      <c r="BL249" s="1715">
        <v>3033050.5322919991</v>
      </c>
      <c r="BM249" s="1715">
        <v>2642308.4326445418</v>
      </c>
      <c r="BN249" s="256"/>
      <c r="BO249" s="1715">
        <v>3033050.5322919991</v>
      </c>
      <c r="BP249" s="1715">
        <v>2642308.4326445418</v>
      </c>
      <c r="BQ249" s="256"/>
      <c r="BR249" s="1715">
        <v>3033050.5322919991</v>
      </c>
      <c r="BS249" s="1715">
        <v>2642308.4326445418</v>
      </c>
      <c r="BT249" s="256"/>
      <c r="BU249" s="1715">
        <v>3033050.5322919991</v>
      </c>
      <c r="BV249" s="1715">
        <v>2642308.4326445418</v>
      </c>
      <c r="BW249" s="256"/>
      <c r="BX249" s="1715">
        <v>3033050.5322919991</v>
      </c>
      <c r="BY249" s="1715">
        <v>2642308.4326445418</v>
      </c>
      <c r="BZ249" s="256"/>
      <c r="CA249" s="1715">
        <v>3033050.5322919991</v>
      </c>
      <c r="CB249" s="1715">
        <v>2644125.3238959266</v>
      </c>
      <c r="CC249" s="256"/>
      <c r="CD249" s="1715">
        <v>3033050.5322919991</v>
      </c>
      <c r="CE249" s="1715">
        <v>2644125.3238959266</v>
      </c>
      <c r="CF249" s="256"/>
      <c r="CG249" s="1715">
        <v>3033050.5322919991</v>
      </c>
      <c r="CH249" s="1715">
        <v>2644125.3238959266</v>
      </c>
      <c r="CI249" s="1684">
        <f t="shared" si="35"/>
        <v>0</v>
      </c>
      <c r="CJ249" s="1715">
        <v>3033050.5322919991</v>
      </c>
      <c r="CK249" s="1715">
        <v>2644125.3238959266</v>
      </c>
      <c r="CL249" s="256"/>
      <c r="CM249" s="1715">
        <v>3033050.5322919991</v>
      </c>
      <c r="CN249" s="1715">
        <v>2644346.5357494499</v>
      </c>
      <c r="CO249" s="256"/>
      <c r="CP249" s="1245">
        <v>3033050.5322919991</v>
      </c>
      <c r="CQ249" s="1715">
        <v>2644346.5357494499</v>
      </c>
      <c r="CR249" s="256"/>
      <c r="CS249" s="1245">
        <v>3019470.8495949991</v>
      </c>
      <c r="CT249" s="1715">
        <v>2632807.9083493585</v>
      </c>
      <c r="CU249" s="256"/>
      <c r="CV249" s="1715">
        <v>3019470.8495949991</v>
      </c>
      <c r="CW249" s="1715">
        <v>2632807.9083493585</v>
      </c>
      <c r="CX249" s="256"/>
      <c r="CY249" s="1715"/>
      <c r="CZ249" s="1715"/>
    </row>
    <row r="250" spans="1:104">
      <c r="A250" s="260">
        <f t="shared" si="32"/>
        <v>243</v>
      </c>
      <c r="B250" s="495">
        <f>'Stmt H'!B158</f>
        <v>924</v>
      </c>
      <c r="C250" s="294" t="s">
        <v>157</v>
      </c>
      <c r="D250" s="286"/>
      <c r="E250" s="289" t="s">
        <v>276</v>
      </c>
      <c r="F250" s="285"/>
      <c r="G250" s="207">
        <f>'Stmt H'!F158</f>
        <v>31740.009999999995</v>
      </c>
      <c r="H250" s="29"/>
      <c r="I250" s="635" t="s">
        <v>276</v>
      </c>
      <c r="J250" s="29"/>
      <c r="K250" s="1245">
        <f>'Stmt H'!U158</f>
        <v>31815.740631999994</v>
      </c>
      <c r="M250" s="1624">
        <f t="shared" si="33"/>
        <v>0.86405857965908184</v>
      </c>
      <c r="N250" s="1625">
        <f t="shared" si="34"/>
        <v>27425.22795896505</v>
      </c>
      <c r="O250" s="1625">
        <v>27490.663661287654</v>
      </c>
      <c r="Q250" s="1715">
        <v>31814.862921999993</v>
      </c>
      <c r="R250" s="256"/>
      <c r="S250" s="1715">
        <v>31814.862921999993</v>
      </c>
      <c r="T250" s="1716">
        <v>27456.741420203747</v>
      </c>
      <c r="U250" s="256"/>
      <c r="V250" s="1715">
        <v>31814.862921999993</v>
      </c>
      <c r="W250" s="1716">
        <v>27456.741420203747</v>
      </c>
      <c r="X250" s="256"/>
      <c r="Y250" s="1715">
        <v>31814.862921999993</v>
      </c>
      <c r="Z250" s="1716">
        <v>27456.783866836042</v>
      </c>
      <c r="AA250" s="256"/>
      <c r="AB250" s="1715">
        <v>31814.862921999993</v>
      </c>
      <c r="AC250" s="1716">
        <v>27456.426184882188</v>
      </c>
      <c r="AD250" s="256"/>
      <c r="AE250" s="1715">
        <v>31814.862921999993</v>
      </c>
      <c r="AF250" s="1716">
        <v>27456.426184882188</v>
      </c>
      <c r="AG250" s="256"/>
      <c r="AH250" s="1715">
        <v>31814.862921999993</v>
      </c>
      <c r="AI250" s="1716">
        <v>27456.426184882192</v>
      </c>
      <c r="AJ250" s="256"/>
      <c r="AK250" s="1715">
        <v>31814.862921999993</v>
      </c>
      <c r="AL250" s="1716">
        <v>27456.376857852345</v>
      </c>
      <c r="AM250" s="256"/>
      <c r="AN250" s="1715">
        <v>31814.862921999993</v>
      </c>
      <c r="AO250" s="1716">
        <v>27456.40510914574</v>
      </c>
      <c r="AP250" s="256"/>
      <c r="AQ250" s="1715">
        <v>31814.862921999993</v>
      </c>
      <c r="AR250" s="1716">
        <v>27456.40510914574</v>
      </c>
      <c r="AS250" s="256"/>
      <c r="AT250" s="1715">
        <v>31814.862921999993</v>
      </c>
      <c r="AU250" s="1715">
        <v>27456.40510914574</v>
      </c>
      <c r="AV250" s="256"/>
      <c r="AW250" s="1715">
        <v>31814.862921999993</v>
      </c>
      <c r="AX250" s="1715">
        <v>27456.40510914574</v>
      </c>
      <c r="AY250" s="256"/>
      <c r="AZ250" s="1715">
        <v>31814.862921999993</v>
      </c>
      <c r="BA250" s="1715">
        <v>27456.40510914574</v>
      </c>
      <c r="BB250" s="256"/>
      <c r="BC250" s="1715">
        <v>31814.862921999993</v>
      </c>
      <c r="BD250" s="1715">
        <v>27456.40510914574</v>
      </c>
      <c r="BE250" s="256"/>
      <c r="BF250" s="1715">
        <v>31814.862921999993</v>
      </c>
      <c r="BG250" s="1715">
        <v>27456.40510914574</v>
      </c>
      <c r="BH250" s="256"/>
      <c r="BI250" s="1715">
        <v>31814.862921999993</v>
      </c>
      <c r="BJ250" s="1715">
        <v>27456.40510914574</v>
      </c>
      <c r="BK250" s="256"/>
      <c r="BL250" s="1715">
        <v>31814.862921999993</v>
      </c>
      <c r="BM250" s="1715">
        <v>27456.40510914574</v>
      </c>
      <c r="BN250" s="256"/>
      <c r="BO250" s="1715">
        <v>31814.862921999993</v>
      </c>
      <c r="BP250" s="1715">
        <v>27456.317322422459</v>
      </c>
      <c r="BQ250" s="256"/>
      <c r="BR250" s="1715">
        <v>31814.862921999993</v>
      </c>
      <c r="BS250" s="1715">
        <v>27456.317322422459</v>
      </c>
      <c r="BT250" s="256"/>
      <c r="BU250" s="1715">
        <v>31814.862921999993</v>
      </c>
      <c r="BV250" s="1715">
        <v>27456.317322422459</v>
      </c>
      <c r="BW250" s="256"/>
      <c r="BX250" s="1715">
        <v>31814.862921999993</v>
      </c>
      <c r="BY250" s="1715">
        <v>27456.317322422459</v>
      </c>
      <c r="BZ250" s="256"/>
      <c r="CA250" s="1715">
        <v>31814.862921999993</v>
      </c>
      <c r="CB250" s="1715">
        <v>27489.0241377282</v>
      </c>
      <c r="CC250" s="256"/>
      <c r="CD250" s="1715">
        <v>31814.862921999993</v>
      </c>
      <c r="CE250" s="1715">
        <v>27489.0241377282</v>
      </c>
      <c r="CF250" s="256"/>
      <c r="CG250" s="1715">
        <v>31814.862921999993</v>
      </c>
      <c r="CH250" s="1715">
        <v>27489.0241377282</v>
      </c>
      <c r="CI250" s="1684">
        <f t="shared" si="35"/>
        <v>0</v>
      </c>
      <c r="CJ250" s="1715">
        <v>31814.862921999993</v>
      </c>
      <c r="CK250" s="1715">
        <v>27489.0241377282</v>
      </c>
      <c r="CL250" s="256"/>
      <c r="CM250" s="1715">
        <v>31814.862921999993</v>
      </c>
      <c r="CN250" s="1715">
        <v>27489.396613337325</v>
      </c>
      <c r="CO250" s="256"/>
      <c r="CP250" s="1245">
        <v>31814.862921999993</v>
      </c>
      <c r="CQ250" s="1715">
        <v>27489.396613337325</v>
      </c>
      <c r="CR250" s="256"/>
      <c r="CS250" s="1245">
        <v>31815.740631999994</v>
      </c>
      <c r="CT250" s="1715">
        <v>27490.663661287654</v>
      </c>
      <c r="CU250" s="256"/>
      <c r="CV250" s="1715">
        <v>31815.740631999994</v>
      </c>
      <c r="CW250" s="1715">
        <v>27490.663661287654</v>
      </c>
      <c r="CX250" s="256"/>
      <c r="CY250" s="1715"/>
      <c r="CZ250" s="1715"/>
    </row>
    <row r="251" spans="1:104">
      <c r="A251" s="260">
        <f t="shared" si="32"/>
        <v>244</v>
      </c>
      <c r="B251" s="495">
        <f>'Stmt H'!B159</f>
        <v>925</v>
      </c>
      <c r="C251" s="294" t="s">
        <v>158</v>
      </c>
      <c r="D251" s="286"/>
      <c r="E251" s="289" t="s">
        <v>276</v>
      </c>
      <c r="F251" s="285"/>
      <c r="G251" s="207">
        <f>'Stmt H'!F159</f>
        <v>1439451.3399999999</v>
      </c>
      <c r="H251" s="29"/>
      <c r="I251" s="635" t="s">
        <v>276</v>
      </c>
      <c r="J251" s="29"/>
      <c r="K251" s="1245">
        <f>'Stmt H'!U159</f>
        <v>1449686.3842979998</v>
      </c>
      <c r="M251" s="1624">
        <f t="shared" si="33"/>
        <v>0.87194347602411759</v>
      </c>
      <c r="N251" s="1625">
        <f t="shared" si="34"/>
        <v>1255120.2049671737</v>
      </c>
      <c r="O251" s="1625">
        <v>1264044.5850696326</v>
      </c>
      <c r="Q251" s="1715">
        <v>1527652.398396</v>
      </c>
      <c r="R251" s="256"/>
      <c r="S251" s="1715">
        <v>1527652.398396</v>
      </c>
      <c r="T251" s="1716">
        <v>1330949.2146928827</v>
      </c>
      <c r="U251" s="256"/>
      <c r="V251" s="1715">
        <v>1527652.398396</v>
      </c>
      <c r="W251" s="1716">
        <v>1330949.2146928827</v>
      </c>
      <c r="X251" s="256"/>
      <c r="Y251" s="1715">
        <v>1527652.398396</v>
      </c>
      <c r="Z251" s="1716">
        <v>1330962.0067366718</v>
      </c>
      <c r="AA251" s="256"/>
      <c r="AB251" s="1715">
        <v>1527652.398396</v>
      </c>
      <c r="AC251" s="1716">
        <v>1330854.2129502525</v>
      </c>
      <c r="AD251" s="256"/>
      <c r="AE251" s="1715">
        <v>1527652.398396</v>
      </c>
      <c r="AF251" s="1716">
        <v>1330854.2129502525</v>
      </c>
      <c r="AG251" s="256"/>
      <c r="AH251" s="1715">
        <v>1527652.398396</v>
      </c>
      <c r="AI251" s="1716">
        <v>1330854.2129502527</v>
      </c>
      <c r="AJ251" s="256"/>
      <c r="AK251" s="1715">
        <v>1527652.398396</v>
      </c>
      <c r="AL251" s="1716">
        <v>1330839.3473769049</v>
      </c>
      <c r="AM251" s="256"/>
      <c r="AN251" s="1715">
        <v>1527652.398396</v>
      </c>
      <c r="AO251" s="1716">
        <v>1330847.8614041118</v>
      </c>
      <c r="AP251" s="256"/>
      <c r="AQ251" s="1715">
        <v>1527652.398396</v>
      </c>
      <c r="AR251" s="1716">
        <v>1330847.8614041121</v>
      </c>
      <c r="AS251" s="256"/>
      <c r="AT251" s="1715">
        <v>1527652.398396</v>
      </c>
      <c r="AU251" s="1715">
        <v>1330847.8614041121</v>
      </c>
      <c r="AV251" s="256"/>
      <c r="AW251" s="1715">
        <v>1450262.398396</v>
      </c>
      <c r="AX251" s="1715">
        <v>1263427.8671029175</v>
      </c>
      <c r="AY251" s="256"/>
      <c r="AZ251" s="1715">
        <v>1450262.398396</v>
      </c>
      <c r="BA251" s="1715">
        <v>1263427.8671029175</v>
      </c>
      <c r="BB251" s="256"/>
      <c r="BC251" s="1715">
        <v>1450262.398396</v>
      </c>
      <c r="BD251" s="1715">
        <v>1263427.8671029175</v>
      </c>
      <c r="BE251" s="256"/>
      <c r="BF251" s="1715">
        <v>1450262.398396</v>
      </c>
      <c r="BG251" s="1715">
        <v>1263427.8671029175</v>
      </c>
      <c r="BH251" s="256"/>
      <c r="BI251" s="1715">
        <v>1450262.398396</v>
      </c>
      <c r="BJ251" s="1715">
        <v>1263427.8671029175</v>
      </c>
      <c r="BK251" s="256"/>
      <c r="BL251" s="1715">
        <v>1450262.398396</v>
      </c>
      <c r="BM251" s="1715">
        <v>1263427.8671029175</v>
      </c>
      <c r="BN251" s="256"/>
      <c r="BO251" s="1715">
        <v>1450262.398396</v>
      </c>
      <c r="BP251" s="1715">
        <v>1263427.8671029175</v>
      </c>
      <c r="BQ251" s="256"/>
      <c r="BR251" s="1715">
        <v>1450262.398396</v>
      </c>
      <c r="BS251" s="1715">
        <v>1263427.8671029175</v>
      </c>
      <c r="BT251" s="256"/>
      <c r="BU251" s="1715">
        <v>1450262.398396</v>
      </c>
      <c r="BV251" s="1715">
        <v>1263427.8671029175</v>
      </c>
      <c r="BW251" s="256"/>
      <c r="BX251" s="1715">
        <v>1450262.398396</v>
      </c>
      <c r="BY251" s="1715">
        <v>1263427.8671029175</v>
      </c>
      <c r="BZ251" s="256"/>
      <c r="CA251" s="1715">
        <v>1450262.398396</v>
      </c>
      <c r="CB251" s="1715">
        <v>1264296.6192175967</v>
      </c>
      <c r="CC251" s="256"/>
      <c r="CD251" s="1715">
        <v>1450262.398396</v>
      </c>
      <c r="CE251" s="1715">
        <v>1264296.6192175967</v>
      </c>
      <c r="CF251" s="256"/>
      <c r="CG251" s="1715">
        <v>1450262.398396</v>
      </c>
      <c r="CH251" s="1715">
        <v>1264296.6192175967</v>
      </c>
      <c r="CI251" s="1684">
        <f t="shared" si="35"/>
        <v>0</v>
      </c>
      <c r="CJ251" s="1715">
        <v>1450262.398396</v>
      </c>
      <c r="CK251" s="1715">
        <v>1264296.6192175967</v>
      </c>
      <c r="CL251" s="256"/>
      <c r="CM251" s="1715">
        <v>1450262.398396</v>
      </c>
      <c r="CN251" s="1715">
        <v>1264402.3923426499</v>
      </c>
      <c r="CO251" s="256"/>
      <c r="CP251" s="1245">
        <v>1450262.398396</v>
      </c>
      <c r="CQ251" s="1715">
        <v>1264402.3923426499</v>
      </c>
      <c r="CR251" s="256"/>
      <c r="CS251" s="1245">
        <v>1449686.3842979998</v>
      </c>
      <c r="CT251" s="1715">
        <v>1264044.5850696326</v>
      </c>
      <c r="CU251" s="256"/>
      <c r="CV251" s="1715">
        <v>1449686.3842979998</v>
      </c>
      <c r="CW251" s="1715">
        <v>1264044.5850696326</v>
      </c>
      <c r="CX251" s="256"/>
      <c r="CY251" s="1715"/>
      <c r="CZ251" s="1715"/>
    </row>
    <row r="252" spans="1:104">
      <c r="A252" s="260">
        <f t="shared" si="32"/>
        <v>245</v>
      </c>
      <c r="B252" s="495">
        <f>'Stmt H'!B160</f>
        <v>926</v>
      </c>
      <c r="C252" s="294" t="s">
        <v>1159</v>
      </c>
      <c r="D252" s="286"/>
      <c r="E252" s="289" t="s">
        <v>276</v>
      </c>
      <c r="F252" s="285"/>
      <c r="G252" s="207">
        <f>'Stmt H'!F160</f>
        <v>8937872.1399999969</v>
      </c>
      <c r="H252" s="29"/>
      <c r="I252" s="635" t="s">
        <v>276</v>
      </c>
      <c r="J252" s="29"/>
      <c r="K252" s="1245">
        <f>'Stmt H'!U160</f>
        <v>11712168.159590755</v>
      </c>
      <c r="M252" s="1624">
        <f t="shared" si="33"/>
        <v>0.87194347602411737</v>
      </c>
      <c r="N252" s="1625">
        <f t="shared" si="34"/>
        <v>7793319.3020107141</v>
      </c>
      <c r="O252" s="1625">
        <v>10212348.616852552</v>
      </c>
      <c r="Q252" s="1715">
        <v>11968685.662484374</v>
      </c>
      <c r="R252" s="256"/>
      <c r="S252" s="1715">
        <v>11968685.662484374</v>
      </c>
      <c r="T252" s="1716">
        <v>10427576.849364014</v>
      </c>
      <c r="U252" s="256"/>
      <c r="V252" s="1715">
        <v>11968685.662484374</v>
      </c>
      <c r="W252" s="1716">
        <v>10427576.849364014</v>
      </c>
      <c r="X252" s="256"/>
      <c r="Y252" s="1715">
        <v>11968685.662484374</v>
      </c>
      <c r="Z252" s="1716">
        <v>10427677.071084119</v>
      </c>
      <c r="AA252" s="256"/>
      <c r="AB252" s="1715">
        <v>11968685.662484374</v>
      </c>
      <c r="AC252" s="1716">
        <v>10426832.539993554</v>
      </c>
      <c r="AD252" s="256"/>
      <c r="AE252" s="1715">
        <v>11968685.662484374</v>
      </c>
      <c r="AF252" s="1716">
        <v>10426832.539993554</v>
      </c>
      <c r="AG252" s="256"/>
      <c r="AH252" s="1715">
        <v>11968685.662484374</v>
      </c>
      <c r="AI252" s="1716">
        <v>10426832.539993558</v>
      </c>
      <c r="AJ252" s="256"/>
      <c r="AK252" s="1715">
        <v>11968685.662484374</v>
      </c>
      <c r="AL252" s="1716">
        <v>10426716.072808497</v>
      </c>
      <c r="AM252" s="256"/>
      <c r="AN252" s="1715">
        <v>11964680.511040371</v>
      </c>
      <c r="AO252" s="1716">
        <v>10423293.602144374</v>
      </c>
      <c r="AP252" s="256"/>
      <c r="AQ252" s="1715">
        <v>11740917.933017276</v>
      </c>
      <c r="AR252" s="1716">
        <v>10228357.929122824</v>
      </c>
      <c r="AS252" s="256"/>
      <c r="AT252" s="1715">
        <v>11740917.933017276</v>
      </c>
      <c r="AU252" s="1715">
        <v>10228357.929122824</v>
      </c>
      <c r="AV252" s="256"/>
      <c r="AW252" s="1715">
        <v>11740917.933017276</v>
      </c>
      <c r="AX252" s="1715">
        <v>10228357.929122824</v>
      </c>
      <c r="AY252" s="256"/>
      <c r="AZ252" s="1715">
        <v>11740917.933017276</v>
      </c>
      <c r="BA252" s="1715">
        <v>10228357.929122824</v>
      </c>
      <c r="BB252" s="256"/>
      <c r="BC252" s="1715">
        <v>11740917.933017276</v>
      </c>
      <c r="BD252" s="1715">
        <v>10228357.929122824</v>
      </c>
      <c r="BE252" s="256"/>
      <c r="BF252" s="1715">
        <v>11740917.933017276</v>
      </c>
      <c r="BG252" s="1715">
        <v>10228357.929122824</v>
      </c>
      <c r="BH252" s="256"/>
      <c r="BI252" s="1715">
        <v>11740917.933017276</v>
      </c>
      <c r="BJ252" s="1715">
        <v>10228357.929122824</v>
      </c>
      <c r="BK252" s="256"/>
      <c r="BL252" s="1715">
        <v>11740917.933017276</v>
      </c>
      <c r="BM252" s="1715">
        <v>10228357.929122824</v>
      </c>
      <c r="BN252" s="256"/>
      <c r="BO252" s="1715">
        <v>11740917.933017276</v>
      </c>
      <c r="BP252" s="1715">
        <v>10228357.929122824</v>
      </c>
      <c r="BQ252" s="256"/>
      <c r="BR252" s="1715">
        <v>11740917.933017276</v>
      </c>
      <c r="BS252" s="1715">
        <v>10228357.929122824</v>
      </c>
      <c r="BT252" s="256"/>
      <c r="BU252" s="1715">
        <v>11740917.933017276</v>
      </c>
      <c r="BV252" s="1715">
        <v>10228357.929122824</v>
      </c>
      <c r="BW252" s="256"/>
      <c r="BX252" s="1715">
        <v>11740917.933017276</v>
      </c>
      <c r="BY252" s="1715">
        <v>10228357.929122824</v>
      </c>
      <c r="BZ252" s="256"/>
      <c r="CA252" s="1715">
        <v>11740917.933017276</v>
      </c>
      <c r="CB252" s="1715">
        <v>10235391.102770481</v>
      </c>
      <c r="CC252" s="256"/>
      <c r="CD252" s="1715">
        <v>11740917.933017276</v>
      </c>
      <c r="CE252" s="1715">
        <v>10235391.102770481</v>
      </c>
      <c r="CF252" s="256"/>
      <c r="CG252" s="1715">
        <v>11740917.933017276</v>
      </c>
      <c r="CH252" s="1715">
        <v>10235391.102770481</v>
      </c>
      <c r="CI252" s="1684">
        <f t="shared" si="35"/>
        <v>0</v>
      </c>
      <c r="CJ252" s="1715">
        <v>11740917.933017276</v>
      </c>
      <c r="CK252" s="1715">
        <v>10235391.102770481</v>
      </c>
      <c r="CL252" s="256"/>
      <c r="CM252" s="1715">
        <v>11698836.701879729</v>
      </c>
      <c r="CN252" s="1715">
        <v>10199559.148636011</v>
      </c>
      <c r="CO252" s="256"/>
      <c r="CP252" s="1245">
        <v>11712900.527670754</v>
      </c>
      <c r="CQ252" s="1715">
        <v>10211820.609041611</v>
      </c>
      <c r="CR252" s="256"/>
      <c r="CS252" s="1245">
        <v>11712168.159590755</v>
      </c>
      <c r="CT252" s="1715">
        <v>10212348.616852552</v>
      </c>
      <c r="CU252" s="256"/>
      <c r="CV252" s="1715">
        <v>11712168.159590755</v>
      </c>
      <c r="CW252" s="1715">
        <v>10212348.616852552</v>
      </c>
      <c r="CX252" s="256"/>
      <c r="CY252" s="1715"/>
      <c r="CZ252" s="1715"/>
    </row>
    <row r="253" spans="1:104">
      <c r="A253" s="260">
        <f t="shared" si="32"/>
        <v>246</v>
      </c>
      <c r="B253" s="495">
        <f>'Stmt H'!B163</f>
        <v>929</v>
      </c>
      <c r="C253" s="294" t="str">
        <f>'Stmt H'!D163</f>
        <v>Duplicate Charges - Credit</v>
      </c>
      <c r="D253" s="286"/>
      <c r="E253" s="289" t="s">
        <v>276</v>
      </c>
      <c r="F253" s="285"/>
      <c r="G253" s="207">
        <f>'Stmt H'!F163</f>
        <v>-1239.8400000000001</v>
      </c>
      <c r="H253" s="29"/>
      <c r="I253" s="635" t="s">
        <v>276</v>
      </c>
      <c r="J253" s="29"/>
      <c r="K253" s="1245">
        <f>'Stmt H'!U163</f>
        <v>-1267.5361799999996</v>
      </c>
      <c r="M253" s="1624">
        <f t="shared" si="33"/>
        <v>0.87194347602411737</v>
      </c>
      <c r="N253" s="1625">
        <f t="shared" si="34"/>
        <v>-1081.0703993137417</v>
      </c>
      <c r="O253" s="1625">
        <v>-1105.219902775531</v>
      </c>
      <c r="P253" s="1127"/>
      <c r="Q253" s="1715">
        <v>-1269.7227079999998</v>
      </c>
      <c r="R253" s="256"/>
      <c r="S253" s="1715">
        <v>-1269.7227079999998</v>
      </c>
      <c r="T253" s="1716">
        <v>-1106.2310004977012</v>
      </c>
      <c r="U253" s="256"/>
      <c r="V253" s="1715">
        <v>-1269.7227079999998</v>
      </c>
      <c r="W253" s="1716">
        <v>-1106.2310004977012</v>
      </c>
      <c r="X253" s="256"/>
      <c r="Y253" s="1715">
        <v>-1269.7227079999998</v>
      </c>
      <c r="Z253" s="1716">
        <v>-1106.2416327256203</v>
      </c>
      <c r="AA253" s="256"/>
      <c r="AB253" s="1715">
        <v>-1269.7227079999998</v>
      </c>
      <c r="AC253" s="1716">
        <v>-1106.1520389027442</v>
      </c>
      <c r="AD253" s="256"/>
      <c r="AE253" s="1715">
        <v>-1269.7227079999998</v>
      </c>
      <c r="AF253" s="1716">
        <v>-1106.1520389027442</v>
      </c>
      <c r="AG253" s="256"/>
      <c r="AH253" s="1715">
        <v>-1269.7227079999998</v>
      </c>
      <c r="AI253" s="1716">
        <v>-1106.1520389027446</v>
      </c>
      <c r="AJ253" s="256"/>
      <c r="AK253" s="1715">
        <v>-1269.7227079999998</v>
      </c>
      <c r="AL253" s="1716">
        <v>-1106.1396832411642</v>
      </c>
      <c r="AM253" s="256"/>
      <c r="AN253" s="1715">
        <v>-1269.7227079999998</v>
      </c>
      <c r="AO253" s="1716">
        <v>-1106.1467597552273</v>
      </c>
      <c r="AP253" s="256"/>
      <c r="AQ253" s="1715">
        <v>-1269.7227079999998</v>
      </c>
      <c r="AR253" s="1716">
        <v>-1106.1467597552273</v>
      </c>
      <c r="AS253" s="256"/>
      <c r="AT253" s="1715">
        <v>-1269.7227079999998</v>
      </c>
      <c r="AU253" s="1715">
        <v>-1106.1467597552273</v>
      </c>
      <c r="AV253" s="256"/>
      <c r="AW253" s="1715">
        <v>-1269.7227079999998</v>
      </c>
      <c r="AX253" s="1715">
        <v>-1106.1467597552273</v>
      </c>
      <c r="AY253" s="256"/>
      <c r="AZ253" s="1715">
        <v>-1269.7227079999998</v>
      </c>
      <c r="BA253" s="1715">
        <v>-1106.1467597552273</v>
      </c>
      <c r="BB253" s="256"/>
      <c r="BC253" s="1715">
        <v>-1269.7227079999998</v>
      </c>
      <c r="BD253" s="1715">
        <v>-1106.1467597552273</v>
      </c>
      <c r="BE253" s="256"/>
      <c r="BF253" s="1715">
        <v>-1269.7227079999998</v>
      </c>
      <c r="BG253" s="1715">
        <v>-1106.1467597552273</v>
      </c>
      <c r="BH253" s="256"/>
      <c r="BI253" s="1715">
        <v>-1269.7227079999998</v>
      </c>
      <c r="BJ253" s="1715">
        <v>-1106.1467597552273</v>
      </c>
      <c r="BK253" s="256"/>
      <c r="BL253" s="1715">
        <v>-1269.7227079999998</v>
      </c>
      <c r="BM253" s="1715">
        <v>-1106.1467597552273</v>
      </c>
      <c r="BN253" s="256"/>
      <c r="BO253" s="1715">
        <v>-1269.7227079999998</v>
      </c>
      <c r="BP253" s="1715">
        <v>-1106.1467597552273</v>
      </c>
      <c r="BQ253" s="256"/>
      <c r="BR253" s="1715">
        <v>-1269.7227079999998</v>
      </c>
      <c r="BS253" s="1715">
        <v>-1106.1467597552273</v>
      </c>
      <c r="BT253" s="256"/>
      <c r="BU253" s="1715">
        <v>-1269.7227079999998</v>
      </c>
      <c r="BV253" s="1715">
        <v>-1106.1467597552273</v>
      </c>
      <c r="BW253" s="256"/>
      <c r="BX253" s="1715">
        <v>-1269.7227079999998</v>
      </c>
      <c r="BY253" s="1715">
        <v>-1106.1467597552273</v>
      </c>
      <c r="BZ253" s="256"/>
      <c r="CA253" s="1715">
        <v>-1269.7227079999998</v>
      </c>
      <c r="CB253" s="1715">
        <v>-1106.9073630011308</v>
      </c>
      <c r="CC253" s="256"/>
      <c r="CD253" s="1715">
        <v>-1269.7227079999998</v>
      </c>
      <c r="CE253" s="1715">
        <v>-1106.9073630011308</v>
      </c>
      <c r="CF253" s="256"/>
      <c r="CG253" s="1715">
        <v>-1269.7227079999998</v>
      </c>
      <c r="CH253" s="1715">
        <v>-1106.9073630011308</v>
      </c>
      <c r="CI253" s="1684">
        <f t="shared" si="35"/>
        <v>0</v>
      </c>
      <c r="CJ253" s="1715">
        <v>-1269.7227079999998</v>
      </c>
      <c r="CK253" s="1715">
        <v>-1106.9073630011308</v>
      </c>
      <c r="CL253" s="256"/>
      <c r="CM253" s="1715">
        <v>-1269.7227079999998</v>
      </c>
      <c r="CN253" s="1715">
        <v>-1106.9999686833332</v>
      </c>
      <c r="CO253" s="256"/>
      <c r="CP253" s="1245">
        <v>-1269.7227079999998</v>
      </c>
      <c r="CQ253" s="1715">
        <v>-1106.9999686833332</v>
      </c>
      <c r="CR253" s="256"/>
      <c r="CS253" s="1245">
        <v>-1267.5361799999996</v>
      </c>
      <c r="CT253" s="1715">
        <v>-1105.219902775531</v>
      </c>
      <c r="CU253" s="256"/>
      <c r="CV253" s="1715">
        <v>-1267.5361799999996</v>
      </c>
      <c r="CW253" s="1715">
        <v>-1105.219902775531</v>
      </c>
      <c r="CX253" s="256"/>
      <c r="CY253" s="1715"/>
      <c r="CZ253" s="1715"/>
    </row>
    <row r="254" spans="1:104">
      <c r="A254" s="260">
        <f t="shared" si="32"/>
        <v>247</v>
      </c>
      <c r="B254" s="495">
        <f>'Stmt H'!B164</f>
        <v>930.1</v>
      </c>
      <c r="C254" s="294" t="s">
        <v>1160</v>
      </c>
      <c r="D254" s="286"/>
      <c r="E254" s="289" t="s">
        <v>276</v>
      </c>
      <c r="F254" s="285"/>
      <c r="G254" s="207">
        <f>'Stmt H'!F164</f>
        <v>410817.20999999996</v>
      </c>
      <c r="H254" s="29"/>
      <c r="I254" s="635" t="s">
        <v>276</v>
      </c>
      <c r="J254" s="29"/>
      <c r="K254" s="1245">
        <f>'Stmt H'!U164</f>
        <v>-3895.8865290000103</v>
      </c>
      <c r="M254" s="1624">
        <f t="shared" si="33"/>
        <v>0.87194347602411737</v>
      </c>
      <c r="N254" s="1625">
        <f t="shared" si="34"/>
        <v>358209.38609792973</v>
      </c>
      <c r="O254" s="1625">
        <v>-3396.9928422918024</v>
      </c>
      <c r="Q254" s="1715">
        <v>-3506.7472800000105</v>
      </c>
      <c r="R254" s="256"/>
      <c r="S254" s="1715">
        <v>-3506.7472800000105</v>
      </c>
      <c r="T254" s="1716">
        <v>-3055.2123921272778</v>
      </c>
      <c r="U254" s="256"/>
      <c r="V254" s="1715">
        <v>-3506.7472800000105</v>
      </c>
      <c r="W254" s="1716">
        <v>-3055.2123921272778</v>
      </c>
      <c r="X254" s="256"/>
      <c r="Y254" s="1715">
        <v>-3506.7472800000105</v>
      </c>
      <c r="Z254" s="1716">
        <v>-3055.2417564413126</v>
      </c>
      <c r="AA254" s="256"/>
      <c r="AB254" s="1715">
        <v>-3506.7472800000105</v>
      </c>
      <c r="AC254" s="1716">
        <v>-3054.9943143087148</v>
      </c>
      <c r="AD254" s="256"/>
      <c r="AE254" s="1715">
        <v>-3506.7472800000105</v>
      </c>
      <c r="AF254" s="1716">
        <v>-3054.9943143087148</v>
      </c>
      <c r="AG254" s="256"/>
      <c r="AH254" s="1715">
        <v>-3506.7472800000105</v>
      </c>
      <c r="AI254" s="1716">
        <v>-3054.9943143087157</v>
      </c>
      <c r="AJ254" s="256"/>
      <c r="AK254" s="1715">
        <v>-3506.7472800000105</v>
      </c>
      <c r="AL254" s="1716">
        <v>-3054.9601901788042</v>
      </c>
      <c r="AM254" s="256"/>
      <c r="AN254" s="1715">
        <v>-3506.7472800000105</v>
      </c>
      <c r="AO254" s="1716">
        <v>-3054.979734246408</v>
      </c>
      <c r="AP254" s="256"/>
      <c r="AQ254" s="1715">
        <v>-3506.7472800000105</v>
      </c>
      <c r="AR254" s="1716">
        <v>-3054.979734246408</v>
      </c>
      <c r="AS254" s="256"/>
      <c r="AT254" s="1715">
        <v>-3506.7472800000105</v>
      </c>
      <c r="AU254" s="1715">
        <v>-3054.979734246408</v>
      </c>
      <c r="AV254" s="256"/>
      <c r="AW254" s="1715">
        <v>-3506.7472800000105</v>
      </c>
      <c r="AX254" s="1715">
        <v>-3054.979734246408</v>
      </c>
      <c r="AY254" s="256"/>
      <c r="AZ254" s="1715">
        <v>-3506.7472800000105</v>
      </c>
      <c r="BA254" s="1715">
        <v>-3054.979734246408</v>
      </c>
      <c r="BB254" s="256"/>
      <c r="BC254" s="1715">
        <v>-3506.7472800000105</v>
      </c>
      <c r="BD254" s="1715">
        <v>-3054.979734246408</v>
      </c>
      <c r="BE254" s="256"/>
      <c r="BF254" s="1715">
        <v>-3506.7472800000105</v>
      </c>
      <c r="BG254" s="1715">
        <v>-3054.979734246408</v>
      </c>
      <c r="BH254" s="256"/>
      <c r="BI254" s="1715">
        <v>-3506.7472800000105</v>
      </c>
      <c r="BJ254" s="1715">
        <v>-3054.979734246408</v>
      </c>
      <c r="BK254" s="256"/>
      <c r="BL254" s="1715">
        <v>-3506.7472800000105</v>
      </c>
      <c r="BM254" s="1715">
        <v>-3054.979734246408</v>
      </c>
      <c r="BN254" s="256"/>
      <c r="BO254" s="1715">
        <v>-3506.7472800000105</v>
      </c>
      <c r="BP254" s="1715">
        <v>-3054.979734246408</v>
      </c>
      <c r="BQ254" s="256"/>
      <c r="BR254" s="1715">
        <v>-3506.7472800000105</v>
      </c>
      <c r="BS254" s="1715">
        <v>-3054.979734246408</v>
      </c>
      <c r="BT254" s="256"/>
      <c r="BU254" s="1715">
        <v>-3506.7472800000105</v>
      </c>
      <c r="BV254" s="1715">
        <v>-3054.979734246408</v>
      </c>
      <c r="BW254" s="256"/>
      <c r="BX254" s="1715">
        <v>-3506.7472800000105</v>
      </c>
      <c r="BY254" s="1715">
        <v>-3054.979734246408</v>
      </c>
      <c r="BZ254" s="256"/>
      <c r="CA254" s="1715">
        <v>-3506.7472800000105</v>
      </c>
      <c r="CB254" s="1715">
        <v>-3057.0803845277055</v>
      </c>
      <c r="CC254" s="256"/>
      <c r="CD254" s="1715">
        <v>-3506.7472800000105</v>
      </c>
      <c r="CE254" s="1715">
        <v>-3057.0803845277055</v>
      </c>
      <c r="CF254" s="256"/>
      <c r="CG254" s="1715">
        <v>-3506.7472800000105</v>
      </c>
      <c r="CH254" s="1715">
        <v>-3057.0803845277055</v>
      </c>
      <c r="CI254" s="1684">
        <f t="shared" si="35"/>
        <v>0</v>
      </c>
      <c r="CJ254" s="1715">
        <v>-3506.7472800000105</v>
      </c>
      <c r="CK254" s="1715">
        <v>-3057.0803845277055</v>
      </c>
      <c r="CL254" s="256"/>
      <c r="CM254" s="1715">
        <v>-3506.7472800000105</v>
      </c>
      <c r="CN254" s="1715">
        <v>-3057.3361448776859</v>
      </c>
      <c r="CO254" s="256"/>
      <c r="CP254" s="1245">
        <v>-3506.7472800000105</v>
      </c>
      <c r="CQ254" s="1715">
        <v>-3057.3361448776859</v>
      </c>
      <c r="CR254" s="256"/>
      <c r="CS254" s="1245">
        <v>-3895.8865290000103</v>
      </c>
      <c r="CT254" s="1715">
        <v>-3396.9928422918024</v>
      </c>
      <c r="CU254" s="256"/>
      <c r="CV254" s="1715">
        <v>-3895.8865290000103</v>
      </c>
      <c r="CW254" s="1715">
        <v>-3396.9928422918024</v>
      </c>
      <c r="CX254" s="256"/>
      <c r="CY254" s="1715"/>
      <c r="CZ254" s="1715"/>
    </row>
    <row r="255" spans="1:104">
      <c r="A255" s="260">
        <f t="shared" si="32"/>
        <v>248</v>
      </c>
      <c r="B255" s="495">
        <f>'Stmt H'!B165</f>
        <v>930.2</v>
      </c>
      <c r="C255" s="294" t="s">
        <v>183</v>
      </c>
      <c r="D255" s="286"/>
      <c r="E255" s="289" t="s">
        <v>276</v>
      </c>
      <c r="F255" s="285"/>
      <c r="G255" s="207">
        <f>'Stmt H'!F165</f>
        <v>1331686.07</v>
      </c>
      <c r="H255" s="29"/>
      <c r="I255" s="635" t="s">
        <v>276</v>
      </c>
      <c r="J255" s="29"/>
      <c r="K255" s="1245">
        <f>'Stmt H'!U165</f>
        <v>1449059.2693973777</v>
      </c>
      <c r="M255" s="1624">
        <f t="shared" si="33"/>
        <v>0.87194347602411748</v>
      </c>
      <c r="N255" s="1625">
        <f t="shared" si="34"/>
        <v>1161154.9808486963</v>
      </c>
      <c r="O255" s="1625">
        <v>1263497.7763233176</v>
      </c>
      <c r="Q255" s="1715">
        <v>1449006.751801891</v>
      </c>
      <c r="R255" s="256"/>
      <c r="S255" s="1715">
        <v>1449006.751801891</v>
      </c>
      <c r="T255" s="1716">
        <v>1262430.1185402842</v>
      </c>
      <c r="U255" s="256"/>
      <c r="V255" s="1715">
        <v>1449006.751801891</v>
      </c>
      <c r="W255" s="1716">
        <v>1262430.1185402842</v>
      </c>
      <c r="X255" s="256"/>
      <c r="Y255" s="1715">
        <v>1448984.681801891</v>
      </c>
      <c r="Z255" s="1716">
        <v>1262423.0236188998</v>
      </c>
      <c r="AA255" s="256"/>
      <c r="AB255" s="1715">
        <v>1448984.681801891</v>
      </c>
      <c r="AC255" s="1716">
        <v>1262320.7807621616</v>
      </c>
      <c r="AD255" s="256"/>
      <c r="AE255" s="1715">
        <v>1448984.681801891</v>
      </c>
      <c r="AF255" s="1716">
        <v>1262320.7807621616</v>
      </c>
      <c r="AG255" s="256"/>
      <c r="AH255" s="1715">
        <v>1448984.681801891</v>
      </c>
      <c r="AI255" s="1716">
        <v>1262320.7807621616</v>
      </c>
      <c r="AJ255" s="256"/>
      <c r="AK255" s="1715">
        <v>1448984.681801891</v>
      </c>
      <c r="AL255" s="1716">
        <v>1262306.6807037392</v>
      </c>
      <c r="AM255" s="256"/>
      <c r="AN255" s="1715">
        <v>1448984.7784203244</v>
      </c>
      <c r="AO255" s="1716">
        <v>1262314.8404653785</v>
      </c>
      <c r="AP255" s="256"/>
      <c r="AQ255" s="1715">
        <v>1448984.7784203244</v>
      </c>
      <c r="AR255" s="1716">
        <v>1262314.8404653785</v>
      </c>
      <c r="AS255" s="256"/>
      <c r="AT255" s="1715">
        <v>1448984.7784203244</v>
      </c>
      <c r="AU255" s="1715">
        <v>1262314.8404653785</v>
      </c>
      <c r="AV255" s="256"/>
      <c r="AW255" s="1715">
        <v>1448984.7784203244</v>
      </c>
      <c r="AX255" s="1715">
        <v>1262314.8404653785</v>
      </c>
      <c r="AY255" s="256"/>
      <c r="AZ255" s="1715">
        <v>1448984.7784203244</v>
      </c>
      <c r="BA255" s="1715">
        <v>1262314.8404653785</v>
      </c>
      <c r="BB255" s="256"/>
      <c r="BC255" s="1715">
        <v>1448984.7784203244</v>
      </c>
      <c r="BD255" s="1715">
        <v>1262314.8404653785</v>
      </c>
      <c r="BE255" s="256"/>
      <c r="BF255" s="1715">
        <v>1448984.7784203244</v>
      </c>
      <c r="BG255" s="1715">
        <v>1262314.8404653785</v>
      </c>
      <c r="BH255" s="256"/>
      <c r="BI255" s="1715">
        <v>1448984.7784203244</v>
      </c>
      <c r="BJ255" s="1715">
        <v>1262314.8404653785</v>
      </c>
      <c r="BK255" s="256"/>
      <c r="BL255" s="1715">
        <v>1448984.7784203244</v>
      </c>
      <c r="BM255" s="1715">
        <v>1262314.8404653785</v>
      </c>
      <c r="BN255" s="256"/>
      <c r="BO255" s="1715">
        <v>1448984.7784203244</v>
      </c>
      <c r="BP255" s="1715">
        <v>1262314.8404653785</v>
      </c>
      <c r="BQ255" s="256"/>
      <c r="BR255" s="1715">
        <v>1448984.7784203244</v>
      </c>
      <c r="BS255" s="1715">
        <v>1262314.8404653785</v>
      </c>
      <c r="BT255" s="256"/>
      <c r="BU255" s="1715">
        <v>1448984.7784203244</v>
      </c>
      <c r="BV255" s="1715">
        <v>1262314.8404653785</v>
      </c>
      <c r="BW255" s="256"/>
      <c r="BX255" s="1715">
        <v>1448984.7784203244</v>
      </c>
      <c r="BY255" s="1715">
        <v>1262314.8404653785</v>
      </c>
      <c r="BZ255" s="256"/>
      <c r="CA255" s="1715">
        <v>1448976.9084203246</v>
      </c>
      <c r="CB255" s="1715">
        <v>1263175.9664087794</v>
      </c>
      <c r="CC255" s="256"/>
      <c r="CD255" s="1715">
        <v>1448976.9084203246</v>
      </c>
      <c r="CE255" s="1715">
        <v>1263175.9664087794</v>
      </c>
      <c r="CF255" s="256"/>
      <c r="CG255" s="1715">
        <v>1448976.9084203246</v>
      </c>
      <c r="CH255" s="1715">
        <v>1263175.9664087794</v>
      </c>
      <c r="CI255" s="1684">
        <f t="shared" si="35"/>
        <v>0</v>
      </c>
      <c r="CJ255" s="1715">
        <v>1448976.9084203246</v>
      </c>
      <c r="CK255" s="1715">
        <v>1263175.9664087794</v>
      </c>
      <c r="CL255" s="256"/>
      <c r="CM255" s="1715">
        <v>1448978.5577603774</v>
      </c>
      <c r="CN255" s="1715">
        <v>1263283.0837452104</v>
      </c>
      <c r="CO255" s="256"/>
      <c r="CP255" s="1245">
        <v>1448978.5577603774</v>
      </c>
      <c r="CQ255" s="1715">
        <v>1263283.0837452104</v>
      </c>
      <c r="CR255" s="256"/>
      <c r="CS255" s="1245">
        <v>1449059.2693973777</v>
      </c>
      <c r="CT255" s="1715">
        <v>1263497.7763233176</v>
      </c>
      <c r="CU255" s="256"/>
      <c r="CV255" s="1715">
        <v>1449059.2693973777</v>
      </c>
      <c r="CW255" s="1715">
        <v>1263497.7763233176</v>
      </c>
      <c r="CX255" s="256"/>
      <c r="CY255" s="1715"/>
      <c r="CZ255" s="1715"/>
    </row>
    <row r="256" spans="1:104">
      <c r="A256" s="260">
        <f t="shared" si="32"/>
        <v>249</v>
      </c>
      <c r="B256" s="495">
        <f>'Stmt H'!B166</f>
        <v>931</v>
      </c>
      <c r="C256" s="296" t="s">
        <v>185</v>
      </c>
      <c r="D256" s="286"/>
      <c r="E256" s="289" t="s">
        <v>276</v>
      </c>
      <c r="F256" s="285"/>
      <c r="G256" s="787">
        <f>'Stmt H'!F166</f>
        <v>2465661.6599999992</v>
      </c>
      <c r="H256" s="29"/>
      <c r="I256" s="635" t="s">
        <v>276</v>
      </c>
      <c r="J256" s="29"/>
      <c r="K256" s="637">
        <f>'Stmt H'!U166</f>
        <v>3097703.9937409996</v>
      </c>
      <c r="M256" s="1624">
        <f t="shared" si="33"/>
        <v>0.87194347602411726</v>
      </c>
      <c r="N256" s="1626">
        <f t="shared" si="34"/>
        <v>2149917.5985197946</v>
      </c>
      <c r="O256" s="1626">
        <v>2701022.7879963177</v>
      </c>
      <c r="P256" s="633"/>
      <c r="Q256" s="1701">
        <v>3163053.1049959995</v>
      </c>
      <c r="R256" s="256"/>
      <c r="S256" s="1701">
        <v>3163053.1049959995</v>
      </c>
      <c r="T256" s="1702">
        <v>2755772.8777479543</v>
      </c>
      <c r="U256" s="256"/>
      <c r="V256" s="1701">
        <v>3163053.1049959995</v>
      </c>
      <c r="W256" s="1702">
        <v>2755772.8777479543</v>
      </c>
      <c r="X256" s="256"/>
      <c r="Y256" s="1701">
        <v>3163053.1049959995</v>
      </c>
      <c r="Z256" s="1702">
        <v>2755799.364083373</v>
      </c>
      <c r="AA256" s="256"/>
      <c r="AB256" s="1701">
        <v>3163053.1049959995</v>
      </c>
      <c r="AC256" s="1702">
        <v>2755576.1736041834</v>
      </c>
      <c r="AD256" s="256"/>
      <c r="AE256" s="1701">
        <v>3163053.1049959995</v>
      </c>
      <c r="AF256" s="1702">
        <v>2755576.1736041834</v>
      </c>
      <c r="AG256" s="256"/>
      <c r="AH256" s="1701">
        <v>3163053.1049959995</v>
      </c>
      <c r="AI256" s="1702">
        <v>2755576.1736041838</v>
      </c>
      <c r="AJ256" s="256"/>
      <c r="AK256" s="1701">
        <v>3163053.1049959995</v>
      </c>
      <c r="AL256" s="1702">
        <v>2755545.3939595576</v>
      </c>
      <c r="AM256" s="256"/>
      <c r="AN256" s="1701">
        <v>3163053.1049959995</v>
      </c>
      <c r="AO256" s="1702">
        <v>2755563.022524944</v>
      </c>
      <c r="AP256" s="256"/>
      <c r="AQ256" s="1701">
        <v>3163053.1049959995</v>
      </c>
      <c r="AR256" s="1702">
        <v>2755563.022524944</v>
      </c>
      <c r="AS256" s="256"/>
      <c r="AT256" s="1701">
        <v>3163053.1049959995</v>
      </c>
      <c r="AU256" s="1701">
        <v>2755563.022524944</v>
      </c>
      <c r="AV256" s="256"/>
      <c r="AW256" s="1701">
        <v>3163053.1049959995</v>
      </c>
      <c r="AX256" s="1701">
        <v>2755563.022524944</v>
      </c>
      <c r="AY256" s="256"/>
      <c r="AZ256" s="1701">
        <v>3163053.1049959995</v>
      </c>
      <c r="BA256" s="1701">
        <v>2755563.022524944</v>
      </c>
      <c r="BB256" s="256"/>
      <c r="BC256" s="1701">
        <v>3163053.1049959995</v>
      </c>
      <c r="BD256" s="1701">
        <v>2755563.022524944</v>
      </c>
      <c r="BE256" s="256"/>
      <c r="BF256" s="1701">
        <v>3163053.1049959995</v>
      </c>
      <c r="BG256" s="1701">
        <v>2755563.022524944</v>
      </c>
      <c r="BH256" s="256"/>
      <c r="BI256" s="1701">
        <v>3163053.1049959995</v>
      </c>
      <c r="BJ256" s="1701">
        <v>2755563.022524944</v>
      </c>
      <c r="BK256" s="256"/>
      <c r="BL256" s="1701">
        <v>3163053.1049959995</v>
      </c>
      <c r="BM256" s="1701">
        <v>2755563.022524944</v>
      </c>
      <c r="BN256" s="256"/>
      <c r="BO256" s="1701">
        <v>3163053.1049959995</v>
      </c>
      <c r="BP256" s="1701">
        <v>2755563.022524944</v>
      </c>
      <c r="BQ256" s="256"/>
      <c r="BR256" s="1701">
        <v>3163053.1049959995</v>
      </c>
      <c r="BS256" s="1701">
        <v>2755563.022524944</v>
      </c>
      <c r="BT256" s="256"/>
      <c r="BU256" s="1701">
        <v>3163053.1049959995</v>
      </c>
      <c r="BV256" s="1701">
        <v>2755563.022524944</v>
      </c>
      <c r="BW256" s="256"/>
      <c r="BX256" s="1701">
        <v>3163053.1049959995</v>
      </c>
      <c r="BY256" s="1701">
        <v>2755563.022524944</v>
      </c>
      <c r="BZ256" s="256"/>
      <c r="CA256" s="1701">
        <v>3163053.1049959995</v>
      </c>
      <c r="CB256" s="1701">
        <v>2757457.7893456565</v>
      </c>
      <c r="CC256" s="256"/>
      <c r="CD256" s="1701">
        <v>3163053.1049959995</v>
      </c>
      <c r="CE256" s="1701">
        <v>2757457.7893456565</v>
      </c>
      <c r="CF256" s="256"/>
      <c r="CG256" s="1701">
        <v>3163053.1049959995</v>
      </c>
      <c r="CH256" s="1701">
        <v>2757457.7893456565</v>
      </c>
      <c r="CI256" s="1684">
        <f t="shared" si="35"/>
        <v>0</v>
      </c>
      <c r="CJ256" s="1701">
        <v>3163053.1049959995</v>
      </c>
      <c r="CK256" s="1701">
        <v>2757457.7893456565</v>
      </c>
      <c r="CL256" s="256"/>
      <c r="CM256" s="1701">
        <v>3163053.1049959995</v>
      </c>
      <c r="CN256" s="1701">
        <v>2757688.4827787862</v>
      </c>
      <c r="CO256" s="256"/>
      <c r="CP256" s="637">
        <v>3163053.1049959995</v>
      </c>
      <c r="CQ256" s="1701">
        <v>2757688.4827787862</v>
      </c>
      <c r="CR256" s="256"/>
      <c r="CS256" s="637">
        <v>3097703.9937409996</v>
      </c>
      <c r="CT256" s="1701">
        <v>2701022.7879963177</v>
      </c>
      <c r="CU256" s="256"/>
      <c r="CV256" s="1701">
        <v>3097703.9937409996</v>
      </c>
      <c r="CW256" s="1701">
        <v>2701022.7879963177</v>
      </c>
      <c r="CX256" s="256"/>
      <c r="CY256" s="1701"/>
      <c r="CZ256" s="1701"/>
    </row>
    <row r="257" spans="1:104">
      <c r="A257" s="260">
        <f t="shared" si="32"/>
        <v>250</v>
      </c>
      <c r="B257" s="495"/>
      <c r="C257" s="275" t="s">
        <v>141</v>
      </c>
      <c r="D257" s="266"/>
      <c r="E257" s="265"/>
      <c r="F257" s="264"/>
      <c r="G257" s="353">
        <f>SUM(G246:G256)</f>
        <v>30276469.799999997</v>
      </c>
      <c r="H257" s="29"/>
      <c r="I257" s="1229"/>
      <c r="J257" s="29"/>
      <c r="K257" s="353">
        <f>SUM(K246:K256)</f>
        <v>34225664.033039913</v>
      </c>
      <c r="M257" s="1630" t="s">
        <v>1528</v>
      </c>
      <c r="N257" s="1614">
        <f>SUM(N246:N256)</f>
        <v>26399120.052461736</v>
      </c>
      <c r="O257" s="1614">
        <v>29842593.602384776</v>
      </c>
      <c r="Q257" s="816">
        <v>35584444.18943356</v>
      </c>
      <c r="R257" s="256"/>
      <c r="S257" s="816">
        <v>35584444.18943356</v>
      </c>
      <c r="T257" s="1691">
        <v>31002267.589798611</v>
      </c>
      <c r="U257" s="256"/>
      <c r="V257" s="816">
        <v>35584444.18943356</v>
      </c>
      <c r="W257" s="1691">
        <v>31002267.589798611</v>
      </c>
      <c r="X257" s="256"/>
      <c r="Y257" s="816">
        <v>35584422.119433567</v>
      </c>
      <c r="Z257" s="1691">
        <v>31002546.109508865</v>
      </c>
      <c r="AA257" s="256"/>
      <c r="AB257" s="816">
        <v>35584422.119433567</v>
      </c>
      <c r="AC257" s="1691">
        <v>31000037.09857747</v>
      </c>
      <c r="AD257" s="256"/>
      <c r="AE257" s="816">
        <v>35552908.119433567</v>
      </c>
      <c r="AF257" s="1691">
        <v>30972582.855903581</v>
      </c>
      <c r="AG257" s="256"/>
      <c r="AH257" s="816">
        <v>35552908.119433567</v>
      </c>
      <c r="AI257" s="1691">
        <v>30972582.855903585</v>
      </c>
      <c r="AJ257" s="256"/>
      <c r="AK257" s="816">
        <v>35552908.119433567</v>
      </c>
      <c r="AL257" s="1691">
        <v>30972237.151100382</v>
      </c>
      <c r="AM257" s="256"/>
      <c r="AN257" s="816">
        <v>35545586.578396119</v>
      </c>
      <c r="AO257" s="1691">
        <v>30966056.827271994</v>
      </c>
      <c r="AP257" s="256"/>
      <c r="AQ257" s="816">
        <v>34948575.322561353</v>
      </c>
      <c r="AR257" s="1691">
        <v>30445957.389797792</v>
      </c>
      <c r="AS257" s="256"/>
      <c r="AT257" s="816">
        <v>34948575.322561353</v>
      </c>
      <c r="AU257" s="816">
        <v>30445957.389797792</v>
      </c>
      <c r="AV257" s="256"/>
      <c r="AW257" s="816">
        <v>34871185.322561353</v>
      </c>
      <c r="AX257" s="816">
        <v>30378537.395496599</v>
      </c>
      <c r="AY257" s="256"/>
      <c r="AZ257" s="816">
        <v>34871185.322561353</v>
      </c>
      <c r="BA257" s="816">
        <v>30378537.395496599</v>
      </c>
      <c r="BB257" s="256"/>
      <c r="BC257" s="816">
        <v>34871185.322561353</v>
      </c>
      <c r="BD257" s="816">
        <v>30378537.395496599</v>
      </c>
      <c r="BE257" s="256"/>
      <c r="BF257" s="816">
        <v>34598431.893806487</v>
      </c>
      <c r="BG257" s="816">
        <v>30140922.269352585</v>
      </c>
      <c r="BH257" s="256"/>
      <c r="BI257" s="816">
        <v>34332238.39380648</v>
      </c>
      <c r="BJ257" s="816">
        <v>29909021.968887217</v>
      </c>
      <c r="BK257" s="256"/>
      <c r="BL257" s="816">
        <v>34107238.39380648</v>
      </c>
      <c r="BM257" s="816">
        <v>29713008.288595594</v>
      </c>
      <c r="BN257" s="256"/>
      <c r="BO257" s="816">
        <v>33841044.89380648</v>
      </c>
      <c r="BP257" s="816">
        <v>29481107.9003435</v>
      </c>
      <c r="BQ257" s="256"/>
      <c r="BR257" s="816">
        <v>34107238.39380648</v>
      </c>
      <c r="BS257" s="816">
        <v>29713008.200808868</v>
      </c>
      <c r="BT257" s="256"/>
      <c r="BU257" s="816">
        <v>34107238.39380648</v>
      </c>
      <c r="BV257" s="816">
        <v>29713008.200808868</v>
      </c>
      <c r="BW257" s="256"/>
      <c r="BX257" s="816">
        <v>34107238.39380648</v>
      </c>
      <c r="BY257" s="816">
        <v>29713008.200808868</v>
      </c>
      <c r="BZ257" s="256"/>
      <c r="CA257" s="816">
        <v>34107230.523806483</v>
      </c>
      <c r="CB257" s="816">
        <v>29733446.281347845</v>
      </c>
      <c r="CC257" s="256"/>
      <c r="CD257" s="816">
        <v>34107230.523806483</v>
      </c>
      <c r="CE257" s="816">
        <v>29733446.281347845</v>
      </c>
      <c r="CF257" s="256"/>
      <c r="CG257" s="816">
        <v>34073936.412912205</v>
      </c>
      <c r="CH257" s="816">
        <v>29704421.442884099</v>
      </c>
      <c r="CI257" s="1684">
        <f t="shared" si="35"/>
        <v>-29024.838463746011</v>
      </c>
      <c r="CJ257" s="816">
        <v>34073936.412912205</v>
      </c>
      <c r="CK257" s="816">
        <v>29704421.442884099</v>
      </c>
      <c r="CL257" s="256"/>
      <c r="CM257" s="816">
        <v>34017788.076826423</v>
      </c>
      <c r="CN257" s="816">
        <v>29657952.053082425</v>
      </c>
      <c r="CO257" s="256"/>
      <c r="CP257" s="353">
        <v>34328064.597620904</v>
      </c>
      <c r="CQ257" s="816">
        <v>29928464.737969112</v>
      </c>
      <c r="CR257" s="256"/>
      <c r="CS257" s="353">
        <v>34225664.033039913</v>
      </c>
      <c r="CT257" s="816">
        <v>29842593.602384776</v>
      </c>
      <c r="CU257" s="256"/>
      <c r="CV257" s="816">
        <v>34225664.033039913</v>
      </c>
      <c r="CW257" s="816">
        <v>29842593.602384776</v>
      </c>
      <c r="CX257" s="256"/>
      <c r="CY257" s="816"/>
      <c r="CZ257" s="816"/>
    </row>
    <row r="258" spans="1:104">
      <c r="A258" s="260">
        <f t="shared" si="32"/>
        <v>251</v>
      </c>
      <c r="B258" s="495"/>
      <c r="C258" s="275"/>
      <c r="D258" s="266"/>
      <c r="E258" s="265"/>
      <c r="F258" s="264"/>
      <c r="G258" s="743"/>
      <c r="H258" s="29"/>
      <c r="I258" s="1229"/>
      <c r="J258" s="29"/>
      <c r="K258" s="313"/>
      <c r="M258" s="1624"/>
      <c r="N258" s="1112"/>
      <c r="O258" s="1112"/>
      <c r="Q258" s="313"/>
      <c r="R258" s="256"/>
      <c r="S258" s="313"/>
      <c r="T258" s="1704"/>
      <c r="U258" s="256"/>
      <c r="V258" s="313"/>
      <c r="W258" s="1704"/>
      <c r="X258" s="256"/>
      <c r="Y258" s="313"/>
      <c r="Z258" s="1704"/>
      <c r="AA258" s="256"/>
      <c r="AB258" s="313"/>
      <c r="AC258" s="1704"/>
      <c r="AD258" s="256"/>
      <c r="AE258" s="313"/>
      <c r="AF258" s="1704"/>
      <c r="AG258" s="256"/>
      <c r="AH258" s="313"/>
      <c r="AI258" s="1704"/>
      <c r="AJ258" s="256"/>
      <c r="AK258" s="313"/>
      <c r="AL258" s="1704"/>
      <c r="AM258" s="256"/>
      <c r="AN258" s="313"/>
      <c r="AO258" s="1704"/>
      <c r="AP258" s="256"/>
      <c r="AQ258" s="313"/>
      <c r="AR258" s="1704"/>
      <c r="AS258" s="256"/>
      <c r="AT258" s="313"/>
      <c r="AU258" s="313"/>
      <c r="AV258" s="256"/>
      <c r="AW258" s="313"/>
      <c r="AX258" s="313"/>
      <c r="AY258" s="256"/>
      <c r="AZ258" s="313"/>
      <c r="BA258" s="313"/>
      <c r="BB258" s="256"/>
      <c r="BC258" s="313"/>
      <c r="BD258" s="313"/>
      <c r="BE258" s="256"/>
      <c r="BF258" s="313"/>
      <c r="BG258" s="313"/>
      <c r="BH258" s="256"/>
      <c r="BI258" s="313"/>
      <c r="BJ258" s="313"/>
      <c r="BK258" s="256"/>
      <c r="BL258" s="313"/>
      <c r="BM258" s="313"/>
      <c r="BN258" s="256"/>
      <c r="BO258" s="313"/>
      <c r="BP258" s="313"/>
      <c r="BQ258" s="256"/>
      <c r="BR258" s="313"/>
      <c r="BS258" s="313"/>
      <c r="BT258" s="256"/>
      <c r="BU258" s="313"/>
      <c r="BV258" s="313"/>
      <c r="BW258" s="256"/>
      <c r="BX258" s="313"/>
      <c r="BY258" s="313"/>
      <c r="BZ258" s="256"/>
      <c r="CA258" s="313"/>
      <c r="CB258" s="313"/>
      <c r="CC258" s="256"/>
      <c r="CD258" s="313"/>
      <c r="CE258" s="313"/>
      <c r="CF258" s="256"/>
      <c r="CG258" s="313"/>
      <c r="CH258" s="313"/>
      <c r="CI258" s="1684">
        <f t="shared" si="35"/>
        <v>0</v>
      </c>
      <c r="CJ258" s="313"/>
      <c r="CK258" s="313"/>
      <c r="CL258" s="256"/>
      <c r="CM258" s="313"/>
      <c r="CN258" s="313"/>
      <c r="CO258" s="256"/>
      <c r="CP258" s="313"/>
      <c r="CQ258" s="313"/>
      <c r="CR258" s="256"/>
      <c r="CS258" s="313"/>
      <c r="CT258" s="313"/>
      <c r="CU258" s="256"/>
      <c r="CV258" s="313"/>
      <c r="CW258" s="313"/>
      <c r="CX258" s="256"/>
      <c r="CY258" s="313"/>
      <c r="CZ258" s="313"/>
    </row>
    <row r="259" spans="1:104" ht="13.5">
      <c r="A259" s="260">
        <f t="shared" si="32"/>
        <v>252</v>
      </c>
      <c r="B259" s="495"/>
      <c r="C259" s="295" t="s">
        <v>325</v>
      </c>
      <c r="D259" s="266"/>
      <c r="E259" s="265"/>
      <c r="F259" s="264"/>
      <c r="G259" s="743"/>
      <c r="H259" s="29"/>
      <c r="I259" s="1229"/>
      <c r="J259" s="29"/>
      <c r="K259" s="313"/>
      <c r="M259" s="1624"/>
      <c r="N259" s="1112"/>
      <c r="O259" s="1112"/>
      <c r="Q259" s="313"/>
      <c r="R259" s="256"/>
      <c r="S259" s="313"/>
      <c r="T259" s="1704"/>
      <c r="U259" s="256"/>
      <c r="V259" s="313"/>
      <c r="W259" s="1704"/>
      <c r="X259" s="256"/>
      <c r="Y259" s="313"/>
      <c r="Z259" s="1704"/>
      <c r="AA259" s="256"/>
      <c r="AB259" s="313"/>
      <c r="AC259" s="1704"/>
      <c r="AD259" s="256"/>
      <c r="AE259" s="313"/>
      <c r="AF259" s="1704"/>
      <c r="AG259" s="256"/>
      <c r="AH259" s="313"/>
      <c r="AI259" s="1704"/>
      <c r="AJ259" s="256"/>
      <c r="AK259" s="313"/>
      <c r="AL259" s="1704"/>
      <c r="AM259" s="256"/>
      <c r="AN259" s="313"/>
      <c r="AO259" s="1704"/>
      <c r="AP259" s="256"/>
      <c r="AQ259" s="313"/>
      <c r="AR259" s="1704"/>
      <c r="AS259" s="256"/>
      <c r="AT259" s="313"/>
      <c r="AU259" s="313"/>
      <c r="AV259" s="256"/>
      <c r="AW259" s="313"/>
      <c r="AX259" s="313"/>
      <c r="AY259" s="256"/>
      <c r="AZ259" s="313"/>
      <c r="BA259" s="313"/>
      <c r="BB259" s="256"/>
      <c r="BC259" s="313"/>
      <c r="BD259" s="313"/>
      <c r="BE259" s="256"/>
      <c r="BF259" s="313"/>
      <c r="BG259" s="313"/>
      <c r="BH259" s="256"/>
      <c r="BI259" s="313"/>
      <c r="BJ259" s="313"/>
      <c r="BK259" s="256"/>
      <c r="BL259" s="313"/>
      <c r="BM259" s="313"/>
      <c r="BN259" s="256"/>
      <c r="BO259" s="313"/>
      <c r="BP259" s="313"/>
      <c r="BQ259" s="256"/>
      <c r="BR259" s="313"/>
      <c r="BS259" s="313"/>
      <c r="BT259" s="256"/>
      <c r="BU259" s="313"/>
      <c r="BV259" s="313"/>
      <c r="BW259" s="256"/>
      <c r="BX259" s="313"/>
      <c r="BY259" s="313"/>
      <c r="BZ259" s="256"/>
      <c r="CA259" s="313"/>
      <c r="CB259" s="313"/>
      <c r="CC259" s="256"/>
      <c r="CD259" s="313"/>
      <c r="CE259" s="313"/>
      <c r="CF259" s="256"/>
      <c r="CG259" s="313"/>
      <c r="CH259" s="313"/>
      <c r="CI259" s="1684">
        <f t="shared" si="35"/>
        <v>0</v>
      </c>
      <c r="CJ259" s="313"/>
      <c r="CK259" s="313"/>
      <c r="CL259" s="256"/>
      <c r="CM259" s="313"/>
      <c r="CN259" s="313"/>
      <c r="CO259" s="256"/>
      <c r="CP259" s="313"/>
      <c r="CQ259" s="313"/>
      <c r="CR259" s="256"/>
      <c r="CS259" s="313"/>
      <c r="CT259" s="313"/>
      <c r="CU259" s="256"/>
      <c r="CV259" s="313"/>
      <c r="CW259" s="313"/>
      <c r="CX259" s="256"/>
      <c r="CY259" s="313"/>
      <c r="CZ259" s="313"/>
    </row>
    <row r="260" spans="1:104">
      <c r="A260" s="260">
        <f t="shared" si="32"/>
        <v>253</v>
      </c>
      <c r="B260" s="495">
        <f>'Stmt H'!B170</f>
        <v>932</v>
      </c>
      <c r="C260" s="294" t="s">
        <v>159</v>
      </c>
      <c r="D260" s="266"/>
      <c r="E260" s="289" t="s">
        <v>276</v>
      </c>
      <c r="F260" s="264"/>
      <c r="G260" s="476">
        <f>'Stmt H'!F170</f>
        <v>1670500.8499999996</v>
      </c>
      <c r="H260" s="29"/>
      <c r="I260" s="583" t="s">
        <v>276</v>
      </c>
      <c r="J260" s="29"/>
      <c r="K260" s="1248">
        <f>'Stmt H'!U170</f>
        <v>1706136.4170074337</v>
      </c>
      <c r="M260" s="1624">
        <f>IF(ISERROR(O260/K260),0,O260/K260)</f>
        <v>0.87943321418081011</v>
      </c>
      <c r="N260" s="1636">
        <f>M260*G260</f>
        <v>1469093.9318072749</v>
      </c>
      <c r="O260" s="1636">
        <v>1500433.0330397785</v>
      </c>
      <c r="Q260" s="1248">
        <v>1707153.3392183662</v>
      </c>
      <c r="R260" s="256"/>
      <c r="S260" s="1248">
        <v>1707153.3392183662</v>
      </c>
      <c r="T260" s="1722">
        <v>1500027.2502615324</v>
      </c>
      <c r="U260" s="256"/>
      <c r="V260" s="1248">
        <v>1707153.3392183662</v>
      </c>
      <c r="W260" s="1722">
        <v>1500027.2502615324</v>
      </c>
      <c r="X260" s="256"/>
      <c r="Y260" s="1248">
        <v>1707151.4092183663</v>
      </c>
      <c r="Z260" s="1722">
        <v>1500038.478317251</v>
      </c>
      <c r="AA260" s="256"/>
      <c r="AB260" s="1248">
        <v>1707151.4092183663</v>
      </c>
      <c r="AC260" s="1722">
        <v>1499929.5734949815</v>
      </c>
      <c r="AD260" s="256"/>
      <c r="AE260" s="1248">
        <v>1707151.4092183663</v>
      </c>
      <c r="AF260" s="1722">
        <v>1499929.5734949817</v>
      </c>
      <c r="AG260" s="256"/>
      <c r="AH260" s="1248">
        <v>1707151.4092183663</v>
      </c>
      <c r="AI260" s="1722">
        <v>1499929.573494982</v>
      </c>
      <c r="AJ260" s="256"/>
      <c r="AK260" s="1248">
        <v>1707151.4092183663</v>
      </c>
      <c r="AL260" s="1722">
        <v>1499914.5547014396</v>
      </c>
      <c r="AM260" s="256"/>
      <c r="AN260" s="1248">
        <v>1707146.6469944548</v>
      </c>
      <c r="AO260" s="1722">
        <v>1499918.9723376231</v>
      </c>
      <c r="AP260" s="256"/>
      <c r="AQ260" s="1248">
        <v>1707146.6469944548</v>
      </c>
      <c r="AR260" s="1722">
        <v>1499918.9723376231</v>
      </c>
      <c r="AS260" s="256"/>
      <c r="AT260" s="1248">
        <v>1707146.6469944548</v>
      </c>
      <c r="AU260" s="1248">
        <v>1499918.9723376231</v>
      </c>
      <c r="AV260" s="256"/>
      <c r="AW260" s="1248">
        <v>1707146.6469944548</v>
      </c>
      <c r="AX260" s="1248">
        <v>1499918.9723376231</v>
      </c>
      <c r="AY260" s="256"/>
      <c r="AZ260" s="1248">
        <v>1707146.6469944548</v>
      </c>
      <c r="BA260" s="1248">
        <v>1499918.9723376231</v>
      </c>
      <c r="BB260" s="256"/>
      <c r="BC260" s="1248">
        <v>1707146.6469944548</v>
      </c>
      <c r="BD260" s="1248">
        <v>1499918.9723376231</v>
      </c>
      <c r="BE260" s="256"/>
      <c r="BF260" s="1248">
        <v>1707146.6469944548</v>
      </c>
      <c r="BG260" s="1248">
        <v>1499918.9723376231</v>
      </c>
      <c r="BH260" s="256"/>
      <c r="BI260" s="1248">
        <v>1707146.6469944548</v>
      </c>
      <c r="BJ260" s="1248">
        <v>1499918.9723376231</v>
      </c>
      <c r="BK260" s="256"/>
      <c r="BL260" s="1248">
        <v>1707146.6469944548</v>
      </c>
      <c r="BM260" s="1248">
        <v>1499918.9723376231</v>
      </c>
      <c r="BN260" s="256"/>
      <c r="BO260" s="1248">
        <v>1707146.6469944548</v>
      </c>
      <c r="BP260" s="1248">
        <v>1499918.9723376231</v>
      </c>
      <c r="BQ260" s="256"/>
      <c r="BR260" s="1248">
        <v>1707146.6469944548</v>
      </c>
      <c r="BS260" s="1248">
        <v>1499918.9723376231</v>
      </c>
      <c r="BT260" s="256"/>
      <c r="BU260" s="1248">
        <v>1707146.6469944548</v>
      </c>
      <c r="BV260" s="1248">
        <v>1499918.9723376231</v>
      </c>
      <c r="BW260" s="256"/>
      <c r="BX260" s="1248">
        <v>1707146.6469944548</v>
      </c>
      <c r="BY260" s="1248">
        <v>1499918.9723376231</v>
      </c>
      <c r="BZ260" s="256"/>
      <c r="CA260" s="1248">
        <v>1707145.9669944549</v>
      </c>
      <c r="CB260" s="1248">
        <v>1501055.0547392955</v>
      </c>
      <c r="CC260" s="256"/>
      <c r="CD260" s="1248">
        <v>1707145.9669944549</v>
      </c>
      <c r="CE260" s="1248">
        <v>1501055.0547392955</v>
      </c>
      <c r="CF260" s="256"/>
      <c r="CG260" s="1248">
        <v>1707145.9669944549</v>
      </c>
      <c r="CH260" s="1248">
        <v>1501055.0547392955</v>
      </c>
      <c r="CI260" s="1684">
        <f t="shared" si="35"/>
        <v>0</v>
      </c>
      <c r="CJ260" s="1248">
        <v>1707145.9669944549</v>
      </c>
      <c r="CK260" s="1248">
        <v>1501055.0547392955</v>
      </c>
      <c r="CL260" s="256"/>
      <c r="CM260" s="1248">
        <v>1707130.9779964334</v>
      </c>
      <c r="CN260" s="1248">
        <v>1501154.2387234811</v>
      </c>
      <c r="CO260" s="256"/>
      <c r="CP260" s="1248">
        <v>1707130.9779964334</v>
      </c>
      <c r="CQ260" s="1248">
        <v>1501154.2387234811</v>
      </c>
      <c r="CR260" s="256"/>
      <c r="CS260" s="1248">
        <v>1706136.4170074337</v>
      </c>
      <c r="CT260" s="1248">
        <v>1500433.0330397785</v>
      </c>
      <c r="CU260" s="256"/>
      <c r="CV260" s="1248">
        <v>1706136.4170074337</v>
      </c>
      <c r="CW260" s="1248">
        <v>1500433.0330397785</v>
      </c>
      <c r="CX260" s="256"/>
      <c r="CY260" s="1248"/>
      <c r="CZ260" s="1248"/>
    </row>
    <row r="261" spans="1:104">
      <c r="A261" s="260">
        <f t="shared" si="32"/>
        <v>254</v>
      </c>
      <c r="B261" s="254"/>
      <c r="C261" s="275" t="s">
        <v>142</v>
      </c>
      <c r="D261" s="266"/>
      <c r="E261" s="265"/>
      <c r="F261" s="264"/>
      <c r="G261" s="353">
        <f>G260</f>
        <v>1670500.8499999996</v>
      </c>
      <c r="H261" s="29"/>
      <c r="I261" s="1229"/>
      <c r="J261" s="29"/>
      <c r="K261" s="310">
        <f>K260</f>
        <v>1706136.4170074337</v>
      </c>
      <c r="M261" s="1630" t="s">
        <v>1528</v>
      </c>
      <c r="N261" s="1614">
        <f>N260</f>
        <v>1469093.9318072749</v>
      </c>
      <c r="O261" s="1614">
        <v>1500433.0330397785</v>
      </c>
      <c r="Q261" s="310">
        <v>1707153.3392183662</v>
      </c>
      <c r="R261" s="256"/>
      <c r="S261" s="310">
        <v>1707153.3392183662</v>
      </c>
      <c r="T261" s="1723">
        <v>1500027.2502615324</v>
      </c>
      <c r="U261" s="256"/>
      <c r="V261" s="310">
        <v>1707153.3392183662</v>
      </c>
      <c r="W261" s="1723">
        <v>1500027.2502615324</v>
      </c>
      <c r="X261" s="256"/>
      <c r="Y261" s="310">
        <v>1707151.4092183663</v>
      </c>
      <c r="Z261" s="1723">
        <v>1500038.478317251</v>
      </c>
      <c r="AA261" s="256"/>
      <c r="AB261" s="310">
        <v>1707151.4092183663</v>
      </c>
      <c r="AC261" s="1723">
        <v>1499929.5734949815</v>
      </c>
      <c r="AD261" s="256"/>
      <c r="AE261" s="310">
        <v>1707151.4092183663</v>
      </c>
      <c r="AF261" s="1723">
        <v>1499929.5734949817</v>
      </c>
      <c r="AG261" s="256"/>
      <c r="AH261" s="310">
        <v>1707151.4092183663</v>
      </c>
      <c r="AI261" s="1723">
        <v>1499929.573494982</v>
      </c>
      <c r="AJ261" s="256"/>
      <c r="AK261" s="310">
        <v>1707151.4092183663</v>
      </c>
      <c r="AL261" s="1723">
        <v>1499914.5547014396</v>
      </c>
      <c r="AM261" s="256"/>
      <c r="AN261" s="310">
        <v>1707146.6469944548</v>
      </c>
      <c r="AO261" s="1723">
        <v>1499918.9723376231</v>
      </c>
      <c r="AP261" s="256"/>
      <c r="AQ261" s="310">
        <v>1707146.6469944548</v>
      </c>
      <c r="AR261" s="1723">
        <v>1499918.9723376231</v>
      </c>
      <c r="AS261" s="256"/>
      <c r="AT261" s="310">
        <v>1707146.6469944548</v>
      </c>
      <c r="AU261" s="310">
        <v>1499918.9723376231</v>
      </c>
      <c r="AV261" s="256"/>
      <c r="AW261" s="310">
        <v>1707146.6469944548</v>
      </c>
      <c r="AX261" s="310">
        <v>1499918.9723376231</v>
      </c>
      <c r="AY261" s="256"/>
      <c r="AZ261" s="310">
        <v>1707146.6469944548</v>
      </c>
      <c r="BA261" s="310">
        <v>1499918.9723376231</v>
      </c>
      <c r="BB261" s="256"/>
      <c r="BC261" s="310">
        <v>1707146.6469944548</v>
      </c>
      <c r="BD261" s="310">
        <v>1499918.9723376231</v>
      </c>
      <c r="BE261" s="256"/>
      <c r="BF261" s="310">
        <v>1707146.6469944548</v>
      </c>
      <c r="BG261" s="310">
        <v>1499918.9723376231</v>
      </c>
      <c r="BH261" s="256"/>
      <c r="BI261" s="310">
        <v>1707146.6469944548</v>
      </c>
      <c r="BJ261" s="310">
        <v>1499918.9723376231</v>
      </c>
      <c r="BK261" s="256"/>
      <c r="BL261" s="310">
        <v>1707146.6469944548</v>
      </c>
      <c r="BM261" s="310">
        <v>1499918.9723376231</v>
      </c>
      <c r="BN261" s="256"/>
      <c r="BO261" s="310">
        <v>1707146.6469944548</v>
      </c>
      <c r="BP261" s="310">
        <v>1499918.9723376231</v>
      </c>
      <c r="BQ261" s="256"/>
      <c r="BR261" s="310">
        <v>1707146.6469944548</v>
      </c>
      <c r="BS261" s="310">
        <v>1499918.9723376231</v>
      </c>
      <c r="BT261" s="256"/>
      <c r="BU261" s="310">
        <v>1707146.6469944548</v>
      </c>
      <c r="BV261" s="310">
        <v>1499918.9723376231</v>
      </c>
      <c r="BW261" s="256"/>
      <c r="BX261" s="310">
        <v>1707146.6469944548</v>
      </c>
      <c r="BY261" s="310">
        <v>1499918.9723376231</v>
      </c>
      <c r="BZ261" s="256"/>
      <c r="CA261" s="310">
        <v>1707145.9669944549</v>
      </c>
      <c r="CB261" s="310">
        <v>1501055.0547392955</v>
      </c>
      <c r="CC261" s="256"/>
      <c r="CD261" s="310">
        <v>1707145.9669944549</v>
      </c>
      <c r="CE261" s="310">
        <v>1501055.0547392955</v>
      </c>
      <c r="CF261" s="256"/>
      <c r="CG261" s="310">
        <v>1707145.9669944549</v>
      </c>
      <c r="CH261" s="310">
        <v>1501055.0547392955</v>
      </c>
      <c r="CI261" s="1684">
        <f t="shared" si="35"/>
        <v>0</v>
      </c>
      <c r="CJ261" s="310">
        <v>1707145.9669944549</v>
      </c>
      <c r="CK261" s="310">
        <v>1501055.0547392955</v>
      </c>
      <c r="CL261" s="256"/>
      <c r="CM261" s="310">
        <v>1707130.9779964334</v>
      </c>
      <c r="CN261" s="310">
        <v>1501154.2387234811</v>
      </c>
      <c r="CO261" s="256"/>
      <c r="CP261" s="310">
        <v>1707130.9779964334</v>
      </c>
      <c r="CQ261" s="310">
        <v>1501154.2387234811</v>
      </c>
      <c r="CR261" s="256"/>
      <c r="CS261" s="310">
        <v>1706136.4170074337</v>
      </c>
      <c r="CT261" s="310">
        <v>1500433.0330397785</v>
      </c>
      <c r="CU261" s="256"/>
      <c r="CV261" s="310">
        <v>1706136.4170074337</v>
      </c>
      <c r="CW261" s="310">
        <v>1500433.0330397785</v>
      </c>
      <c r="CX261" s="256"/>
      <c r="CY261" s="310"/>
      <c r="CZ261" s="310"/>
    </row>
    <row r="262" spans="1:104">
      <c r="A262" s="260">
        <f t="shared" si="32"/>
        <v>255</v>
      </c>
      <c r="B262" s="495"/>
      <c r="C262" s="275"/>
      <c r="D262" s="266"/>
      <c r="E262" s="265"/>
      <c r="F262" s="264"/>
      <c r="G262" s="743"/>
      <c r="H262" s="29"/>
      <c r="I262" s="24"/>
      <c r="J262" s="29"/>
      <c r="K262" s="313"/>
      <c r="M262" s="1624"/>
      <c r="N262" s="1614"/>
      <c r="O262" s="1614"/>
      <c r="Q262" s="313"/>
      <c r="R262" s="256"/>
      <c r="S262" s="313"/>
      <c r="T262" s="1704"/>
      <c r="U262" s="256"/>
      <c r="V262" s="313"/>
      <c r="W262" s="1704"/>
      <c r="X262" s="256"/>
      <c r="Y262" s="313"/>
      <c r="Z262" s="1704"/>
      <c r="AA262" s="256"/>
      <c r="AB262" s="313"/>
      <c r="AC262" s="1704"/>
      <c r="AD262" s="256"/>
      <c r="AE262" s="313"/>
      <c r="AF262" s="1704"/>
      <c r="AG262" s="256"/>
      <c r="AH262" s="313"/>
      <c r="AI262" s="1704"/>
      <c r="AJ262" s="256"/>
      <c r="AK262" s="313"/>
      <c r="AL262" s="1704"/>
      <c r="AM262" s="256"/>
      <c r="AN262" s="313"/>
      <c r="AO262" s="1704"/>
      <c r="AP262" s="256"/>
      <c r="AQ262" s="313"/>
      <c r="AR262" s="1704"/>
      <c r="AS262" s="256"/>
      <c r="AT262" s="313"/>
      <c r="AU262" s="313"/>
      <c r="AV262" s="256"/>
      <c r="AW262" s="313"/>
      <c r="AX262" s="313"/>
      <c r="AY262" s="256"/>
      <c r="AZ262" s="313"/>
      <c r="BA262" s="313"/>
      <c r="BB262" s="256"/>
      <c r="BC262" s="313"/>
      <c r="BD262" s="313"/>
      <c r="BE262" s="256"/>
      <c r="BF262" s="313"/>
      <c r="BG262" s="313"/>
      <c r="BH262" s="256"/>
      <c r="BI262" s="313"/>
      <c r="BJ262" s="313"/>
      <c r="BK262" s="256"/>
      <c r="BL262" s="313"/>
      <c r="BM262" s="313"/>
      <c r="BN262" s="256"/>
      <c r="BO262" s="313"/>
      <c r="BP262" s="313"/>
      <c r="BQ262" s="256"/>
      <c r="BR262" s="313"/>
      <c r="BS262" s="313"/>
      <c r="BT262" s="256"/>
      <c r="BU262" s="313"/>
      <c r="BV262" s="313"/>
      <c r="BW262" s="256"/>
      <c r="BX262" s="313"/>
      <c r="BY262" s="313"/>
      <c r="BZ262" s="256"/>
      <c r="CA262" s="313"/>
      <c r="CB262" s="313"/>
      <c r="CC262" s="256"/>
      <c r="CD262" s="313"/>
      <c r="CE262" s="313"/>
      <c r="CF262" s="256"/>
      <c r="CG262" s="313"/>
      <c r="CH262" s="313"/>
      <c r="CI262" s="1684">
        <f t="shared" si="35"/>
        <v>0</v>
      </c>
      <c r="CJ262" s="313"/>
      <c r="CK262" s="313"/>
      <c r="CL262" s="256"/>
      <c r="CM262" s="313"/>
      <c r="CN262" s="313"/>
      <c r="CO262" s="256"/>
      <c r="CP262" s="313"/>
      <c r="CQ262" s="313"/>
      <c r="CR262" s="256"/>
      <c r="CS262" s="313"/>
      <c r="CT262" s="313"/>
      <c r="CU262" s="256"/>
      <c r="CV262" s="313"/>
      <c r="CW262" s="313"/>
      <c r="CX262" s="256"/>
      <c r="CY262" s="313"/>
      <c r="CZ262" s="313"/>
    </row>
    <row r="263" spans="1:104">
      <c r="A263" s="260">
        <f t="shared" si="32"/>
        <v>256</v>
      </c>
      <c r="B263" s="495"/>
      <c r="C263" s="275" t="s">
        <v>143</v>
      </c>
      <c r="D263" s="266"/>
      <c r="E263" s="265"/>
      <c r="F263" s="264"/>
      <c r="G263" s="743">
        <f>G257+G261</f>
        <v>31946970.649999999</v>
      </c>
      <c r="H263" s="29"/>
      <c r="I263" s="24"/>
      <c r="J263" s="29"/>
      <c r="K263" s="313">
        <f>K257+K261</f>
        <v>35931800.450047344</v>
      </c>
      <c r="M263" s="1630" t="s">
        <v>1528</v>
      </c>
      <c r="N263" s="1110">
        <f>N257+N261</f>
        <v>27868213.984269012</v>
      </c>
      <c r="O263" s="1110">
        <v>31343026.635424554</v>
      </c>
      <c r="Q263" s="313">
        <v>37291597.528651923</v>
      </c>
      <c r="R263" s="256"/>
      <c r="S263" s="313">
        <v>37291597.528651923</v>
      </c>
      <c r="T263" s="1704">
        <v>32502294.840060145</v>
      </c>
      <c r="U263" s="256"/>
      <c r="V263" s="313">
        <v>37291597.528651923</v>
      </c>
      <c r="W263" s="1704">
        <v>32502294.840060145</v>
      </c>
      <c r="X263" s="256"/>
      <c r="Y263" s="313">
        <v>37291573.52865193</v>
      </c>
      <c r="Z263" s="1704">
        <v>32502584.587826114</v>
      </c>
      <c r="AA263" s="256"/>
      <c r="AB263" s="313">
        <v>37291573.52865193</v>
      </c>
      <c r="AC263" s="1704">
        <v>32499966.672072452</v>
      </c>
      <c r="AD263" s="256"/>
      <c r="AE263" s="313">
        <v>37260059.52865193</v>
      </c>
      <c r="AF263" s="1704">
        <v>32472512.429398563</v>
      </c>
      <c r="AG263" s="256"/>
      <c r="AH263" s="313">
        <v>37260059.52865193</v>
      </c>
      <c r="AI263" s="1704">
        <v>32472512.429398566</v>
      </c>
      <c r="AJ263" s="256"/>
      <c r="AK263" s="313">
        <v>37260059.52865193</v>
      </c>
      <c r="AL263" s="1704">
        <v>32472151.705801822</v>
      </c>
      <c r="AM263" s="256"/>
      <c r="AN263" s="313">
        <v>37252733.225390576</v>
      </c>
      <c r="AO263" s="1704">
        <v>32465975.799609616</v>
      </c>
      <c r="AP263" s="256"/>
      <c r="AQ263" s="313">
        <v>36655721.96955581</v>
      </c>
      <c r="AR263" s="1704">
        <v>31945876.362135414</v>
      </c>
      <c r="AS263" s="256"/>
      <c r="AT263" s="313">
        <v>36655721.96955581</v>
      </c>
      <c r="AU263" s="313">
        <v>31945876.362135414</v>
      </c>
      <c r="AV263" s="256"/>
      <c r="AW263" s="313">
        <v>36578331.96955581</v>
      </c>
      <c r="AX263" s="313">
        <v>31878456.367834222</v>
      </c>
      <c r="AY263" s="256"/>
      <c r="AZ263" s="313">
        <v>36578331.96955581</v>
      </c>
      <c r="BA263" s="313">
        <v>31878456.367834222</v>
      </c>
      <c r="BB263" s="256"/>
      <c r="BC263" s="313">
        <v>36578331.96955581</v>
      </c>
      <c r="BD263" s="313">
        <v>31878456.367834222</v>
      </c>
      <c r="BE263" s="256"/>
      <c r="BF263" s="313">
        <v>36305578.540800944</v>
      </c>
      <c r="BG263" s="313">
        <v>31640841.241690207</v>
      </c>
      <c r="BH263" s="256"/>
      <c r="BI263" s="313">
        <v>36039385.040800937</v>
      </c>
      <c r="BJ263" s="313">
        <v>31408940.94122484</v>
      </c>
      <c r="BK263" s="256"/>
      <c r="BL263" s="313">
        <v>35814385.040800937</v>
      </c>
      <c r="BM263" s="313">
        <v>31212927.260933217</v>
      </c>
      <c r="BN263" s="256"/>
      <c r="BO263" s="313">
        <v>35548191.540800937</v>
      </c>
      <c r="BP263" s="313">
        <v>30981026.872681122</v>
      </c>
      <c r="BQ263" s="256"/>
      <c r="BR263" s="313">
        <v>35814385.040800937</v>
      </c>
      <c r="BS263" s="313">
        <v>31212927.17314649</v>
      </c>
      <c r="BT263" s="256"/>
      <c r="BU263" s="313">
        <v>35814385.040800937</v>
      </c>
      <c r="BV263" s="313">
        <v>31212927.17314649</v>
      </c>
      <c r="BW263" s="256"/>
      <c r="BX263" s="313">
        <v>35814385.040800937</v>
      </c>
      <c r="BY263" s="313">
        <v>31212927.17314649</v>
      </c>
      <c r="BZ263" s="256"/>
      <c r="CA263" s="313">
        <v>35814376.49080094</v>
      </c>
      <c r="CB263" s="313">
        <v>31234501.336087141</v>
      </c>
      <c r="CC263" s="256"/>
      <c r="CD263" s="313">
        <v>35814376.49080094</v>
      </c>
      <c r="CE263" s="313">
        <v>31234501.336087141</v>
      </c>
      <c r="CF263" s="256"/>
      <c r="CG263" s="313">
        <v>35781082.379906662</v>
      </c>
      <c r="CH263" s="313">
        <v>31205476.497623395</v>
      </c>
      <c r="CI263" s="1684">
        <f t="shared" si="35"/>
        <v>-29024.838463746011</v>
      </c>
      <c r="CJ263" s="313">
        <v>35781082.379906662</v>
      </c>
      <c r="CK263" s="313">
        <v>31205476.497623395</v>
      </c>
      <c r="CL263" s="256"/>
      <c r="CM263" s="313">
        <v>35724919.054822855</v>
      </c>
      <c r="CN263" s="313">
        <v>31159106.291805908</v>
      </c>
      <c r="CO263" s="256"/>
      <c r="CP263" s="313">
        <v>36035195.575617336</v>
      </c>
      <c r="CQ263" s="313">
        <v>31429618.976692595</v>
      </c>
      <c r="CR263" s="256"/>
      <c r="CS263" s="313">
        <v>35931800.450047344</v>
      </c>
      <c r="CT263" s="313">
        <v>31343026.635424554</v>
      </c>
      <c r="CU263" s="256"/>
      <c r="CV263" s="313">
        <v>35931800.450047344</v>
      </c>
      <c r="CW263" s="313">
        <v>31343026.635424554</v>
      </c>
      <c r="CX263" s="256"/>
      <c r="CY263" s="313"/>
      <c r="CZ263" s="313"/>
    </row>
    <row r="264" spans="1:104">
      <c r="A264" s="260">
        <f t="shared" si="32"/>
        <v>257</v>
      </c>
      <c r="B264" s="260"/>
      <c r="D264" s="266"/>
      <c r="E264" s="265"/>
      <c r="F264" s="264"/>
      <c r="G264" s="361"/>
      <c r="H264" s="29"/>
      <c r="I264" s="24"/>
      <c r="J264" s="29"/>
      <c r="K264" s="54"/>
      <c r="M264" s="1624"/>
      <c r="N264" s="1614"/>
      <c r="O264" s="1614"/>
      <c r="Q264" s="54"/>
      <c r="R264" s="256"/>
      <c r="S264" s="54"/>
      <c r="T264" s="1694"/>
      <c r="U264" s="256"/>
      <c r="V264" s="54"/>
      <c r="W264" s="1694"/>
      <c r="X264" s="256"/>
      <c r="Y264" s="54"/>
      <c r="Z264" s="1694"/>
      <c r="AA264" s="256"/>
      <c r="AB264" s="54"/>
      <c r="AC264" s="1694"/>
      <c r="AD264" s="256"/>
      <c r="AE264" s="54"/>
      <c r="AF264" s="1694"/>
      <c r="AG264" s="256"/>
      <c r="AH264" s="54"/>
      <c r="AI264" s="1694"/>
      <c r="AJ264" s="256"/>
      <c r="AK264" s="54"/>
      <c r="AL264" s="1694"/>
      <c r="AM264" s="256"/>
      <c r="AN264" s="54"/>
      <c r="AO264" s="1694"/>
      <c r="AP264" s="256"/>
      <c r="AQ264" s="54"/>
      <c r="AR264" s="1694"/>
      <c r="AS264" s="256"/>
      <c r="AT264" s="54"/>
      <c r="AU264" s="54"/>
      <c r="AV264" s="256"/>
      <c r="AW264" s="54"/>
      <c r="AX264" s="54"/>
      <c r="AY264" s="256"/>
      <c r="AZ264" s="54"/>
      <c r="BA264" s="54"/>
      <c r="BB264" s="256"/>
      <c r="BC264" s="54"/>
      <c r="BD264" s="54"/>
      <c r="BE264" s="256"/>
      <c r="BF264" s="54"/>
      <c r="BG264" s="54"/>
      <c r="BH264" s="256"/>
      <c r="BI264" s="54"/>
      <c r="BJ264" s="54"/>
      <c r="BK264" s="256"/>
      <c r="BL264" s="54"/>
      <c r="BM264" s="54"/>
      <c r="BN264" s="256"/>
      <c r="BO264" s="54"/>
      <c r="BP264" s="54"/>
      <c r="BQ264" s="256"/>
      <c r="BR264" s="54"/>
      <c r="BS264" s="54"/>
      <c r="BT264" s="256"/>
      <c r="BU264" s="54"/>
      <c r="BV264" s="54"/>
      <c r="BW264" s="256"/>
      <c r="BX264" s="54"/>
      <c r="BY264" s="54"/>
      <c r="BZ264" s="256"/>
      <c r="CA264" s="54"/>
      <c r="CB264" s="54"/>
      <c r="CC264" s="256"/>
      <c r="CD264" s="54"/>
      <c r="CE264" s="54"/>
      <c r="CF264" s="256"/>
      <c r="CG264" s="54"/>
      <c r="CH264" s="54"/>
      <c r="CI264" s="1684">
        <f t="shared" si="35"/>
        <v>0</v>
      </c>
      <c r="CJ264" s="54"/>
      <c r="CK264" s="54"/>
      <c r="CL264" s="256"/>
      <c r="CM264" s="54"/>
      <c r="CN264" s="54"/>
      <c r="CO264" s="256"/>
      <c r="CP264" s="54"/>
      <c r="CQ264" s="54"/>
      <c r="CR264" s="256"/>
      <c r="CS264" s="54"/>
      <c r="CT264" s="54"/>
      <c r="CU264" s="256"/>
      <c r="CV264" s="54"/>
      <c r="CW264" s="54"/>
      <c r="CX264" s="256"/>
      <c r="CY264" s="54"/>
      <c r="CZ264" s="54"/>
    </row>
    <row r="265" spans="1:104">
      <c r="A265" s="260">
        <f t="shared" si="32"/>
        <v>258</v>
      </c>
      <c r="B265" s="260"/>
      <c r="C265" s="275" t="s">
        <v>135</v>
      </c>
      <c r="D265" s="266"/>
      <c r="E265" s="265"/>
      <c r="F265" s="264"/>
      <c r="G265" s="743">
        <f>+G137+G185+G215+G224+G232+G242+G263+G161+G124+G114</f>
        <v>143067313.11999997</v>
      </c>
      <c r="H265" s="743"/>
      <c r="I265" s="743"/>
      <c r="J265" s="743"/>
      <c r="K265" s="1368">
        <f ca="1">+K137+K185+K215+K224+K232+K242+K263+K161+K124+K114</f>
        <v>73261868.646502465</v>
      </c>
      <c r="M265" s="1630" t="s">
        <v>1528</v>
      </c>
      <c r="N265" s="1112">
        <f ca="1">+N137+N185+N215+N224+N232+N242+N263+N161+N124+N114</f>
        <v>58854459.748435229</v>
      </c>
      <c r="O265" s="1112">
        <v>63943406.506258681</v>
      </c>
      <c r="Q265" s="1584">
        <v>75451784.754911885</v>
      </c>
      <c r="R265" s="256"/>
      <c r="S265" s="1584">
        <v>75451784.649267763</v>
      </c>
      <c r="T265" s="1724">
        <v>65802536.906990692</v>
      </c>
      <c r="U265" s="256"/>
      <c r="V265" s="1584">
        <v>75451790.155968264</v>
      </c>
      <c r="W265" s="1724">
        <v>65802542.131375998</v>
      </c>
      <c r="X265" s="256"/>
      <c r="Y265" s="1584">
        <v>75389882.931978062</v>
      </c>
      <c r="Z265" s="1724">
        <v>65749243.750105545</v>
      </c>
      <c r="AA265" s="256"/>
      <c r="AB265" s="1584">
        <v>75355689.684009582</v>
      </c>
      <c r="AC265" s="1724">
        <v>65714189.336928762</v>
      </c>
      <c r="AD265" s="256"/>
      <c r="AE265" s="1584">
        <v>75324036.599104643</v>
      </c>
      <c r="AF265" s="1724">
        <v>65686603.139896452</v>
      </c>
      <c r="AG265" s="256"/>
      <c r="AH265" s="1584">
        <v>75321444.607058704</v>
      </c>
      <c r="AI265" s="1724">
        <v>65684144.033010498</v>
      </c>
      <c r="AJ265" s="256"/>
      <c r="AK265" s="1584">
        <v>75172950.973669201</v>
      </c>
      <c r="AL265" s="1724">
        <v>65554006.780442499</v>
      </c>
      <c r="AM265" s="256"/>
      <c r="AN265" s="1584">
        <v>75148020.252019629</v>
      </c>
      <c r="AO265" s="1724">
        <v>65532682.273700923</v>
      </c>
      <c r="AP265" s="256"/>
      <c r="AQ265" s="1584">
        <v>74548374.0906111</v>
      </c>
      <c r="AR265" s="1724">
        <v>65010083.015885681</v>
      </c>
      <c r="AS265" s="256"/>
      <c r="AT265" s="1584">
        <v>74548444.454006523</v>
      </c>
      <c r="AU265" s="1584">
        <v>65010149.7719201</v>
      </c>
      <c r="AV265" s="256"/>
      <c r="AW265" s="1584">
        <v>74470712.897715956</v>
      </c>
      <c r="AX265" s="1584">
        <v>64942405.732092835</v>
      </c>
      <c r="AY265" s="256"/>
      <c r="AZ265" s="1584">
        <v>74466606.805130392</v>
      </c>
      <c r="BA265" s="1584">
        <v>64938510.14893806</v>
      </c>
      <c r="BB265" s="256"/>
      <c r="BC265" s="1584">
        <v>74466606.805130392</v>
      </c>
      <c r="BD265" s="1584">
        <v>64938510.14893806</v>
      </c>
      <c r="BE265" s="256"/>
      <c r="BF265" s="1584">
        <v>74192649.579070032</v>
      </c>
      <c r="BG265" s="1584">
        <v>64699752.941263407</v>
      </c>
      <c r="BH265" s="256"/>
      <c r="BI265" s="1584">
        <v>73925281.237061068</v>
      </c>
      <c r="BJ265" s="1584">
        <v>64466738.03009595</v>
      </c>
      <c r="BK265" s="256"/>
      <c r="BL265" s="1584">
        <v>73699288.199803948</v>
      </c>
      <c r="BM265" s="1584">
        <v>64269782.223164387</v>
      </c>
      <c r="BN265" s="256"/>
      <c r="BO265" s="1584">
        <v>73422774.997784093</v>
      </c>
      <c r="BP265" s="1584">
        <v>64028091.199042998</v>
      </c>
      <c r="BQ265" s="256"/>
      <c r="BR265" s="1584">
        <v>73681268.607432291</v>
      </c>
      <c r="BS265" s="1584">
        <v>64252686.363902412</v>
      </c>
      <c r="BT265" s="256"/>
      <c r="BU265" s="1584">
        <v>73678298.585458308</v>
      </c>
      <c r="BV265" s="1584">
        <v>64249868.607768074</v>
      </c>
      <c r="BW265" s="256"/>
      <c r="BX265" s="1584">
        <v>73678778.852497518</v>
      </c>
      <c r="BY265" s="1584">
        <v>64250324.25267835</v>
      </c>
      <c r="BZ265" s="256"/>
      <c r="CA265" s="1584">
        <v>73661096.890675962</v>
      </c>
      <c r="CB265" s="1584">
        <v>64279137.152439453</v>
      </c>
      <c r="CC265" s="256"/>
      <c r="CD265" s="1584">
        <v>73661096.890675962</v>
      </c>
      <c r="CE265" s="1584">
        <v>64279137.152439453</v>
      </c>
      <c r="CF265" s="256"/>
      <c r="CG265" s="1584">
        <v>73627655.824388728</v>
      </c>
      <c r="CH265" s="1584">
        <v>64249972.892630145</v>
      </c>
      <c r="CI265" s="1684">
        <f t="shared" si="35"/>
        <v>-29164.259809307754</v>
      </c>
      <c r="CJ265" s="1584">
        <v>73627655.824388728</v>
      </c>
      <c r="CK265" s="1584">
        <v>64249972.892630145</v>
      </c>
      <c r="CL265" s="256"/>
      <c r="CM265" s="1584">
        <v>73085556.234746441</v>
      </c>
      <c r="CN265" s="1584">
        <v>63782449.832658529</v>
      </c>
      <c r="CO265" s="256"/>
      <c r="CP265" s="1368">
        <v>73397202.255671412</v>
      </c>
      <c r="CQ265" s="1584">
        <v>64054261.806717977</v>
      </c>
      <c r="CR265" s="256"/>
      <c r="CS265" s="1368">
        <v>73262133.183817133</v>
      </c>
      <c r="CT265" s="1584">
        <v>63943657.481385365</v>
      </c>
      <c r="CU265" s="256"/>
      <c r="CV265" s="1584">
        <v>73261868.646502465</v>
      </c>
      <c r="CW265" s="1584">
        <v>63943406.506258681</v>
      </c>
      <c r="CX265" s="256"/>
      <c r="CY265" s="1584"/>
      <c r="CZ265" s="1584"/>
    </row>
    <row r="266" spans="1:104">
      <c r="A266" s="260">
        <f t="shared" si="32"/>
        <v>259</v>
      </c>
      <c r="B266" s="260"/>
      <c r="D266" s="266"/>
      <c r="E266" s="265"/>
      <c r="F266" s="264"/>
      <c r="G266" s="361"/>
      <c r="H266" s="29"/>
      <c r="I266" s="24"/>
      <c r="J266" s="29"/>
      <c r="K266" s="29"/>
      <c r="M266" s="1624"/>
      <c r="N266" s="1113"/>
      <c r="O266" s="1113"/>
      <c r="Q266" s="29"/>
      <c r="R266" s="256"/>
      <c r="S266" s="29"/>
      <c r="T266" s="1697"/>
      <c r="U266" s="256"/>
      <c r="V266" s="29"/>
      <c r="W266" s="1697"/>
      <c r="X266" s="256"/>
      <c r="Y266" s="29"/>
      <c r="Z266" s="1697"/>
      <c r="AA266" s="256"/>
      <c r="AB266" s="29"/>
      <c r="AC266" s="1697"/>
      <c r="AD266" s="256"/>
      <c r="AE266" s="29"/>
      <c r="AF266" s="1697"/>
      <c r="AG266" s="256"/>
      <c r="AH266" s="29"/>
      <c r="AI266" s="1697"/>
      <c r="AJ266" s="256"/>
      <c r="AK266" s="29"/>
      <c r="AL266" s="1697"/>
      <c r="AM266" s="256"/>
      <c r="AN266" s="29"/>
      <c r="AO266" s="1697"/>
      <c r="AP266" s="256"/>
      <c r="AQ266" s="29"/>
      <c r="AR266" s="1697"/>
      <c r="AS266" s="256"/>
      <c r="AT266" s="29"/>
      <c r="AU266" s="29"/>
      <c r="AV266" s="256"/>
      <c r="AW266" s="29"/>
      <c r="AX266" s="29"/>
      <c r="AY266" s="256"/>
      <c r="AZ266" s="29"/>
      <c r="BA266" s="29"/>
      <c r="BB266" s="256"/>
      <c r="BC266" s="29"/>
      <c r="BD266" s="29"/>
      <c r="BE266" s="256"/>
      <c r="BF266" s="29"/>
      <c r="BG266" s="29"/>
      <c r="BH266" s="256"/>
      <c r="BI266" s="29"/>
      <c r="BJ266" s="29"/>
      <c r="BK266" s="256"/>
      <c r="BL266" s="29"/>
      <c r="BM266" s="29"/>
      <c r="BN266" s="256"/>
      <c r="BO266" s="29"/>
      <c r="BP266" s="29"/>
      <c r="BQ266" s="256"/>
      <c r="BR266" s="29"/>
      <c r="BS266" s="29"/>
      <c r="BT266" s="256"/>
      <c r="BU266" s="29"/>
      <c r="BV266" s="29"/>
      <c r="BW266" s="256"/>
      <c r="BX266" s="29"/>
      <c r="BY266" s="29"/>
      <c r="BZ266" s="256"/>
      <c r="CA266" s="29"/>
      <c r="CB266" s="29"/>
      <c r="CC266" s="256"/>
      <c r="CD266" s="29"/>
      <c r="CE266" s="29"/>
      <c r="CF266" s="256"/>
      <c r="CG266" s="29"/>
      <c r="CH266" s="29"/>
      <c r="CI266" s="1684">
        <f t="shared" si="35"/>
        <v>0</v>
      </c>
      <c r="CJ266" s="29"/>
      <c r="CK266" s="29"/>
      <c r="CL266" s="256"/>
      <c r="CM266" s="29"/>
      <c r="CN266" s="29"/>
      <c r="CO266" s="256"/>
      <c r="CP266" s="29"/>
      <c r="CQ266" s="29"/>
      <c r="CR266" s="256"/>
      <c r="CS266" s="29"/>
      <c r="CT266" s="29"/>
      <c r="CU266" s="256"/>
      <c r="CV266" s="29"/>
      <c r="CW266" s="29"/>
      <c r="CX266" s="256"/>
      <c r="CY266" s="29"/>
      <c r="CZ266" s="29"/>
    </row>
    <row r="267" spans="1:104">
      <c r="A267" s="260">
        <f t="shared" si="32"/>
        <v>260</v>
      </c>
      <c r="B267" s="260"/>
      <c r="C267" s="275" t="s">
        <v>30</v>
      </c>
      <c r="D267" s="266"/>
      <c r="E267" s="265"/>
      <c r="F267" s="264"/>
      <c r="G267" s="361"/>
      <c r="H267" s="29"/>
      <c r="I267" s="1229"/>
      <c r="J267" s="29"/>
      <c r="K267" s="29"/>
      <c r="M267" s="1624"/>
      <c r="N267" s="1113"/>
      <c r="O267" s="1113"/>
      <c r="Q267" s="29"/>
      <c r="R267" s="256"/>
      <c r="S267" s="29"/>
      <c r="T267" s="1697"/>
      <c r="U267" s="256"/>
      <c r="V267" s="29"/>
      <c r="W267" s="1697"/>
      <c r="X267" s="256"/>
      <c r="Y267" s="29"/>
      <c r="Z267" s="1697"/>
      <c r="AA267" s="256"/>
      <c r="AB267" s="29"/>
      <c r="AC267" s="1697"/>
      <c r="AD267" s="256"/>
      <c r="AE267" s="29"/>
      <c r="AF267" s="1697"/>
      <c r="AG267" s="256"/>
      <c r="AH267" s="29"/>
      <c r="AI267" s="1697"/>
      <c r="AJ267" s="256"/>
      <c r="AK267" s="29"/>
      <c r="AL267" s="1697"/>
      <c r="AM267" s="256"/>
      <c r="AN267" s="29"/>
      <c r="AO267" s="1697"/>
      <c r="AP267" s="256"/>
      <c r="AQ267" s="29"/>
      <c r="AR267" s="1697"/>
      <c r="AS267" s="256"/>
      <c r="AT267" s="29"/>
      <c r="AU267" s="29"/>
      <c r="AV267" s="256"/>
      <c r="AW267" s="29"/>
      <c r="AX267" s="29"/>
      <c r="AY267" s="256"/>
      <c r="AZ267" s="29"/>
      <c r="BA267" s="29"/>
      <c r="BB267" s="256"/>
      <c r="BC267" s="29"/>
      <c r="BD267" s="29"/>
      <c r="BE267" s="256"/>
      <c r="BF267" s="29"/>
      <c r="BG267" s="29"/>
      <c r="BH267" s="256"/>
      <c r="BI267" s="29"/>
      <c r="BJ267" s="29"/>
      <c r="BK267" s="256"/>
      <c r="BL267" s="29"/>
      <c r="BM267" s="29"/>
      <c r="BN267" s="256"/>
      <c r="BO267" s="29"/>
      <c r="BP267" s="29"/>
      <c r="BQ267" s="256"/>
      <c r="BR267" s="29"/>
      <c r="BS267" s="29"/>
      <c r="BT267" s="256"/>
      <c r="BU267" s="29"/>
      <c r="BV267" s="29"/>
      <c r="BW267" s="256"/>
      <c r="BX267" s="29"/>
      <c r="BY267" s="29"/>
      <c r="BZ267" s="256"/>
      <c r="CA267" s="29"/>
      <c r="CB267" s="29"/>
      <c r="CC267" s="256"/>
      <c r="CD267" s="29"/>
      <c r="CE267" s="29"/>
      <c r="CF267" s="256"/>
      <c r="CG267" s="29"/>
      <c r="CH267" s="29"/>
      <c r="CI267" s="1684">
        <f t="shared" si="35"/>
        <v>0</v>
      </c>
      <c r="CJ267" s="29"/>
      <c r="CK267" s="29"/>
      <c r="CL267" s="256"/>
      <c r="CM267" s="29"/>
      <c r="CN267" s="29"/>
      <c r="CO267" s="256"/>
      <c r="CP267" s="29"/>
      <c r="CQ267" s="29"/>
      <c r="CR267" s="256"/>
      <c r="CS267" s="29"/>
      <c r="CT267" s="29"/>
      <c r="CU267" s="256"/>
      <c r="CV267" s="29"/>
      <c r="CW267" s="29"/>
      <c r="CX267" s="256"/>
      <c r="CY267" s="29"/>
      <c r="CZ267" s="29"/>
    </row>
    <row r="268" spans="1:104">
      <c r="A268" s="260">
        <f t="shared" si="32"/>
        <v>261</v>
      </c>
      <c r="B268" s="260"/>
      <c r="C268" s="255" t="s">
        <v>371</v>
      </c>
      <c r="D268" s="266"/>
      <c r="E268" s="289" t="s">
        <v>10</v>
      </c>
      <c r="F268" s="264"/>
      <c r="G268" s="361">
        <f>'Stmt J'!$K13</f>
        <v>33980.25</v>
      </c>
      <c r="H268" s="29"/>
      <c r="I268" s="583" t="s">
        <v>10</v>
      </c>
      <c r="J268" s="29"/>
      <c r="K268" s="361">
        <f>'Stmt J'!$I$13</f>
        <v>75057</v>
      </c>
      <c r="M268" s="1624">
        <f t="shared" ref="M268:M275" si="36">IF(ISERROR(O268/K268),0,O268/K268)</f>
        <v>0.87194347602411748</v>
      </c>
      <c r="N268" s="1113">
        <f t="shared" ref="N268:N275" si="37">M268*G268</f>
        <v>29628.857301168518</v>
      </c>
      <c r="O268" s="1113">
        <v>65445.461479942183</v>
      </c>
      <c r="Q268" s="333">
        <v>75057</v>
      </c>
      <c r="R268" s="256"/>
      <c r="S268" s="333">
        <v>75057</v>
      </c>
      <c r="T268" s="1693">
        <v>65392.529944700327</v>
      </c>
      <c r="U268" s="256"/>
      <c r="V268" s="333">
        <v>75057</v>
      </c>
      <c r="W268" s="1693">
        <v>65392.529944700327</v>
      </c>
      <c r="X268" s="256"/>
      <c r="Y268" s="333">
        <v>75057</v>
      </c>
      <c r="Z268" s="1693">
        <v>65393.158446597547</v>
      </c>
      <c r="AA268" s="256"/>
      <c r="AB268" s="333">
        <v>75057</v>
      </c>
      <c r="AC268" s="1693">
        <v>65387.862295303057</v>
      </c>
      <c r="AD268" s="256"/>
      <c r="AE268" s="333">
        <v>75057</v>
      </c>
      <c r="AF268" s="1693">
        <v>65387.862295303057</v>
      </c>
      <c r="AG268" s="256"/>
      <c r="AH268" s="333">
        <v>75057</v>
      </c>
      <c r="AI268" s="1693">
        <v>65387.862295303079</v>
      </c>
      <c r="AJ268" s="256"/>
      <c r="AK268" s="333">
        <v>75057</v>
      </c>
      <c r="AL268" s="1693">
        <v>65387.131916232596</v>
      </c>
      <c r="AM268" s="256"/>
      <c r="AN268" s="333">
        <v>75057</v>
      </c>
      <c r="AO268" s="1693">
        <v>65387.550229548324</v>
      </c>
      <c r="AP268" s="256"/>
      <c r="AQ268" s="333">
        <v>75057</v>
      </c>
      <c r="AR268" s="1693">
        <v>65387.550229548331</v>
      </c>
      <c r="AS268" s="256"/>
      <c r="AT268" s="333">
        <v>75057</v>
      </c>
      <c r="AU268" s="333">
        <v>65387.550229548324</v>
      </c>
      <c r="AV268" s="256"/>
      <c r="AW268" s="333">
        <v>75057</v>
      </c>
      <c r="AX268" s="333">
        <v>65387.550229548324</v>
      </c>
      <c r="AY268" s="256"/>
      <c r="AZ268" s="333">
        <v>75057</v>
      </c>
      <c r="BA268" s="333">
        <v>65387.550229548331</v>
      </c>
      <c r="BB268" s="256"/>
      <c r="BC268" s="333">
        <v>75057</v>
      </c>
      <c r="BD268" s="333">
        <v>65387.550229548331</v>
      </c>
      <c r="BE268" s="256"/>
      <c r="BF268" s="333">
        <v>75057</v>
      </c>
      <c r="BG268" s="333">
        <v>65387.550229548324</v>
      </c>
      <c r="BH268" s="256"/>
      <c r="BI268" s="333">
        <v>75057</v>
      </c>
      <c r="BJ268" s="333">
        <v>65387.550229548331</v>
      </c>
      <c r="BK268" s="256"/>
      <c r="BL268" s="333">
        <v>75057</v>
      </c>
      <c r="BM268" s="333">
        <v>65387.550229548324</v>
      </c>
      <c r="BN268" s="256"/>
      <c r="BO268" s="333">
        <v>75057</v>
      </c>
      <c r="BP268" s="333">
        <v>65387.550229548324</v>
      </c>
      <c r="BQ268" s="256"/>
      <c r="BR268" s="333">
        <v>75057</v>
      </c>
      <c r="BS268" s="333">
        <v>65387.550229548324</v>
      </c>
      <c r="BT268" s="256"/>
      <c r="BU268" s="333">
        <v>75057</v>
      </c>
      <c r="BV268" s="333">
        <v>65387.550229548324</v>
      </c>
      <c r="BW268" s="256"/>
      <c r="BX268" s="333">
        <v>75057</v>
      </c>
      <c r="BY268" s="333">
        <v>65387.550229548331</v>
      </c>
      <c r="BZ268" s="256"/>
      <c r="CA268" s="333">
        <v>75057</v>
      </c>
      <c r="CB268" s="333">
        <v>65432.511698275368</v>
      </c>
      <c r="CC268" s="256"/>
      <c r="CD268" s="333">
        <v>75057</v>
      </c>
      <c r="CE268" s="333">
        <v>65432.511698275368</v>
      </c>
      <c r="CF268" s="256"/>
      <c r="CG268" s="333">
        <v>75057</v>
      </c>
      <c r="CH268" s="333">
        <v>65432.511698275368</v>
      </c>
      <c r="CI268" s="1684">
        <f t="shared" si="35"/>
        <v>0</v>
      </c>
      <c r="CJ268" s="333">
        <v>75057</v>
      </c>
      <c r="CK268" s="333">
        <v>65432.511698275368</v>
      </c>
      <c r="CL268" s="256"/>
      <c r="CM268" s="333">
        <v>75057</v>
      </c>
      <c r="CN268" s="333">
        <v>65437.985889329269</v>
      </c>
      <c r="CO268" s="256"/>
      <c r="CP268" s="361">
        <v>75057</v>
      </c>
      <c r="CQ268" s="333">
        <v>65437.985889329269</v>
      </c>
      <c r="CR268" s="256"/>
      <c r="CS268" s="361">
        <v>75057</v>
      </c>
      <c r="CT268" s="333">
        <v>65445.461479942183</v>
      </c>
      <c r="CU268" s="256"/>
      <c r="CV268" s="333">
        <v>75057</v>
      </c>
      <c r="CW268" s="333">
        <v>65445.461479942183</v>
      </c>
      <c r="CX268" s="256"/>
      <c r="CY268" s="333"/>
      <c r="CZ268" s="333"/>
    </row>
    <row r="269" spans="1:104">
      <c r="A269" s="260">
        <f t="shared" si="32"/>
        <v>262</v>
      </c>
      <c r="B269" s="260"/>
      <c r="C269" s="255" t="s">
        <v>695</v>
      </c>
      <c r="D269" s="266"/>
      <c r="E269" s="289" t="s">
        <v>10</v>
      </c>
      <c r="F269" s="264"/>
      <c r="G269" s="209">
        <f>'Stmt J'!$K15</f>
        <v>0</v>
      </c>
      <c r="H269" s="29"/>
      <c r="I269" s="583" t="s">
        <v>10</v>
      </c>
      <c r="J269" s="29"/>
      <c r="K269" s="209">
        <f>'Stmt J'!$I$15</f>
        <v>0</v>
      </c>
      <c r="M269" s="1624">
        <f t="shared" si="36"/>
        <v>0</v>
      </c>
      <c r="N269" s="1628">
        <f t="shared" si="37"/>
        <v>0</v>
      </c>
      <c r="O269" s="1628"/>
      <c r="Q269" s="1066">
        <v>0</v>
      </c>
      <c r="R269" s="256"/>
      <c r="S269" s="1066">
        <v>0</v>
      </c>
      <c r="T269" s="1698"/>
      <c r="U269" s="256"/>
      <c r="V269" s="1066">
        <v>0</v>
      </c>
      <c r="W269" s="1698"/>
      <c r="X269" s="256"/>
      <c r="Y269" s="1066">
        <v>0</v>
      </c>
      <c r="Z269" s="1698"/>
      <c r="AA269" s="256"/>
      <c r="AB269" s="1066">
        <v>0</v>
      </c>
      <c r="AC269" s="1698"/>
      <c r="AD269" s="256"/>
      <c r="AE269" s="1066">
        <v>0</v>
      </c>
      <c r="AF269" s="1698"/>
      <c r="AG269" s="256"/>
      <c r="AH269" s="1066">
        <v>0</v>
      </c>
      <c r="AI269" s="1698"/>
      <c r="AJ269" s="256"/>
      <c r="AK269" s="1066">
        <v>0</v>
      </c>
      <c r="AL269" s="1698"/>
      <c r="AM269" s="256"/>
      <c r="AN269" s="1066">
        <v>0</v>
      </c>
      <c r="AO269" s="1698"/>
      <c r="AP269" s="256"/>
      <c r="AQ269" s="1066">
        <v>0</v>
      </c>
      <c r="AR269" s="1698"/>
      <c r="AS269" s="256"/>
      <c r="AT269" s="1066">
        <v>0</v>
      </c>
      <c r="AU269" s="1066"/>
      <c r="AV269" s="256"/>
      <c r="AW269" s="1066">
        <v>0</v>
      </c>
      <c r="AX269" s="1066"/>
      <c r="AY269" s="256"/>
      <c r="AZ269" s="1066">
        <v>0</v>
      </c>
      <c r="BA269" s="1066"/>
      <c r="BB269" s="256"/>
      <c r="BC269" s="1066">
        <v>0</v>
      </c>
      <c r="BD269" s="1066"/>
      <c r="BE269" s="256"/>
      <c r="BF269" s="1066">
        <v>0</v>
      </c>
      <c r="BG269" s="1066"/>
      <c r="BH269" s="256"/>
      <c r="BI269" s="1066">
        <v>0</v>
      </c>
      <c r="BJ269" s="1066"/>
      <c r="BK269" s="256"/>
      <c r="BL269" s="1066">
        <v>0</v>
      </c>
      <c r="BM269" s="1066"/>
      <c r="BN269" s="256"/>
      <c r="BO269" s="1066">
        <v>0</v>
      </c>
      <c r="BP269" s="1066"/>
      <c r="BQ269" s="256"/>
      <c r="BR269" s="1066">
        <v>0</v>
      </c>
      <c r="BS269" s="1066"/>
      <c r="BT269" s="256"/>
      <c r="BU269" s="1066">
        <v>0</v>
      </c>
      <c r="BV269" s="1066"/>
      <c r="BW269" s="256"/>
      <c r="BX269" s="1066">
        <v>0</v>
      </c>
      <c r="BY269" s="1066"/>
      <c r="BZ269" s="256"/>
      <c r="CA269" s="1066">
        <v>0</v>
      </c>
      <c r="CB269" s="1066"/>
      <c r="CC269" s="256"/>
      <c r="CD269" s="1066">
        <v>0</v>
      </c>
      <c r="CE269" s="1066"/>
      <c r="CF269" s="256"/>
      <c r="CG269" s="1066">
        <v>0</v>
      </c>
      <c r="CH269" s="1066"/>
      <c r="CI269" s="1684">
        <f t="shared" si="35"/>
        <v>0</v>
      </c>
      <c r="CJ269" s="1066">
        <v>0</v>
      </c>
      <c r="CK269" s="1066"/>
      <c r="CL269" s="256"/>
      <c r="CM269" s="1066">
        <v>0</v>
      </c>
      <c r="CN269" s="1066"/>
      <c r="CO269" s="256"/>
      <c r="CP269" s="209">
        <v>0</v>
      </c>
      <c r="CQ269" s="1066"/>
      <c r="CR269" s="256"/>
      <c r="CS269" s="209">
        <v>0</v>
      </c>
      <c r="CT269" s="1066"/>
      <c r="CU269" s="256"/>
      <c r="CV269" s="1066">
        <v>0</v>
      </c>
      <c r="CW269" s="1066"/>
      <c r="CX269" s="256"/>
      <c r="CY269" s="1066"/>
      <c r="CZ269" s="1066"/>
    </row>
    <row r="270" spans="1:104">
      <c r="A270" s="260">
        <f t="shared" si="32"/>
        <v>263</v>
      </c>
      <c r="B270" s="260"/>
      <c r="C270" s="255" t="s">
        <v>694</v>
      </c>
      <c r="D270" s="266"/>
      <c r="E270" s="289" t="s">
        <v>10</v>
      </c>
      <c r="F270" s="264"/>
      <c r="G270" s="209">
        <f>'Stmt J'!$K17</f>
        <v>0</v>
      </c>
      <c r="H270" s="29"/>
      <c r="I270" s="583" t="s">
        <v>10</v>
      </c>
      <c r="J270" s="29"/>
      <c r="K270" s="209">
        <f>'Stmt J'!$I$17</f>
        <v>0</v>
      </c>
      <c r="M270" s="1624">
        <f t="shared" si="36"/>
        <v>0</v>
      </c>
      <c r="N270" s="1628">
        <f t="shared" si="37"/>
        <v>0</v>
      </c>
      <c r="O270" s="1628"/>
      <c r="Q270" s="1066">
        <v>0</v>
      </c>
      <c r="R270" s="256"/>
      <c r="S270" s="1066">
        <v>0</v>
      </c>
      <c r="T270" s="1698"/>
      <c r="U270" s="256"/>
      <c r="V270" s="1066">
        <v>0</v>
      </c>
      <c r="W270" s="1698"/>
      <c r="X270" s="256"/>
      <c r="Y270" s="1066">
        <v>0</v>
      </c>
      <c r="Z270" s="1698"/>
      <c r="AA270" s="256"/>
      <c r="AB270" s="1066">
        <v>0</v>
      </c>
      <c r="AC270" s="1698"/>
      <c r="AD270" s="256"/>
      <c r="AE270" s="1066">
        <v>0</v>
      </c>
      <c r="AF270" s="1698"/>
      <c r="AG270" s="256"/>
      <c r="AH270" s="1066">
        <v>0</v>
      </c>
      <c r="AI270" s="1698"/>
      <c r="AJ270" s="256"/>
      <c r="AK270" s="1066">
        <v>0</v>
      </c>
      <c r="AL270" s="1698"/>
      <c r="AM270" s="256"/>
      <c r="AN270" s="1066">
        <v>0</v>
      </c>
      <c r="AO270" s="1698"/>
      <c r="AP270" s="256"/>
      <c r="AQ270" s="1066">
        <v>0</v>
      </c>
      <c r="AR270" s="1698"/>
      <c r="AS270" s="256"/>
      <c r="AT270" s="1066">
        <v>0</v>
      </c>
      <c r="AU270" s="1066"/>
      <c r="AV270" s="256"/>
      <c r="AW270" s="1066">
        <v>0</v>
      </c>
      <c r="AX270" s="1066"/>
      <c r="AY270" s="256"/>
      <c r="AZ270" s="1066">
        <v>0</v>
      </c>
      <c r="BA270" s="1066"/>
      <c r="BB270" s="256"/>
      <c r="BC270" s="1066">
        <v>0</v>
      </c>
      <c r="BD270" s="1066"/>
      <c r="BE270" s="256"/>
      <c r="BF270" s="1066">
        <v>0</v>
      </c>
      <c r="BG270" s="1066"/>
      <c r="BH270" s="256"/>
      <c r="BI270" s="1066">
        <v>0</v>
      </c>
      <c r="BJ270" s="1066"/>
      <c r="BK270" s="256"/>
      <c r="BL270" s="1066">
        <v>0</v>
      </c>
      <c r="BM270" s="1066"/>
      <c r="BN270" s="256"/>
      <c r="BO270" s="1066">
        <v>0</v>
      </c>
      <c r="BP270" s="1066"/>
      <c r="BQ270" s="256"/>
      <c r="BR270" s="1066">
        <v>0</v>
      </c>
      <c r="BS270" s="1066"/>
      <c r="BT270" s="256"/>
      <c r="BU270" s="1066">
        <v>0</v>
      </c>
      <c r="BV270" s="1066"/>
      <c r="BW270" s="256"/>
      <c r="BX270" s="1066">
        <v>0</v>
      </c>
      <c r="BY270" s="1066"/>
      <c r="BZ270" s="256"/>
      <c r="CA270" s="1066">
        <v>0</v>
      </c>
      <c r="CB270" s="1066"/>
      <c r="CC270" s="256"/>
      <c r="CD270" s="1066">
        <v>0</v>
      </c>
      <c r="CE270" s="1066"/>
      <c r="CF270" s="256"/>
      <c r="CG270" s="1066">
        <v>0</v>
      </c>
      <c r="CH270" s="1066"/>
      <c r="CI270" s="1684">
        <f t="shared" si="35"/>
        <v>0</v>
      </c>
      <c r="CJ270" s="1066">
        <v>0</v>
      </c>
      <c r="CK270" s="1066"/>
      <c r="CL270" s="256"/>
      <c r="CM270" s="1066">
        <v>0</v>
      </c>
      <c r="CN270" s="1066"/>
      <c r="CO270" s="256"/>
      <c r="CP270" s="209">
        <v>0</v>
      </c>
      <c r="CQ270" s="1066"/>
      <c r="CR270" s="256"/>
      <c r="CS270" s="209">
        <v>0</v>
      </c>
      <c r="CT270" s="1066"/>
      <c r="CU270" s="256"/>
      <c r="CV270" s="1066">
        <v>0</v>
      </c>
      <c r="CW270" s="1066"/>
      <c r="CX270" s="256"/>
      <c r="CY270" s="1066"/>
      <c r="CZ270" s="1066"/>
    </row>
    <row r="271" spans="1:104">
      <c r="A271" s="260">
        <f t="shared" si="32"/>
        <v>264</v>
      </c>
      <c r="B271" s="260"/>
      <c r="C271" s="256" t="s">
        <v>86</v>
      </c>
      <c r="D271" s="286"/>
      <c r="E271" s="289" t="s">
        <v>10</v>
      </c>
      <c r="F271" s="285"/>
      <c r="G271" s="209">
        <f>'Stmt J'!K19</f>
        <v>49688.100000000006</v>
      </c>
      <c r="H271" s="29"/>
      <c r="I271" s="583" t="s">
        <v>10</v>
      </c>
      <c r="J271" s="29"/>
      <c r="K271" s="209">
        <f>'Stmt J'!I19</f>
        <v>40586</v>
      </c>
      <c r="M271" s="1624">
        <f t="shared" si="36"/>
        <v>0.5568929519996636</v>
      </c>
      <c r="N271" s="1628">
        <f t="shared" si="37"/>
        <v>27670.952688254489</v>
      </c>
      <c r="O271" s="1628">
        <v>22602.057349858347</v>
      </c>
      <c r="Q271" s="1066">
        <v>40586</v>
      </c>
      <c r="R271" s="256"/>
      <c r="S271" s="1066">
        <v>40586</v>
      </c>
      <c r="T271" s="1698">
        <v>22602.057349858347</v>
      </c>
      <c r="U271" s="256"/>
      <c r="V271" s="1066">
        <v>40586</v>
      </c>
      <c r="W271" s="1698">
        <v>22602.057349858347</v>
      </c>
      <c r="X271" s="256"/>
      <c r="Y271" s="1066">
        <v>40586</v>
      </c>
      <c r="Z271" s="1698">
        <v>22602.057349858347</v>
      </c>
      <c r="AA271" s="256"/>
      <c r="AB271" s="1066">
        <v>40586</v>
      </c>
      <c r="AC271" s="1698">
        <v>22602.057349858347</v>
      </c>
      <c r="AD271" s="256"/>
      <c r="AE271" s="1066">
        <v>40586</v>
      </c>
      <c r="AF271" s="1698">
        <v>22602.057349858347</v>
      </c>
      <c r="AG271" s="256"/>
      <c r="AH271" s="1066">
        <v>40586</v>
      </c>
      <c r="AI271" s="1698">
        <v>22602.057349858347</v>
      </c>
      <c r="AJ271" s="256"/>
      <c r="AK271" s="1066">
        <v>40586</v>
      </c>
      <c r="AL271" s="1698">
        <v>22602.057349858347</v>
      </c>
      <c r="AM271" s="256"/>
      <c r="AN271" s="1066">
        <v>40586</v>
      </c>
      <c r="AO271" s="1698">
        <v>22602.057349858347</v>
      </c>
      <c r="AP271" s="256"/>
      <c r="AQ271" s="1066">
        <v>40586</v>
      </c>
      <c r="AR271" s="1698">
        <v>22602.057349858347</v>
      </c>
      <c r="AS271" s="256"/>
      <c r="AT271" s="1066">
        <v>40586</v>
      </c>
      <c r="AU271" s="1066">
        <v>22602.057349858347</v>
      </c>
      <c r="AV271" s="256"/>
      <c r="AW271" s="1066">
        <v>40586</v>
      </c>
      <c r="AX271" s="1066">
        <v>22602.057349858347</v>
      </c>
      <c r="AY271" s="256"/>
      <c r="AZ271" s="1066">
        <v>40586</v>
      </c>
      <c r="BA271" s="1066">
        <v>22602.057349858347</v>
      </c>
      <c r="BB271" s="256"/>
      <c r="BC271" s="1066">
        <v>40586</v>
      </c>
      <c r="BD271" s="1066">
        <v>22602.057349858347</v>
      </c>
      <c r="BE271" s="256"/>
      <c r="BF271" s="1066">
        <v>40586</v>
      </c>
      <c r="BG271" s="1066">
        <v>22602.057349858347</v>
      </c>
      <c r="BH271" s="256"/>
      <c r="BI271" s="1066">
        <v>40586</v>
      </c>
      <c r="BJ271" s="1066">
        <v>22602.057349858347</v>
      </c>
      <c r="BK271" s="256"/>
      <c r="BL271" s="1066">
        <v>40586</v>
      </c>
      <c r="BM271" s="1066">
        <v>22602.057349858347</v>
      </c>
      <c r="BN271" s="256"/>
      <c r="BO271" s="1066">
        <v>40586</v>
      </c>
      <c r="BP271" s="1066">
        <v>22602.057349858347</v>
      </c>
      <c r="BQ271" s="256"/>
      <c r="BR271" s="1066">
        <v>40586</v>
      </c>
      <c r="BS271" s="1066">
        <v>22602.057349858347</v>
      </c>
      <c r="BT271" s="256"/>
      <c r="BU271" s="1066">
        <v>40586</v>
      </c>
      <c r="BV271" s="1066">
        <v>22602.057349858347</v>
      </c>
      <c r="BW271" s="256"/>
      <c r="BX271" s="1066">
        <v>40586</v>
      </c>
      <c r="BY271" s="1066">
        <v>22602.057349858347</v>
      </c>
      <c r="BZ271" s="256"/>
      <c r="CA271" s="1066">
        <v>40586</v>
      </c>
      <c r="CB271" s="1066">
        <v>22602.057349858347</v>
      </c>
      <c r="CC271" s="256"/>
      <c r="CD271" s="1066">
        <v>40586</v>
      </c>
      <c r="CE271" s="1066">
        <v>22602.057349858347</v>
      </c>
      <c r="CF271" s="256"/>
      <c r="CG271" s="1066">
        <v>40586</v>
      </c>
      <c r="CH271" s="1066">
        <v>22602.057349858347</v>
      </c>
      <c r="CI271" s="1684">
        <f t="shared" si="35"/>
        <v>0</v>
      </c>
      <c r="CJ271" s="1066">
        <v>40586</v>
      </c>
      <c r="CK271" s="1066">
        <v>22602.057349858347</v>
      </c>
      <c r="CL271" s="256"/>
      <c r="CM271" s="1066">
        <v>40586</v>
      </c>
      <c r="CN271" s="1066">
        <v>22602.057349858347</v>
      </c>
      <c r="CO271" s="256"/>
      <c r="CP271" s="209">
        <v>40586</v>
      </c>
      <c r="CQ271" s="1066">
        <v>22602.057349858347</v>
      </c>
      <c r="CR271" s="256"/>
      <c r="CS271" s="209">
        <v>40586</v>
      </c>
      <c r="CT271" s="1066">
        <v>22602.057349858347</v>
      </c>
      <c r="CU271" s="256"/>
      <c r="CV271" s="1066">
        <v>40586</v>
      </c>
      <c r="CW271" s="1066">
        <v>22602.057349858347</v>
      </c>
      <c r="CX271" s="256"/>
      <c r="CY271" s="1066"/>
      <c r="CZ271" s="1066"/>
    </row>
    <row r="272" spans="1:104">
      <c r="A272" s="260">
        <f t="shared" si="32"/>
        <v>265</v>
      </c>
      <c r="B272" s="260"/>
      <c r="C272" s="288" t="s">
        <v>87</v>
      </c>
      <c r="D272" s="286"/>
      <c r="E272" s="289" t="s">
        <v>10</v>
      </c>
      <c r="F272" s="285"/>
      <c r="G272" s="209">
        <f>'Stmt J'!K21</f>
        <v>19753043.210000001</v>
      </c>
      <c r="H272" s="29"/>
      <c r="I272" s="583" t="s">
        <v>10</v>
      </c>
      <c r="J272" s="29"/>
      <c r="K272" s="636">
        <f>'Stmt J'!I21</f>
        <v>16164555</v>
      </c>
      <c r="M272" s="1624">
        <f t="shared" si="36"/>
        <v>0.86168707657505894</v>
      </c>
      <c r="N272" s="1628">
        <f t="shared" si="37"/>
        <v>17020942.057085719</v>
      </c>
      <c r="O272" s="1628">
        <v>13928788.142086752</v>
      </c>
      <c r="Q272" s="1699">
        <v>18103068</v>
      </c>
      <c r="R272" s="256"/>
      <c r="S272" s="1699">
        <v>18103068</v>
      </c>
      <c r="T272" s="1700">
        <v>15579970.931625448</v>
      </c>
      <c r="U272" s="256"/>
      <c r="V272" s="1699">
        <v>18103068</v>
      </c>
      <c r="W272" s="1700">
        <v>15579970.931625448</v>
      </c>
      <c r="X272" s="256"/>
      <c r="Y272" s="1699">
        <v>18103068</v>
      </c>
      <c r="Z272" s="1700">
        <v>15579970.931625448</v>
      </c>
      <c r="AA272" s="256"/>
      <c r="AB272" s="1699">
        <v>18103068</v>
      </c>
      <c r="AC272" s="1700">
        <v>15579970.931625448</v>
      </c>
      <c r="AD272" s="256"/>
      <c r="AE272" s="1699">
        <v>18103068</v>
      </c>
      <c r="AF272" s="1700">
        <v>15579970.931625448</v>
      </c>
      <c r="AG272" s="256"/>
      <c r="AH272" s="1699">
        <v>18103068</v>
      </c>
      <c r="AI272" s="1700">
        <v>15579970.931625448</v>
      </c>
      <c r="AJ272" s="256"/>
      <c r="AK272" s="1699">
        <v>18103068</v>
      </c>
      <c r="AL272" s="1700">
        <v>15579970.931625448</v>
      </c>
      <c r="AM272" s="256"/>
      <c r="AN272" s="1699">
        <v>18103068</v>
      </c>
      <c r="AO272" s="1700">
        <v>15579970.931625448</v>
      </c>
      <c r="AP272" s="256"/>
      <c r="AQ272" s="1699">
        <v>18103068</v>
      </c>
      <c r="AR272" s="1700">
        <v>15579970.931625448</v>
      </c>
      <c r="AS272" s="256"/>
      <c r="AT272" s="1699">
        <v>18103068</v>
      </c>
      <c r="AU272" s="1699">
        <v>15579970.931625448</v>
      </c>
      <c r="AV272" s="256"/>
      <c r="AW272" s="1699">
        <v>18103068</v>
      </c>
      <c r="AX272" s="1699">
        <v>15579970.931625448</v>
      </c>
      <c r="AY272" s="256"/>
      <c r="AZ272" s="1699">
        <v>18103068</v>
      </c>
      <c r="BA272" s="1699">
        <v>15579970.931625448</v>
      </c>
      <c r="BB272" s="256"/>
      <c r="BC272" s="1699">
        <v>18103068</v>
      </c>
      <c r="BD272" s="1699">
        <v>15579970.931625448</v>
      </c>
      <c r="BE272" s="256"/>
      <c r="BF272" s="1699">
        <v>18103068</v>
      </c>
      <c r="BG272" s="1699">
        <v>15579970.931625448</v>
      </c>
      <c r="BH272" s="256"/>
      <c r="BI272" s="1699">
        <v>18103068</v>
      </c>
      <c r="BJ272" s="1699">
        <v>15579970.931625448</v>
      </c>
      <c r="BK272" s="256"/>
      <c r="BL272" s="1699">
        <v>18103068</v>
      </c>
      <c r="BM272" s="1699">
        <v>15579970.931625448</v>
      </c>
      <c r="BN272" s="256"/>
      <c r="BO272" s="1699">
        <v>15989924</v>
      </c>
      <c r="BP272" s="1699">
        <v>13761344.271529011</v>
      </c>
      <c r="BQ272" s="256"/>
      <c r="BR272" s="1699">
        <v>15989924</v>
      </c>
      <c r="BS272" s="1699">
        <v>13761344.271529011</v>
      </c>
      <c r="BT272" s="256"/>
      <c r="BU272" s="1699">
        <v>15989924</v>
      </c>
      <c r="BV272" s="1699">
        <v>13761344.271529011</v>
      </c>
      <c r="BW272" s="256"/>
      <c r="BX272" s="1699">
        <v>15989924</v>
      </c>
      <c r="BY272" s="1699">
        <v>13761344.271529011</v>
      </c>
      <c r="BZ272" s="256"/>
      <c r="CA272" s="1699">
        <v>16164555</v>
      </c>
      <c r="CB272" s="1699">
        <v>13928788.142086752</v>
      </c>
      <c r="CC272" s="256"/>
      <c r="CD272" s="1699">
        <v>16164555</v>
      </c>
      <c r="CE272" s="1699">
        <v>13928788.142086752</v>
      </c>
      <c r="CF272" s="256"/>
      <c r="CG272" s="1699">
        <v>16164555</v>
      </c>
      <c r="CH272" s="1699">
        <v>13928788.142086752</v>
      </c>
      <c r="CI272" s="1684">
        <f t="shared" si="35"/>
        <v>0</v>
      </c>
      <c r="CJ272" s="1699">
        <v>16164555</v>
      </c>
      <c r="CK272" s="1699">
        <v>13928788.142086752</v>
      </c>
      <c r="CL272" s="256"/>
      <c r="CM272" s="1699">
        <v>16164555</v>
      </c>
      <c r="CN272" s="1699">
        <v>13928788.142086752</v>
      </c>
      <c r="CO272" s="256"/>
      <c r="CP272" s="636">
        <v>16164555</v>
      </c>
      <c r="CQ272" s="1699">
        <v>13928788.142086752</v>
      </c>
      <c r="CR272" s="256"/>
      <c r="CS272" s="636">
        <v>16164555</v>
      </c>
      <c r="CT272" s="1699">
        <v>13928788.142086752</v>
      </c>
      <c r="CU272" s="256"/>
      <c r="CV272" s="1699">
        <v>16164555</v>
      </c>
      <c r="CW272" s="1699">
        <v>13928788.142086752</v>
      </c>
      <c r="CX272" s="256"/>
      <c r="CY272" s="1699"/>
      <c r="CZ272" s="1699"/>
    </row>
    <row r="273" spans="1:104">
      <c r="A273" s="260">
        <f t="shared" si="32"/>
        <v>266</v>
      </c>
      <c r="B273" s="260"/>
      <c r="C273" s="293" t="s">
        <v>88</v>
      </c>
      <c r="D273" s="286"/>
      <c r="E273" s="289" t="s">
        <v>10</v>
      </c>
      <c r="F273" s="285"/>
      <c r="G273" s="209">
        <f>'Stmt J'!$K$23+'Stmt J'!K24</f>
        <v>868500.7699999999</v>
      </c>
      <c r="H273" s="29"/>
      <c r="I273" s="635" t="s">
        <v>10</v>
      </c>
      <c r="J273" s="29"/>
      <c r="K273" s="636">
        <f>'Stmt J'!$I$23+'Stmt J'!I24</f>
        <v>2449921.4246473559</v>
      </c>
      <c r="M273" s="1624">
        <f t="shared" si="36"/>
        <v>0.87943321418081022</v>
      </c>
      <c r="N273" s="1628">
        <f t="shared" si="37"/>
        <v>763788.4236796085</v>
      </c>
      <c r="O273" s="1628">
        <v>2154542.2729680538</v>
      </c>
      <c r="Q273" s="1699">
        <v>2309626.4267111854</v>
      </c>
      <c r="R273" s="256"/>
      <c r="S273" s="1699">
        <v>2309626.4267111854</v>
      </c>
      <c r="T273" s="1700">
        <v>2029403.2752659458</v>
      </c>
      <c r="U273" s="256"/>
      <c r="V273" s="1699">
        <v>2309626.4267111854</v>
      </c>
      <c r="W273" s="1700">
        <v>2029403.2752659458</v>
      </c>
      <c r="X273" s="256"/>
      <c r="Y273" s="1699">
        <v>2412521.8618463865</v>
      </c>
      <c r="Z273" s="1700">
        <v>2119832.8414279828</v>
      </c>
      <c r="AA273" s="256"/>
      <c r="AB273" s="1699">
        <v>2412521.8618463865</v>
      </c>
      <c r="AC273" s="1700">
        <v>2119678.9386967039</v>
      </c>
      <c r="AD273" s="256"/>
      <c r="AE273" s="1699">
        <v>2412521.8618463865</v>
      </c>
      <c r="AF273" s="1700">
        <v>2119678.9386967043</v>
      </c>
      <c r="AG273" s="256"/>
      <c r="AH273" s="1699">
        <v>2412521.8618463865</v>
      </c>
      <c r="AI273" s="1700">
        <v>2119678.9386967043</v>
      </c>
      <c r="AJ273" s="256"/>
      <c r="AK273" s="1699">
        <v>2412521.8618463865</v>
      </c>
      <c r="AL273" s="1700">
        <v>2119657.714353296</v>
      </c>
      <c r="AM273" s="256"/>
      <c r="AN273" s="1699">
        <v>2412521.8618463865</v>
      </c>
      <c r="AO273" s="1700">
        <v>2119669.8702677037</v>
      </c>
      <c r="AP273" s="256"/>
      <c r="AQ273" s="1699">
        <v>2412521.8618463865</v>
      </c>
      <c r="AR273" s="1700">
        <v>2119669.8702677037</v>
      </c>
      <c r="AS273" s="256"/>
      <c r="AT273" s="1699">
        <v>2412521.8618463865</v>
      </c>
      <c r="AU273" s="1699">
        <v>2119669.8702677037</v>
      </c>
      <c r="AV273" s="256"/>
      <c r="AW273" s="1699">
        <v>2412521.8618463865</v>
      </c>
      <c r="AX273" s="1699">
        <v>2119669.8702677037</v>
      </c>
      <c r="AY273" s="256"/>
      <c r="AZ273" s="1699">
        <v>2412521.8618463865</v>
      </c>
      <c r="BA273" s="1699">
        <v>2119669.8702677037</v>
      </c>
      <c r="BB273" s="256"/>
      <c r="BC273" s="1699">
        <v>2412521.8618463865</v>
      </c>
      <c r="BD273" s="1699">
        <v>2119669.8702677037</v>
      </c>
      <c r="BE273" s="256"/>
      <c r="BF273" s="1699">
        <v>2412521.8618463865</v>
      </c>
      <c r="BG273" s="1699">
        <v>2119669.8702677037</v>
      </c>
      <c r="BH273" s="256"/>
      <c r="BI273" s="1699">
        <v>2412521.8618463865</v>
      </c>
      <c r="BJ273" s="1699">
        <v>2119669.8702677037</v>
      </c>
      <c r="BK273" s="256"/>
      <c r="BL273" s="1699">
        <v>2412521.8618463865</v>
      </c>
      <c r="BM273" s="1699">
        <v>2119669.8702677037</v>
      </c>
      <c r="BN273" s="256"/>
      <c r="BO273" s="1699">
        <v>2412521.8618463865</v>
      </c>
      <c r="BP273" s="1699">
        <v>2119669.8702677037</v>
      </c>
      <c r="BQ273" s="256"/>
      <c r="BR273" s="1699">
        <v>2412521.8618463865</v>
      </c>
      <c r="BS273" s="1699">
        <v>2119669.8702677037</v>
      </c>
      <c r="BT273" s="256"/>
      <c r="BU273" s="1699">
        <v>2412521.8618463865</v>
      </c>
      <c r="BV273" s="1699">
        <v>2119669.8702677037</v>
      </c>
      <c r="BW273" s="256"/>
      <c r="BX273" s="1699">
        <v>2412521.8618463865</v>
      </c>
      <c r="BY273" s="1699">
        <v>2119669.8702677037</v>
      </c>
      <c r="BZ273" s="256"/>
      <c r="CA273" s="1699">
        <v>2449921.4246473559</v>
      </c>
      <c r="CB273" s="1699">
        <v>2154160.8094915496</v>
      </c>
      <c r="CC273" s="256"/>
      <c r="CD273" s="1699">
        <v>2449921.4246473559</v>
      </c>
      <c r="CE273" s="1699">
        <v>2154160.8094915496</v>
      </c>
      <c r="CF273" s="256"/>
      <c r="CG273" s="1699">
        <v>2449921.4246473559</v>
      </c>
      <c r="CH273" s="1699">
        <v>2154160.8094915496</v>
      </c>
      <c r="CI273" s="1684">
        <f t="shared" si="35"/>
        <v>0</v>
      </c>
      <c r="CJ273" s="1699">
        <v>2449921.4246473559</v>
      </c>
      <c r="CK273" s="1699">
        <v>2154160.8094915496</v>
      </c>
      <c r="CL273" s="256"/>
      <c r="CM273" s="1699">
        <v>2449921.4246473559</v>
      </c>
      <c r="CN273" s="1699">
        <v>2154322.0634805514</v>
      </c>
      <c r="CO273" s="256"/>
      <c r="CP273" s="636">
        <v>2449921.4246473559</v>
      </c>
      <c r="CQ273" s="1699">
        <v>2154322.0634805514</v>
      </c>
      <c r="CR273" s="256"/>
      <c r="CS273" s="636">
        <v>2449921.4246473559</v>
      </c>
      <c r="CT273" s="1699">
        <v>2154542.2729680538</v>
      </c>
      <c r="CU273" s="256"/>
      <c r="CV273" s="1699">
        <v>2449921.4246473559</v>
      </c>
      <c r="CW273" s="1699">
        <v>2154542.2729680538</v>
      </c>
      <c r="CX273" s="256"/>
      <c r="CY273" s="1699"/>
      <c r="CZ273" s="1699"/>
    </row>
    <row r="274" spans="1:104">
      <c r="A274" s="581">
        <f t="shared" si="32"/>
        <v>267</v>
      </c>
      <c r="B274" s="581"/>
      <c r="C274" s="293" t="s">
        <v>1290</v>
      </c>
      <c r="D274" s="285"/>
      <c r="E274" s="583" t="s">
        <v>10</v>
      </c>
      <c r="F274" s="285"/>
      <c r="G274" s="209">
        <f>'Stmt J'!W36+'Stmt J'!X36</f>
        <v>2044147.88</v>
      </c>
      <c r="H274" s="29"/>
      <c r="I274" s="635" t="s">
        <v>10</v>
      </c>
      <c r="J274" s="29"/>
      <c r="K274" s="636">
        <f>SUM('Sched J-1'!M71:M73)</f>
        <v>1053497.7467970264</v>
      </c>
      <c r="M274" s="1624">
        <f t="shared" si="36"/>
        <v>0.94873241983789069</v>
      </c>
      <c r="N274" s="1628">
        <f t="shared" si="37"/>
        <v>1939349.3646988941</v>
      </c>
      <c r="O274" s="1628">
        <v>999487.46661250829</v>
      </c>
      <c r="Q274" s="1699">
        <v>1024594.0612960308</v>
      </c>
      <c r="R274" s="256"/>
      <c r="S274" s="1699">
        <v>1024594.0612960308</v>
      </c>
      <c r="T274" s="1700">
        <v>972065.60312491539</v>
      </c>
      <c r="U274" s="256"/>
      <c r="V274" s="1699">
        <v>1024594.0612960308</v>
      </c>
      <c r="W274" s="1700">
        <v>972065.60312491539</v>
      </c>
      <c r="X274" s="256"/>
      <c r="Y274" s="1699">
        <v>1024594.0612960308</v>
      </c>
      <c r="Z274" s="1700">
        <v>972065.60312491539</v>
      </c>
      <c r="AA274" s="256"/>
      <c r="AB274" s="1699">
        <v>1024594.0612960308</v>
      </c>
      <c r="AC274" s="1700">
        <v>972065.60312491539</v>
      </c>
      <c r="AD274" s="256"/>
      <c r="AE274" s="1699">
        <v>1024594.0612960308</v>
      </c>
      <c r="AF274" s="1700">
        <v>972065.60312491539</v>
      </c>
      <c r="AG274" s="256"/>
      <c r="AH274" s="1699">
        <v>1024594.0612960308</v>
      </c>
      <c r="AI274" s="1700">
        <v>972065.60312491539</v>
      </c>
      <c r="AJ274" s="256"/>
      <c r="AK274" s="1699">
        <v>1024594.0612960308</v>
      </c>
      <c r="AL274" s="1700">
        <v>972065.60312491539</v>
      </c>
      <c r="AM274" s="256"/>
      <c r="AN274" s="1699">
        <v>1024594.0612960308</v>
      </c>
      <c r="AO274" s="1700">
        <v>972065.60312491539</v>
      </c>
      <c r="AP274" s="256"/>
      <c r="AQ274" s="1699">
        <v>1024594.0612960308</v>
      </c>
      <c r="AR274" s="1700">
        <v>972065.60312491539</v>
      </c>
      <c r="AS274" s="256"/>
      <c r="AT274" s="1699">
        <v>1024594.0612960308</v>
      </c>
      <c r="AU274" s="1699">
        <v>972065.60312491539</v>
      </c>
      <c r="AV274" s="256"/>
      <c r="AW274" s="1699">
        <v>1024594.0612960308</v>
      </c>
      <c r="AX274" s="1699">
        <v>972065.60312491539</v>
      </c>
      <c r="AY274" s="256"/>
      <c r="AZ274" s="1699">
        <v>1024594.0612960308</v>
      </c>
      <c r="BA274" s="1699">
        <v>972065.60312491539</v>
      </c>
      <c r="BB274" s="256"/>
      <c r="BC274" s="1699">
        <v>1024594.0612960308</v>
      </c>
      <c r="BD274" s="1699">
        <v>972065.60312491539</v>
      </c>
      <c r="BE274" s="256"/>
      <c r="BF274" s="1699">
        <v>1024594.0612960308</v>
      </c>
      <c r="BG274" s="1699">
        <v>972065.60312491539</v>
      </c>
      <c r="BH274" s="256"/>
      <c r="BI274" s="1699">
        <v>1024594.0612960308</v>
      </c>
      <c r="BJ274" s="1699">
        <v>972065.60312491539</v>
      </c>
      <c r="BK274" s="256"/>
      <c r="BL274" s="1699">
        <v>1024594.0612960308</v>
      </c>
      <c r="BM274" s="1699">
        <v>972065.60312491539</v>
      </c>
      <c r="BN274" s="256"/>
      <c r="BO274" s="1699">
        <v>1024594.0612960308</v>
      </c>
      <c r="BP274" s="1699">
        <v>972065.60312491539</v>
      </c>
      <c r="BQ274" s="256"/>
      <c r="BR274" s="1699">
        <v>1024594.0612960308</v>
      </c>
      <c r="BS274" s="1699">
        <v>972065.60312491539</v>
      </c>
      <c r="BT274" s="256"/>
      <c r="BU274" s="1699">
        <v>1024594.0612960308</v>
      </c>
      <c r="BV274" s="1699">
        <v>972065.60312491539</v>
      </c>
      <c r="BW274" s="256"/>
      <c r="BX274" s="1699">
        <v>1024594.0612960308</v>
      </c>
      <c r="BY274" s="1699">
        <v>972065.60312491539</v>
      </c>
      <c r="BZ274" s="256"/>
      <c r="CA274" s="1699">
        <v>1053497.7467970264</v>
      </c>
      <c r="CB274" s="1699">
        <v>999487.46661250829</v>
      </c>
      <c r="CC274" s="256"/>
      <c r="CD274" s="1699">
        <v>1053497.7467970264</v>
      </c>
      <c r="CE274" s="1699">
        <v>999487.46661250829</v>
      </c>
      <c r="CF274" s="256"/>
      <c r="CG274" s="1699">
        <v>1053497.7467970264</v>
      </c>
      <c r="CH274" s="1699">
        <v>999487.46661250829</v>
      </c>
      <c r="CI274" s="1684">
        <f t="shared" si="35"/>
        <v>0</v>
      </c>
      <c r="CJ274" s="1699">
        <v>1053497.7467970264</v>
      </c>
      <c r="CK274" s="1699">
        <v>999487.46661250829</v>
      </c>
      <c r="CL274" s="256"/>
      <c r="CM274" s="1699">
        <v>1053497.7467970264</v>
      </c>
      <c r="CN274" s="1699">
        <v>999487.46661250829</v>
      </c>
      <c r="CO274" s="256"/>
      <c r="CP274" s="636">
        <v>1053497.7467970264</v>
      </c>
      <c r="CQ274" s="1699">
        <v>999487.46661250829</v>
      </c>
      <c r="CR274" s="256"/>
      <c r="CS274" s="636">
        <v>1053497.7467970264</v>
      </c>
      <c r="CT274" s="1699">
        <v>999487.46661250829</v>
      </c>
      <c r="CU274" s="256"/>
      <c r="CV274" s="1699">
        <v>1053497.7467970264</v>
      </c>
      <c r="CW274" s="1699">
        <v>999487.46661250829</v>
      </c>
      <c r="CX274" s="256"/>
      <c r="CY274" s="1699"/>
      <c r="CZ274" s="1699"/>
    </row>
    <row r="275" spans="1:104">
      <c r="A275" s="581">
        <f t="shared" si="32"/>
        <v>268</v>
      </c>
      <c r="B275" s="581"/>
      <c r="C275" s="293" t="s">
        <v>1291</v>
      </c>
      <c r="D275" s="285"/>
      <c r="E275" s="583" t="s">
        <v>10</v>
      </c>
      <c r="F275" s="285"/>
      <c r="G275" s="787">
        <f>'Stmt J'!W37+'Stmt J'!X37</f>
        <v>1287326.53</v>
      </c>
      <c r="H275" s="29"/>
      <c r="I275" s="635" t="s">
        <v>10</v>
      </c>
      <c r="J275" s="29"/>
      <c r="K275" s="637">
        <f>'Stmt J'!$I$28-K274</f>
        <v>1901496.2532029736</v>
      </c>
      <c r="M275" s="1624">
        <f t="shared" si="36"/>
        <v>0.87194347602411737</v>
      </c>
      <c r="N275" s="1626">
        <f t="shared" si="37"/>
        <v>1122475.9693462653</v>
      </c>
      <c r="O275" s="1626">
        <v>1657997.2526646361</v>
      </c>
      <c r="Q275" s="1701">
        <v>1816716.9387039691</v>
      </c>
      <c r="R275" s="256"/>
      <c r="S275" s="1701">
        <v>1816716.9387039691</v>
      </c>
      <c r="T275" s="1702">
        <v>1582793.3012942644</v>
      </c>
      <c r="U275" s="256"/>
      <c r="V275" s="1701">
        <v>1816716.9387039691</v>
      </c>
      <c r="W275" s="1702">
        <v>1582793.3012942644</v>
      </c>
      <c r="X275" s="256"/>
      <c r="Y275" s="1701">
        <v>1816716.9387039691</v>
      </c>
      <c r="Z275" s="1702">
        <v>1582808.5138666118</v>
      </c>
      <c r="AA275" s="256"/>
      <c r="AB275" s="1701">
        <v>1816716.9387039691</v>
      </c>
      <c r="AC275" s="1702">
        <v>1582680.3231879727</v>
      </c>
      <c r="AD275" s="256"/>
      <c r="AE275" s="1701">
        <v>1816716.9387039691</v>
      </c>
      <c r="AF275" s="1702">
        <v>1582680.3231879727</v>
      </c>
      <c r="AG275" s="256"/>
      <c r="AH275" s="1701">
        <v>1816716.9387039691</v>
      </c>
      <c r="AI275" s="1702">
        <v>1582680.3231879731</v>
      </c>
      <c r="AJ275" s="256"/>
      <c r="AK275" s="1701">
        <v>1816716.9387039691</v>
      </c>
      <c r="AL275" s="1702">
        <v>1582662.6447298808</v>
      </c>
      <c r="AM275" s="256"/>
      <c r="AN275" s="1701">
        <v>1816716.9387039691</v>
      </c>
      <c r="AO275" s="1702">
        <v>1582672.7697933177</v>
      </c>
      <c r="AP275" s="256"/>
      <c r="AQ275" s="1701">
        <v>1816716.9387039691</v>
      </c>
      <c r="AR275" s="1702">
        <v>1582672.7697933177</v>
      </c>
      <c r="AS275" s="256"/>
      <c r="AT275" s="1701">
        <v>1816716.9387039691</v>
      </c>
      <c r="AU275" s="1701">
        <v>1582672.7697933177</v>
      </c>
      <c r="AV275" s="256"/>
      <c r="AW275" s="1701">
        <v>1816716.9387039691</v>
      </c>
      <c r="AX275" s="1701">
        <v>1582672.7697933177</v>
      </c>
      <c r="AY275" s="256"/>
      <c r="AZ275" s="1701">
        <v>1816716.9387039691</v>
      </c>
      <c r="BA275" s="1701">
        <v>1582672.7697933177</v>
      </c>
      <c r="BB275" s="256"/>
      <c r="BC275" s="1701">
        <v>1816716.9387039691</v>
      </c>
      <c r="BD275" s="1701">
        <v>1582672.7697933177</v>
      </c>
      <c r="BE275" s="256"/>
      <c r="BF275" s="1701">
        <v>1816716.9387039691</v>
      </c>
      <c r="BG275" s="1701">
        <v>1582672.7697933177</v>
      </c>
      <c r="BH275" s="256"/>
      <c r="BI275" s="1701">
        <v>1816716.9387039691</v>
      </c>
      <c r="BJ275" s="1701">
        <v>1582672.7697933177</v>
      </c>
      <c r="BK275" s="256"/>
      <c r="BL275" s="1701">
        <v>1816716.9387039691</v>
      </c>
      <c r="BM275" s="1701">
        <v>1582672.7697933177</v>
      </c>
      <c r="BN275" s="256"/>
      <c r="BO275" s="1701">
        <v>1816716.9387039691</v>
      </c>
      <c r="BP275" s="1701">
        <v>1582672.7697933177</v>
      </c>
      <c r="BQ275" s="256"/>
      <c r="BR275" s="1701">
        <v>1816716.9387039691</v>
      </c>
      <c r="BS275" s="1701">
        <v>1582672.7697933177</v>
      </c>
      <c r="BT275" s="256"/>
      <c r="BU275" s="1701">
        <v>1816716.9387039691</v>
      </c>
      <c r="BV275" s="1701">
        <v>1582672.7697933177</v>
      </c>
      <c r="BW275" s="256"/>
      <c r="BX275" s="1701">
        <v>1816716.9387039691</v>
      </c>
      <c r="BY275" s="1701">
        <v>1582672.7697933177</v>
      </c>
      <c r="BZ275" s="256"/>
      <c r="CA275" s="1701">
        <v>1901496.2532029736</v>
      </c>
      <c r="CB275" s="1701">
        <v>1657669.1825136943</v>
      </c>
      <c r="CC275" s="256"/>
      <c r="CD275" s="1701">
        <v>1901496.2532029736</v>
      </c>
      <c r="CE275" s="1701">
        <v>1657669.1825136943</v>
      </c>
      <c r="CF275" s="256"/>
      <c r="CG275" s="1701">
        <v>1901496.2532029736</v>
      </c>
      <c r="CH275" s="1701">
        <v>1657669.1825136943</v>
      </c>
      <c r="CI275" s="1684">
        <f t="shared" si="35"/>
        <v>0</v>
      </c>
      <c r="CJ275" s="1701">
        <v>1901496.2532029736</v>
      </c>
      <c r="CK275" s="1701">
        <v>1657669.1825136943</v>
      </c>
      <c r="CL275" s="256"/>
      <c r="CM275" s="1701">
        <v>1901496.2532029736</v>
      </c>
      <c r="CN275" s="1701">
        <v>1657807.8658314173</v>
      </c>
      <c r="CO275" s="256"/>
      <c r="CP275" s="637">
        <v>1901496.2532029736</v>
      </c>
      <c r="CQ275" s="1701">
        <v>1657807.8658314173</v>
      </c>
      <c r="CR275" s="256"/>
      <c r="CS275" s="637">
        <v>1901496.2532029736</v>
      </c>
      <c r="CT275" s="1701">
        <v>1657997.2526646361</v>
      </c>
      <c r="CU275" s="256"/>
      <c r="CV275" s="1701">
        <v>1901496.2532029736</v>
      </c>
      <c r="CW275" s="1701">
        <v>1657997.2526646361</v>
      </c>
      <c r="CX275" s="256"/>
      <c r="CY275" s="1701"/>
      <c r="CZ275" s="1701"/>
    </row>
    <row r="276" spans="1:104">
      <c r="A276" s="260">
        <f t="shared" si="32"/>
        <v>269</v>
      </c>
      <c r="B276" s="260"/>
      <c r="C276" s="275" t="s">
        <v>310</v>
      </c>
      <c r="D276" s="266"/>
      <c r="E276" s="265"/>
      <c r="F276" s="264"/>
      <c r="G276" s="361">
        <f>SUM(G268:G275)</f>
        <v>24036686.740000002</v>
      </c>
      <c r="H276" s="29"/>
      <c r="I276" s="1229"/>
      <c r="J276" s="29"/>
      <c r="K276" s="361">
        <f>SUM(K268:K275)</f>
        <v>21685113.424647357</v>
      </c>
      <c r="M276" s="1630" t="s">
        <v>1528</v>
      </c>
      <c r="N276" s="1614">
        <f>SUM(N268:N275)</f>
        <v>20903855.624799911</v>
      </c>
      <c r="O276" s="1614">
        <v>18828862.653161749</v>
      </c>
      <c r="Q276" s="333">
        <v>23369648.426711187</v>
      </c>
      <c r="R276" s="256"/>
      <c r="S276" s="333">
        <v>23369648.426711187</v>
      </c>
      <c r="T276" s="1693">
        <v>20252227.698605131</v>
      </c>
      <c r="U276" s="256"/>
      <c r="V276" s="333">
        <v>23369648.426711187</v>
      </c>
      <c r="W276" s="1693">
        <v>20252227.698605131</v>
      </c>
      <c r="X276" s="256"/>
      <c r="Y276" s="333">
        <v>23472543.861846387</v>
      </c>
      <c r="Z276" s="1693">
        <v>20342673.105841413</v>
      </c>
      <c r="AA276" s="256"/>
      <c r="AB276" s="333">
        <v>23472543.861846387</v>
      </c>
      <c r="AC276" s="1693">
        <v>20342385.716280203</v>
      </c>
      <c r="AD276" s="256"/>
      <c r="AE276" s="333">
        <v>23472543.861846387</v>
      </c>
      <c r="AF276" s="1693">
        <v>20342385.716280203</v>
      </c>
      <c r="AG276" s="256"/>
      <c r="AH276" s="333">
        <v>23472543.861846387</v>
      </c>
      <c r="AI276" s="1693">
        <v>20342385.716280203</v>
      </c>
      <c r="AJ276" s="256"/>
      <c r="AK276" s="333">
        <v>23472543.861846387</v>
      </c>
      <c r="AL276" s="1693">
        <v>20342346.083099633</v>
      </c>
      <c r="AM276" s="256"/>
      <c r="AN276" s="333">
        <v>23472543.861846387</v>
      </c>
      <c r="AO276" s="1693">
        <v>20342368.782390792</v>
      </c>
      <c r="AP276" s="256"/>
      <c r="AQ276" s="333">
        <v>23472543.861846387</v>
      </c>
      <c r="AR276" s="1693">
        <v>20342368.782390792</v>
      </c>
      <c r="AS276" s="256"/>
      <c r="AT276" s="333">
        <v>23472543.861846387</v>
      </c>
      <c r="AU276" s="333">
        <v>20342368.782390792</v>
      </c>
      <c r="AV276" s="256"/>
      <c r="AW276" s="333">
        <v>23472543.861846387</v>
      </c>
      <c r="AX276" s="333">
        <v>20342368.782390792</v>
      </c>
      <c r="AY276" s="256"/>
      <c r="AZ276" s="333">
        <v>23472543.861846387</v>
      </c>
      <c r="BA276" s="333">
        <v>20342368.782390792</v>
      </c>
      <c r="BB276" s="256"/>
      <c r="BC276" s="333">
        <v>23472543.861846387</v>
      </c>
      <c r="BD276" s="333">
        <v>20342368.782390792</v>
      </c>
      <c r="BE276" s="256"/>
      <c r="BF276" s="333">
        <v>23472543.861846387</v>
      </c>
      <c r="BG276" s="333">
        <v>20342368.782390792</v>
      </c>
      <c r="BH276" s="256"/>
      <c r="BI276" s="333">
        <v>23472543.861846387</v>
      </c>
      <c r="BJ276" s="333">
        <v>20342368.782390792</v>
      </c>
      <c r="BK276" s="256"/>
      <c r="BL276" s="333">
        <v>23472543.861846387</v>
      </c>
      <c r="BM276" s="333">
        <v>20342368.782390792</v>
      </c>
      <c r="BN276" s="256"/>
      <c r="BO276" s="333">
        <v>21359399.861846387</v>
      </c>
      <c r="BP276" s="333">
        <v>18523742.122294355</v>
      </c>
      <c r="BQ276" s="256"/>
      <c r="BR276" s="333">
        <v>21359399.861846387</v>
      </c>
      <c r="BS276" s="333">
        <v>18523742.122294355</v>
      </c>
      <c r="BT276" s="256"/>
      <c r="BU276" s="333">
        <v>21359399.861846387</v>
      </c>
      <c r="BV276" s="333">
        <v>18523742.122294355</v>
      </c>
      <c r="BW276" s="256"/>
      <c r="BX276" s="333">
        <v>21359399.861846387</v>
      </c>
      <c r="BY276" s="333">
        <v>18523742.122294355</v>
      </c>
      <c r="BZ276" s="256"/>
      <c r="CA276" s="333">
        <v>21685113.424647357</v>
      </c>
      <c r="CB276" s="333">
        <v>18828140.169752639</v>
      </c>
      <c r="CC276" s="256"/>
      <c r="CD276" s="333">
        <v>21685113.424647357</v>
      </c>
      <c r="CE276" s="333">
        <v>18828140.169752639</v>
      </c>
      <c r="CF276" s="256"/>
      <c r="CG276" s="333">
        <v>21685113.424647357</v>
      </c>
      <c r="CH276" s="333">
        <v>18828140.169752639</v>
      </c>
      <c r="CI276" s="1684">
        <f t="shared" si="35"/>
        <v>0</v>
      </c>
      <c r="CJ276" s="333">
        <v>21685113.424647357</v>
      </c>
      <c r="CK276" s="333">
        <v>18828140.169752639</v>
      </c>
      <c r="CL276" s="256"/>
      <c r="CM276" s="333">
        <v>21685113.424647357</v>
      </c>
      <c r="CN276" s="333">
        <v>18828445.581250414</v>
      </c>
      <c r="CO276" s="256"/>
      <c r="CP276" s="361">
        <v>21685113.424647357</v>
      </c>
      <c r="CQ276" s="333">
        <v>18828445.581250414</v>
      </c>
      <c r="CR276" s="256"/>
      <c r="CS276" s="361">
        <v>21685113.424647357</v>
      </c>
      <c r="CT276" s="333">
        <v>18828862.653161749</v>
      </c>
      <c r="CU276" s="256"/>
      <c r="CV276" s="333">
        <v>21685113.424647357</v>
      </c>
      <c r="CW276" s="333">
        <v>18828862.653161749</v>
      </c>
      <c r="CX276" s="256"/>
      <c r="CY276" s="333"/>
      <c r="CZ276" s="333"/>
    </row>
    <row r="277" spans="1:104">
      <c r="A277" s="260">
        <f t="shared" si="32"/>
        <v>270</v>
      </c>
      <c r="B277" s="260"/>
      <c r="D277" s="266"/>
      <c r="E277" s="265"/>
      <c r="F277" s="264"/>
      <c r="G277" s="746"/>
      <c r="H277" s="29"/>
      <c r="I277" s="1373"/>
      <c r="J277" s="29"/>
      <c r="K277" s="37"/>
      <c r="M277" s="1624"/>
      <c r="N277" s="1113"/>
      <c r="O277" s="1113"/>
      <c r="Q277" s="37"/>
      <c r="R277" s="256"/>
      <c r="S277" s="37"/>
      <c r="T277" s="1725"/>
      <c r="U277" s="256"/>
      <c r="V277" s="37"/>
      <c r="W277" s="1725"/>
      <c r="X277" s="256"/>
      <c r="Y277" s="37"/>
      <c r="Z277" s="1725"/>
      <c r="AA277" s="256"/>
      <c r="AB277" s="37"/>
      <c r="AC277" s="1725"/>
      <c r="AD277" s="256"/>
      <c r="AE277" s="37"/>
      <c r="AF277" s="1725"/>
      <c r="AG277" s="256"/>
      <c r="AH277" s="37"/>
      <c r="AI277" s="1725"/>
      <c r="AJ277" s="256"/>
      <c r="AK277" s="37"/>
      <c r="AL277" s="1725"/>
      <c r="AM277" s="256"/>
      <c r="AN277" s="37"/>
      <c r="AO277" s="1725"/>
      <c r="AP277" s="256"/>
      <c r="AQ277" s="37"/>
      <c r="AR277" s="1725"/>
      <c r="AS277" s="256"/>
      <c r="AT277" s="37"/>
      <c r="AU277" s="37"/>
      <c r="AV277" s="256"/>
      <c r="AW277" s="37"/>
      <c r="AX277" s="37"/>
      <c r="AY277" s="256"/>
      <c r="AZ277" s="37"/>
      <c r="BA277" s="37"/>
      <c r="BB277" s="256"/>
      <c r="BC277" s="37"/>
      <c r="BD277" s="37"/>
      <c r="BE277" s="256"/>
      <c r="BF277" s="37"/>
      <c r="BG277" s="37"/>
      <c r="BH277" s="256"/>
      <c r="BI277" s="37"/>
      <c r="BJ277" s="37"/>
      <c r="BK277" s="256"/>
      <c r="BL277" s="37"/>
      <c r="BM277" s="37"/>
      <c r="BN277" s="256"/>
      <c r="BO277" s="37"/>
      <c r="BP277" s="37"/>
      <c r="BQ277" s="256"/>
      <c r="BR277" s="37"/>
      <c r="BS277" s="37"/>
      <c r="BT277" s="256"/>
      <c r="BU277" s="37"/>
      <c r="BV277" s="37"/>
      <c r="BW277" s="256"/>
      <c r="BX277" s="37"/>
      <c r="BY277" s="37"/>
      <c r="BZ277" s="256"/>
      <c r="CA277" s="37"/>
      <c r="CB277" s="37"/>
      <c r="CC277" s="256"/>
      <c r="CD277" s="37"/>
      <c r="CE277" s="37"/>
      <c r="CF277" s="256"/>
      <c r="CG277" s="37"/>
      <c r="CH277" s="37"/>
      <c r="CI277" s="1684">
        <f t="shared" si="35"/>
        <v>0</v>
      </c>
      <c r="CJ277" s="37"/>
      <c r="CK277" s="37"/>
      <c r="CL277" s="256"/>
      <c r="CM277" s="37"/>
      <c r="CN277" s="37"/>
      <c r="CO277" s="256"/>
      <c r="CP277" s="37"/>
      <c r="CQ277" s="37"/>
      <c r="CR277" s="256"/>
      <c r="CS277" s="37"/>
      <c r="CT277" s="37"/>
      <c r="CU277" s="256"/>
      <c r="CV277" s="37"/>
      <c r="CW277" s="37"/>
      <c r="CX277" s="256"/>
      <c r="CY277" s="37"/>
      <c r="CZ277" s="37"/>
    </row>
    <row r="278" spans="1:104">
      <c r="A278" s="260">
        <f t="shared" ref="A278:A336" si="38">A277+1</f>
        <v>271</v>
      </c>
      <c r="B278" s="260"/>
      <c r="C278" s="275" t="s">
        <v>257</v>
      </c>
      <c r="D278" s="266"/>
      <c r="E278" s="265"/>
      <c r="F278" s="264"/>
      <c r="G278" s="746"/>
      <c r="H278" s="29"/>
      <c r="I278" s="1229"/>
      <c r="J278" s="29"/>
      <c r="K278" s="37"/>
      <c r="M278" s="1624"/>
      <c r="N278" s="1637"/>
      <c r="O278" s="1637"/>
      <c r="Q278" s="37"/>
      <c r="R278" s="256"/>
      <c r="S278" s="37"/>
      <c r="T278" s="1725"/>
      <c r="U278" s="256"/>
      <c r="V278" s="37"/>
      <c r="W278" s="1725"/>
      <c r="X278" s="256"/>
      <c r="Y278" s="37"/>
      <c r="Z278" s="1725"/>
      <c r="AA278" s="256"/>
      <c r="AB278" s="37"/>
      <c r="AC278" s="1725"/>
      <c r="AD278" s="256"/>
      <c r="AE278" s="37"/>
      <c r="AF278" s="1725"/>
      <c r="AG278" s="256"/>
      <c r="AH278" s="37"/>
      <c r="AI278" s="1725"/>
      <c r="AJ278" s="256"/>
      <c r="AK278" s="37"/>
      <c r="AL278" s="1725"/>
      <c r="AM278" s="256"/>
      <c r="AN278" s="37"/>
      <c r="AO278" s="1725"/>
      <c r="AP278" s="256"/>
      <c r="AQ278" s="37"/>
      <c r="AR278" s="1725"/>
      <c r="AS278" s="256"/>
      <c r="AT278" s="37"/>
      <c r="AU278" s="37"/>
      <c r="AV278" s="256"/>
      <c r="AW278" s="37"/>
      <c r="AX278" s="37"/>
      <c r="AY278" s="256"/>
      <c r="AZ278" s="37"/>
      <c r="BA278" s="37"/>
      <c r="BB278" s="256"/>
      <c r="BC278" s="37"/>
      <c r="BD278" s="37"/>
      <c r="BE278" s="256"/>
      <c r="BF278" s="37"/>
      <c r="BG278" s="37"/>
      <c r="BH278" s="256"/>
      <c r="BI278" s="37"/>
      <c r="BJ278" s="37"/>
      <c r="BK278" s="256"/>
      <c r="BL278" s="37"/>
      <c r="BM278" s="37"/>
      <c r="BN278" s="256"/>
      <c r="BO278" s="37"/>
      <c r="BP278" s="37"/>
      <c r="BQ278" s="256"/>
      <c r="BR278" s="37"/>
      <c r="BS278" s="37"/>
      <c r="BT278" s="256"/>
      <c r="BU278" s="37"/>
      <c r="BV278" s="37"/>
      <c r="BW278" s="256"/>
      <c r="BX278" s="37"/>
      <c r="BY278" s="37"/>
      <c r="BZ278" s="256"/>
      <c r="CA278" s="37"/>
      <c r="CB278" s="37"/>
      <c r="CC278" s="256"/>
      <c r="CD278" s="37"/>
      <c r="CE278" s="37"/>
      <c r="CF278" s="256"/>
      <c r="CG278" s="37"/>
      <c r="CH278" s="37"/>
      <c r="CI278" s="1684">
        <f t="shared" si="35"/>
        <v>0</v>
      </c>
      <c r="CJ278" s="37"/>
      <c r="CK278" s="37"/>
      <c r="CL278" s="256"/>
      <c r="CM278" s="37"/>
      <c r="CN278" s="37"/>
      <c r="CO278" s="256"/>
      <c r="CP278" s="37"/>
      <c r="CQ278" s="37"/>
      <c r="CR278" s="256"/>
      <c r="CS278" s="37"/>
      <c r="CT278" s="37"/>
      <c r="CU278" s="256"/>
      <c r="CV278" s="37"/>
      <c r="CW278" s="37"/>
      <c r="CX278" s="256"/>
      <c r="CY278" s="37"/>
      <c r="CZ278" s="37"/>
    </row>
    <row r="279" spans="1:104">
      <c r="A279" s="260">
        <f t="shared" si="38"/>
        <v>272</v>
      </c>
      <c r="B279" s="260"/>
      <c r="C279" s="256" t="s">
        <v>1029</v>
      </c>
      <c r="D279" s="286"/>
      <c r="E279" s="289" t="s">
        <v>11</v>
      </c>
      <c r="F279" s="285"/>
      <c r="G279" s="361">
        <f>'Stmt L'!G35</f>
        <v>3909166.01</v>
      </c>
      <c r="H279" s="29"/>
      <c r="I279" s="583" t="s">
        <v>11</v>
      </c>
      <c r="J279" s="29"/>
      <c r="K279" s="361">
        <f>'Stmt L'!G38</f>
        <v>4699301.969868673</v>
      </c>
      <c r="M279" s="1624">
        <f>IF(ISERROR(O279/K279),0,O279/K279)</f>
        <v>0.86405857965908184</v>
      </c>
      <c r="N279" s="1113">
        <f>M279*G279</f>
        <v>3377748.4302521599</v>
      </c>
      <c r="O279" s="1113">
        <v>4060472.1854738509</v>
      </c>
      <c r="Q279" s="333">
        <v>4660325.2383528184</v>
      </c>
      <c r="R279" s="256"/>
      <c r="S279" s="333">
        <v>4660325.2383528184</v>
      </c>
      <c r="T279" s="1693">
        <v>4021936.0780278631</v>
      </c>
      <c r="U279" s="256"/>
      <c r="V279" s="333">
        <v>4660325.2383528184</v>
      </c>
      <c r="W279" s="1693">
        <v>4021936.0780278631</v>
      </c>
      <c r="X279" s="256"/>
      <c r="Y279" s="333">
        <v>4660325.2383528184</v>
      </c>
      <c r="Z279" s="1693">
        <v>4021942.2957227887</v>
      </c>
      <c r="AA279" s="256"/>
      <c r="AB279" s="333">
        <v>4660325.2383528184</v>
      </c>
      <c r="AC279" s="1693">
        <v>4021889.9015244888</v>
      </c>
      <c r="AD279" s="256"/>
      <c r="AE279" s="333">
        <v>4660325.2383528184</v>
      </c>
      <c r="AF279" s="1693">
        <v>4021889.9015244888</v>
      </c>
      <c r="AG279" s="256"/>
      <c r="AH279" s="333">
        <v>4660325.2383528184</v>
      </c>
      <c r="AI279" s="1693">
        <v>4021889.9015244888</v>
      </c>
      <c r="AJ279" s="256"/>
      <c r="AK279" s="333">
        <v>4660325.2383528184</v>
      </c>
      <c r="AL279" s="1693">
        <v>4021882.6759707378</v>
      </c>
      <c r="AM279" s="256"/>
      <c r="AN279" s="333">
        <v>4660325.2383528184</v>
      </c>
      <c r="AO279" s="1693">
        <v>4021886.8142948886</v>
      </c>
      <c r="AP279" s="256"/>
      <c r="AQ279" s="333">
        <v>4660325.2383528184</v>
      </c>
      <c r="AR279" s="1693">
        <v>4021886.8142948886</v>
      </c>
      <c r="AS279" s="256"/>
      <c r="AT279" s="333">
        <v>4660325.2383528184</v>
      </c>
      <c r="AU279" s="333">
        <v>4021886.8142948886</v>
      </c>
      <c r="AV279" s="256"/>
      <c r="AW279" s="333">
        <v>4660325.2383528184</v>
      </c>
      <c r="AX279" s="333">
        <v>4021886.8142948886</v>
      </c>
      <c r="AY279" s="256"/>
      <c r="AZ279" s="333">
        <v>4660325.2383528184</v>
      </c>
      <c r="BA279" s="333">
        <v>4021886.8142948886</v>
      </c>
      <c r="BB279" s="256"/>
      <c r="BC279" s="333">
        <v>4660325.2383528184</v>
      </c>
      <c r="BD279" s="333">
        <v>4021886.8142948886</v>
      </c>
      <c r="BE279" s="256"/>
      <c r="BF279" s="333">
        <v>4660325.2383528184</v>
      </c>
      <c r="BG279" s="333">
        <v>4021886.8142948886</v>
      </c>
      <c r="BH279" s="256"/>
      <c r="BI279" s="333">
        <v>4660325.2383528184</v>
      </c>
      <c r="BJ279" s="333">
        <v>4021886.8142948886</v>
      </c>
      <c r="BK279" s="256"/>
      <c r="BL279" s="333">
        <v>4660325.2383528184</v>
      </c>
      <c r="BM279" s="333">
        <v>4021886.8142948886</v>
      </c>
      <c r="BN279" s="256"/>
      <c r="BO279" s="333">
        <v>4660325.2383528184</v>
      </c>
      <c r="BP279" s="333">
        <v>4021873.9550635577</v>
      </c>
      <c r="BQ279" s="256"/>
      <c r="BR279" s="333">
        <v>4660325.2383528184</v>
      </c>
      <c r="BS279" s="333">
        <v>4021873.9550635577</v>
      </c>
      <c r="BT279" s="256"/>
      <c r="BU279" s="333">
        <v>4660325.2383528184</v>
      </c>
      <c r="BV279" s="333">
        <v>4021873.9550635577</v>
      </c>
      <c r="BW279" s="256"/>
      <c r="BX279" s="333">
        <v>4660325.2383528184</v>
      </c>
      <c r="BY279" s="333">
        <v>4021873.9550635577</v>
      </c>
      <c r="BZ279" s="256"/>
      <c r="CA279" s="333">
        <v>4699301.969868673</v>
      </c>
      <c r="CB279" s="333">
        <v>4060342.0356359966</v>
      </c>
      <c r="CC279" s="256"/>
      <c r="CD279" s="333">
        <v>4699301.969868673</v>
      </c>
      <c r="CE279" s="333">
        <v>4060342.0356359966</v>
      </c>
      <c r="CF279" s="256"/>
      <c r="CG279" s="333">
        <v>4699301.969868673</v>
      </c>
      <c r="CH279" s="333">
        <v>4060342.0356359966</v>
      </c>
      <c r="CI279" s="1684">
        <f t="shared" si="35"/>
        <v>0</v>
      </c>
      <c r="CJ279" s="333">
        <v>4699301.969868673</v>
      </c>
      <c r="CK279" s="333">
        <v>4060342.0356359966</v>
      </c>
      <c r="CL279" s="256"/>
      <c r="CM279" s="333">
        <v>4699301.969868673</v>
      </c>
      <c r="CN279" s="333">
        <v>4060397.0531719197</v>
      </c>
      <c r="CO279" s="256"/>
      <c r="CP279" s="361">
        <v>4699301.969868673</v>
      </c>
      <c r="CQ279" s="333">
        <v>4060397.0531719197</v>
      </c>
      <c r="CR279" s="256"/>
      <c r="CS279" s="361">
        <v>4699301.969868673</v>
      </c>
      <c r="CT279" s="333">
        <v>4060472.1854738509</v>
      </c>
      <c r="CU279" s="256"/>
      <c r="CV279" s="333">
        <v>4699301.969868673</v>
      </c>
      <c r="CW279" s="333">
        <v>4060472.1854738509</v>
      </c>
      <c r="CX279" s="256"/>
      <c r="CY279" s="333"/>
      <c r="CZ279" s="333"/>
    </row>
    <row r="280" spans="1:104">
      <c r="A280" s="260">
        <f t="shared" si="38"/>
        <v>273</v>
      </c>
      <c r="B280" s="260"/>
      <c r="C280" s="256" t="s">
        <v>258</v>
      </c>
      <c r="D280" s="286"/>
      <c r="E280" s="289" t="s">
        <v>11</v>
      </c>
      <c r="F280" s="285"/>
      <c r="G280" s="209">
        <f>'Stmt L'!G11</f>
        <v>2264966.2599999984</v>
      </c>
      <c r="H280" s="29"/>
      <c r="I280" s="635" t="s">
        <v>11</v>
      </c>
      <c r="J280" s="29"/>
      <c r="K280" s="636">
        <f>'Stmt L'!G14</f>
        <v>2412941.167860203</v>
      </c>
      <c r="M280" s="1624">
        <f>IF(ISERROR(O280/K280),0,O280/K280)</f>
        <v>0.87194347602411726</v>
      </c>
      <c r="N280" s="1628">
        <f>M280*G280</f>
        <v>1974922.5538217432</v>
      </c>
      <c r="O280" s="1628">
        <v>2103948.3093457185</v>
      </c>
      <c r="Q280" s="1699">
        <v>2492433.2599999984</v>
      </c>
      <c r="R280" s="256"/>
      <c r="S280" s="1699">
        <v>2492433.2599999984</v>
      </c>
      <c r="T280" s="1700">
        <v>2171503.2120883716</v>
      </c>
      <c r="U280" s="256"/>
      <c r="V280" s="1699">
        <v>2493672.3767336984</v>
      </c>
      <c r="W280" s="1700">
        <v>2172582.7779931305</v>
      </c>
      <c r="X280" s="256"/>
      <c r="Y280" s="1699">
        <v>2493672.3767336984</v>
      </c>
      <c r="Z280" s="1700">
        <v>2172603.6591610401</v>
      </c>
      <c r="AA280" s="256"/>
      <c r="AB280" s="1699">
        <v>2493672.3767336984</v>
      </c>
      <c r="AC280" s="1700">
        <v>2172427.7013398372</v>
      </c>
      <c r="AD280" s="256"/>
      <c r="AE280" s="1699">
        <v>2493672.3767336984</v>
      </c>
      <c r="AF280" s="1700">
        <v>2172427.7013398372</v>
      </c>
      <c r="AG280" s="256"/>
      <c r="AH280" s="1699">
        <v>2493672.3767336984</v>
      </c>
      <c r="AI280" s="1700">
        <v>2172427.7013398376</v>
      </c>
      <c r="AJ280" s="256"/>
      <c r="AK280" s="1699">
        <v>2493672.3767336984</v>
      </c>
      <c r="AL280" s="1700">
        <v>2172403.4354337584</v>
      </c>
      <c r="AM280" s="256"/>
      <c r="AN280" s="1699">
        <v>2462242.8222940033</v>
      </c>
      <c r="AO280" s="1700">
        <v>2145036.7883088049</v>
      </c>
      <c r="AP280" s="256"/>
      <c r="AQ280" s="1699">
        <v>2462242.8222940033</v>
      </c>
      <c r="AR280" s="1700">
        <v>2145036.7883088049</v>
      </c>
      <c r="AS280" s="256"/>
      <c r="AT280" s="1699">
        <v>2462242.8222940033</v>
      </c>
      <c r="AU280" s="1699">
        <v>2145036.7883088049</v>
      </c>
      <c r="AV280" s="256"/>
      <c r="AW280" s="1699">
        <v>2462242.8222940033</v>
      </c>
      <c r="AX280" s="1699">
        <v>2145036.7883088049</v>
      </c>
      <c r="AY280" s="256"/>
      <c r="AZ280" s="1699">
        <v>2462242.8222940033</v>
      </c>
      <c r="BA280" s="1699">
        <v>2145036.7883088049</v>
      </c>
      <c r="BB280" s="256"/>
      <c r="BC280" s="1699">
        <v>2462242.8222940033</v>
      </c>
      <c r="BD280" s="1699">
        <v>2145036.7883088049</v>
      </c>
      <c r="BE280" s="256"/>
      <c r="BF280" s="1699">
        <v>2462242.8222940033</v>
      </c>
      <c r="BG280" s="1699">
        <v>2145036.7883088049</v>
      </c>
      <c r="BH280" s="256"/>
      <c r="BI280" s="1699">
        <v>2462242.8222940033</v>
      </c>
      <c r="BJ280" s="1699">
        <v>2145036.7883088049</v>
      </c>
      <c r="BK280" s="256"/>
      <c r="BL280" s="1699">
        <v>2462242.8222940033</v>
      </c>
      <c r="BM280" s="1699">
        <v>2145036.7883088049</v>
      </c>
      <c r="BN280" s="256"/>
      <c r="BO280" s="1699">
        <v>2462242.8222940033</v>
      </c>
      <c r="BP280" s="1699">
        <v>2145036.7883088049</v>
      </c>
      <c r="BQ280" s="256"/>
      <c r="BR280" s="1699">
        <v>2462242.8222940033</v>
      </c>
      <c r="BS280" s="1699">
        <v>2145036.7883088049</v>
      </c>
      <c r="BT280" s="256"/>
      <c r="BU280" s="1699">
        <v>2462242.8222940033</v>
      </c>
      <c r="BV280" s="1699">
        <v>2145036.7883088049</v>
      </c>
      <c r="BW280" s="256"/>
      <c r="BX280" s="1699">
        <v>2462242.8222940033</v>
      </c>
      <c r="BY280" s="1699">
        <v>2145036.7883088049</v>
      </c>
      <c r="BZ280" s="256"/>
      <c r="CA280" s="1699">
        <v>2462242.8222940033</v>
      </c>
      <c r="CB280" s="1699">
        <v>2146511.7480547708</v>
      </c>
      <c r="CC280" s="256"/>
      <c r="CD280" s="1699">
        <v>2462242.8222940033</v>
      </c>
      <c r="CE280" s="1699">
        <v>2146511.7480547708</v>
      </c>
      <c r="CF280" s="256"/>
      <c r="CG280" s="1699">
        <v>2462242.8222940033</v>
      </c>
      <c r="CH280" s="1699">
        <v>2146511.7480547708</v>
      </c>
      <c r="CI280" s="1684">
        <f t="shared" si="35"/>
        <v>0</v>
      </c>
      <c r="CJ280" s="1699">
        <v>2462242.8222940033</v>
      </c>
      <c r="CK280" s="1699">
        <v>2146511.7480547708</v>
      </c>
      <c r="CL280" s="256"/>
      <c r="CM280" s="1699">
        <v>2412941.167860203</v>
      </c>
      <c r="CN280" s="1699">
        <v>2103707.9831890115</v>
      </c>
      <c r="CO280" s="256"/>
      <c r="CP280" s="636">
        <v>2412941.167860203</v>
      </c>
      <c r="CQ280" s="1699">
        <v>2103707.9831890115</v>
      </c>
      <c r="CR280" s="256"/>
      <c r="CS280" s="636">
        <v>2412941.167860203</v>
      </c>
      <c r="CT280" s="1699">
        <v>2103948.3093457185</v>
      </c>
      <c r="CU280" s="256"/>
      <c r="CV280" s="1699">
        <v>2412941.167860203</v>
      </c>
      <c r="CW280" s="1699">
        <v>2103948.3093457185</v>
      </c>
      <c r="CX280" s="256"/>
      <c r="CY280" s="1699"/>
      <c r="CZ280" s="1699"/>
    </row>
    <row r="281" spans="1:104">
      <c r="A281" s="260">
        <f t="shared" si="38"/>
        <v>274</v>
      </c>
      <c r="B281" s="260"/>
      <c r="C281" s="256" t="s">
        <v>31</v>
      </c>
      <c r="D281" s="286"/>
      <c r="E281" s="289" t="s">
        <v>11</v>
      </c>
      <c r="F281" s="285"/>
      <c r="G281" s="209">
        <f>'Stmt L'!G17</f>
        <v>23120.46</v>
      </c>
      <c r="H281" s="29"/>
      <c r="I281" s="635" t="s">
        <v>11</v>
      </c>
      <c r="J281" s="29"/>
      <c r="K281" s="636">
        <f>'Stmt L'!G20</f>
        <v>23120.46</v>
      </c>
      <c r="M281" s="1624">
        <f>IF(ISERROR(O281/K281),0,O281/K281)</f>
        <v>0.87194347602411748</v>
      </c>
      <c r="N281" s="1628">
        <f>M281*G281</f>
        <v>20159.734259676567</v>
      </c>
      <c r="O281" s="1628">
        <v>20159.734259676567</v>
      </c>
      <c r="Q281" s="1699">
        <v>23120.46</v>
      </c>
      <c r="R281" s="256"/>
      <c r="S281" s="1699">
        <v>23120.46</v>
      </c>
      <c r="T281" s="1700">
        <v>20143.429298869469</v>
      </c>
      <c r="U281" s="256"/>
      <c r="V281" s="1699">
        <v>23120.46</v>
      </c>
      <c r="W281" s="1700">
        <v>20143.429298869469</v>
      </c>
      <c r="X281" s="256"/>
      <c r="Y281" s="1699">
        <v>23120.46</v>
      </c>
      <c r="Z281" s="1700">
        <v>20143.622901770927</v>
      </c>
      <c r="AA281" s="256"/>
      <c r="AB281" s="1699">
        <v>23120.46</v>
      </c>
      <c r="AC281" s="1700">
        <v>20141.991482260983</v>
      </c>
      <c r="AD281" s="256"/>
      <c r="AE281" s="1699">
        <v>23120.46</v>
      </c>
      <c r="AF281" s="1700">
        <v>20141.991482260983</v>
      </c>
      <c r="AG281" s="256"/>
      <c r="AH281" s="1699">
        <v>23120.46</v>
      </c>
      <c r="AI281" s="1700">
        <v>20141.991482260986</v>
      </c>
      <c r="AJ281" s="256"/>
      <c r="AK281" s="1699">
        <v>23120.46</v>
      </c>
      <c r="AL281" s="1700">
        <v>20141.766497248478</v>
      </c>
      <c r="AM281" s="256"/>
      <c r="AN281" s="1699">
        <v>23120.46</v>
      </c>
      <c r="AO281" s="1700">
        <v>20141.895353934517</v>
      </c>
      <c r="AP281" s="256"/>
      <c r="AQ281" s="1699">
        <v>23120.46</v>
      </c>
      <c r="AR281" s="1700">
        <v>20141.895353934517</v>
      </c>
      <c r="AS281" s="256"/>
      <c r="AT281" s="1699">
        <v>23120.46</v>
      </c>
      <c r="AU281" s="1699">
        <v>20141.895353934517</v>
      </c>
      <c r="AV281" s="256"/>
      <c r="AW281" s="1699">
        <v>23120.46</v>
      </c>
      <c r="AX281" s="1699">
        <v>20141.895353934517</v>
      </c>
      <c r="AY281" s="256"/>
      <c r="AZ281" s="1699">
        <v>23120.46</v>
      </c>
      <c r="BA281" s="1699">
        <v>20141.895353934517</v>
      </c>
      <c r="BB281" s="256"/>
      <c r="BC281" s="1699">
        <v>23120.46</v>
      </c>
      <c r="BD281" s="1699">
        <v>20141.895353934517</v>
      </c>
      <c r="BE281" s="256"/>
      <c r="BF281" s="1699">
        <v>23120.46</v>
      </c>
      <c r="BG281" s="1699">
        <v>20141.895353934517</v>
      </c>
      <c r="BH281" s="256"/>
      <c r="BI281" s="1699">
        <v>23120.46</v>
      </c>
      <c r="BJ281" s="1699">
        <v>20141.895353934517</v>
      </c>
      <c r="BK281" s="256"/>
      <c r="BL281" s="1699">
        <v>23120.46</v>
      </c>
      <c r="BM281" s="1699">
        <v>20141.895353934517</v>
      </c>
      <c r="BN281" s="256"/>
      <c r="BO281" s="1699">
        <v>23120.46</v>
      </c>
      <c r="BP281" s="1699">
        <v>20141.895353934517</v>
      </c>
      <c r="BQ281" s="256"/>
      <c r="BR281" s="1699">
        <v>23120.46</v>
      </c>
      <c r="BS281" s="1699">
        <v>20141.895353934517</v>
      </c>
      <c r="BT281" s="256"/>
      <c r="BU281" s="1699">
        <v>23120.46</v>
      </c>
      <c r="BV281" s="1699">
        <v>20141.895353934517</v>
      </c>
      <c r="BW281" s="256"/>
      <c r="BX281" s="1699">
        <v>23120.46</v>
      </c>
      <c r="BY281" s="1699">
        <v>20141.895353934517</v>
      </c>
      <c r="BZ281" s="256"/>
      <c r="CA281" s="1699">
        <v>23120.46</v>
      </c>
      <c r="CB281" s="1699">
        <v>20155.745225888422</v>
      </c>
      <c r="CC281" s="256"/>
      <c r="CD281" s="1699">
        <v>23120.46</v>
      </c>
      <c r="CE281" s="1699">
        <v>20155.745225888422</v>
      </c>
      <c r="CF281" s="256"/>
      <c r="CG281" s="1699">
        <v>23120.46</v>
      </c>
      <c r="CH281" s="1699">
        <v>20155.745225888422</v>
      </c>
      <c r="CI281" s="1684">
        <f t="shared" si="35"/>
        <v>0</v>
      </c>
      <c r="CJ281" s="1699">
        <v>23120.46</v>
      </c>
      <c r="CK281" s="1699">
        <v>20155.745225888422</v>
      </c>
      <c r="CL281" s="256"/>
      <c r="CM281" s="1699">
        <v>23120.46</v>
      </c>
      <c r="CN281" s="1699">
        <v>20157.43148853274</v>
      </c>
      <c r="CO281" s="256"/>
      <c r="CP281" s="636">
        <v>23120.46</v>
      </c>
      <c r="CQ281" s="1699">
        <v>20157.43148853274</v>
      </c>
      <c r="CR281" s="256"/>
      <c r="CS281" s="636">
        <v>23120.46</v>
      </c>
      <c r="CT281" s="1699">
        <v>20159.734259676567</v>
      </c>
      <c r="CU281" s="256"/>
      <c r="CV281" s="1699">
        <v>23120.46</v>
      </c>
      <c r="CW281" s="1699">
        <v>20159.734259676567</v>
      </c>
      <c r="CX281" s="256"/>
      <c r="CY281" s="1699"/>
      <c r="CZ281" s="1699"/>
    </row>
    <row r="282" spans="1:104">
      <c r="A282" s="260">
        <f t="shared" si="38"/>
        <v>275</v>
      </c>
      <c r="B282" s="260"/>
      <c r="C282" s="256" t="s">
        <v>32</v>
      </c>
      <c r="D282" s="286"/>
      <c r="E282" s="289" t="s">
        <v>11</v>
      </c>
      <c r="F282" s="285"/>
      <c r="G282" s="209">
        <f>'Stmt L'!G23</f>
        <v>28765.899999999998</v>
      </c>
      <c r="H282" s="29"/>
      <c r="I282" s="635" t="s">
        <v>11</v>
      </c>
      <c r="J282" s="29"/>
      <c r="K282" s="636">
        <f>'Stmt L'!G26</f>
        <v>28765.899999999998</v>
      </c>
      <c r="M282" s="1624">
        <f>IF(ISERROR(O282/K282),0,O282/K282)</f>
        <v>0.87194347602411737</v>
      </c>
      <c r="N282" s="1628">
        <f>M282*G282</f>
        <v>25082.238836962155</v>
      </c>
      <c r="O282" s="1628">
        <v>25082.238836962155</v>
      </c>
      <c r="Q282" s="1699">
        <v>28765.899999999998</v>
      </c>
      <c r="R282" s="256"/>
      <c r="S282" s="1699">
        <v>28765.899999999998</v>
      </c>
      <c r="T282" s="1700">
        <v>25061.95261116558</v>
      </c>
      <c r="U282" s="256"/>
      <c r="V282" s="1699">
        <v>28765.899999999998</v>
      </c>
      <c r="W282" s="1700">
        <v>25061.95261116558</v>
      </c>
      <c r="X282" s="256"/>
      <c r="Y282" s="1699">
        <v>28765.899999999998</v>
      </c>
      <c r="Z282" s="1700">
        <v>25062.193487069559</v>
      </c>
      <c r="AA282" s="256"/>
      <c r="AB282" s="1699">
        <v>28765.899999999998</v>
      </c>
      <c r="AC282" s="1700">
        <v>25060.163715582265</v>
      </c>
      <c r="AD282" s="256"/>
      <c r="AE282" s="1699">
        <v>28765.899999999998</v>
      </c>
      <c r="AF282" s="1700">
        <v>25060.163715582265</v>
      </c>
      <c r="AG282" s="256"/>
      <c r="AH282" s="1699">
        <v>28765.899999999998</v>
      </c>
      <c r="AI282" s="1700">
        <v>25060.163715582265</v>
      </c>
      <c r="AJ282" s="256"/>
      <c r="AK282" s="1699">
        <v>28765.899999999998</v>
      </c>
      <c r="AL282" s="1700">
        <v>25059.883794837988</v>
      </c>
      <c r="AM282" s="256"/>
      <c r="AN282" s="1699">
        <v>28765.899999999998</v>
      </c>
      <c r="AO282" s="1700">
        <v>25060.044115114699</v>
      </c>
      <c r="AP282" s="256"/>
      <c r="AQ282" s="1699">
        <v>28765.899999999998</v>
      </c>
      <c r="AR282" s="1700">
        <v>25060.044115114699</v>
      </c>
      <c r="AS282" s="256"/>
      <c r="AT282" s="1699">
        <v>28765.899999999998</v>
      </c>
      <c r="AU282" s="1699">
        <v>25060.044115114699</v>
      </c>
      <c r="AV282" s="256"/>
      <c r="AW282" s="1699">
        <v>28765.899999999998</v>
      </c>
      <c r="AX282" s="1699">
        <v>25060.044115114699</v>
      </c>
      <c r="AY282" s="256"/>
      <c r="AZ282" s="1699">
        <v>28765.899999999998</v>
      </c>
      <c r="BA282" s="1699">
        <v>25060.044115114699</v>
      </c>
      <c r="BB282" s="256"/>
      <c r="BC282" s="1699">
        <v>28765.899999999998</v>
      </c>
      <c r="BD282" s="1699">
        <v>25060.044115114699</v>
      </c>
      <c r="BE282" s="256"/>
      <c r="BF282" s="1699">
        <v>28765.899999999998</v>
      </c>
      <c r="BG282" s="1699">
        <v>25060.044115114699</v>
      </c>
      <c r="BH282" s="256"/>
      <c r="BI282" s="1699">
        <v>28765.899999999998</v>
      </c>
      <c r="BJ282" s="1699">
        <v>25060.044115114699</v>
      </c>
      <c r="BK282" s="256"/>
      <c r="BL282" s="1699">
        <v>28765.899999999998</v>
      </c>
      <c r="BM282" s="1699">
        <v>25060.044115114699</v>
      </c>
      <c r="BN282" s="256"/>
      <c r="BO282" s="1699">
        <v>28765.899999999998</v>
      </c>
      <c r="BP282" s="1699">
        <v>25060.044115114699</v>
      </c>
      <c r="BQ282" s="256"/>
      <c r="BR282" s="1699">
        <v>28765.899999999998</v>
      </c>
      <c r="BS282" s="1699">
        <v>25060.044115114699</v>
      </c>
      <c r="BT282" s="256"/>
      <c r="BU282" s="1699">
        <v>28765.899999999998</v>
      </c>
      <c r="BV282" s="1699">
        <v>25060.044115114699</v>
      </c>
      <c r="BW282" s="256"/>
      <c r="BX282" s="1699">
        <v>28765.899999999998</v>
      </c>
      <c r="BY282" s="1699">
        <v>25060.044115114699</v>
      </c>
      <c r="BZ282" s="256"/>
      <c r="CA282" s="1699">
        <v>28765.899999999998</v>
      </c>
      <c r="CB282" s="1699">
        <v>25077.27578055903</v>
      </c>
      <c r="CC282" s="256"/>
      <c r="CD282" s="1699">
        <v>28765.899999999998</v>
      </c>
      <c r="CE282" s="1699">
        <v>25077.27578055903</v>
      </c>
      <c r="CF282" s="256"/>
      <c r="CG282" s="1699">
        <v>28765.899999999998</v>
      </c>
      <c r="CH282" s="1699">
        <v>25077.27578055903</v>
      </c>
      <c r="CI282" s="1684">
        <f t="shared" si="35"/>
        <v>0</v>
      </c>
      <c r="CJ282" s="1699">
        <v>28765.899999999998</v>
      </c>
      <c r="CK282" s="1699">
        <v>25077.27578055903</v>
      </c>
      <c r="CL282" s="256"/>
      <c r="CM282" s="1699">
        <v>28765.899999999998</v>
      </c>
      <c r="CN282" s="1699">
        <v>25079.373786507014</v>
      </c>
      <c r="CO282" s="256"/>
      <c r="CP282" s="636">
        <v>28765.899999999998</v>
      </c>
      <c r="CQ282" s="1699">
        <v>25079.373786507014</v>
      </c>
      <c r="CR282" s="256"/>
      <c r="CS282" s="636">
        <v>28765.899999999998</v>
      </c>
      <c r="CT282" s="1699">
        <v>25082.238836962155</v>
      </c>
      <c r="CU282" s="256"/>
      <c r="CV282" s="1699">
        <v>28765.899999999998</v>
      </c>
      <c r="CW282" s="1699">
        <v>25082.238836962155</v>
      </c>
      <c r="CX282" s="256"/>
      <c r="CY282" s="1699"/>
      <c r="CZ282" s="1699"/>
    </row>
    <row r="283" spans="1:104">
      <c r="A283" s="260">
        <f t="shared" si="38"/>
        <v>276</v>
      </c>
      <c r="B283" s="260"/>
      <c r="C283" s="287" t="s">
        <v>318</v>
      </c>
      <c r="D283" s="266"/>
      <c r="E283" s="265" t="s">
        <v>11</v>
      </c>
      <c r="F283" s="264"/>
      <c r="G283" s="787">
        <f>'Stmt L'!G29+'Stmt L'!G41+'Stmt L'!G47</f>
        <v>-350166.07999999996</v>
      </c>
      <c r="H283" s="29"/>
      <c r="I283" s="274" t="s">
        <v>11</v>
      </c>
      <c r="J283" s="29"/>
      <c r="K283" s="637">
        <f>'Stmt L'!G32+'Stmt L'!G44+'Stmt L'!G50</f>
        <v>-118693.07999999999</v>
      </c>
      <c r="M283" s="1624">
        <f>IF(ISERROR(O283/K283),0,O283/K283)</f>
        <v>0.87194347602411737</v>
      </c>
      <c r="N283" s="1626">
        <f>M283*G283</f>
        <v>-305325.02898093913</v>
      </c>
      <c r="O283" s="1626">
        <v>-103493.65675520863</v>
      </c>
      <c r="Q283" s="1701">
        <v>-118693.07999999999</v>
      </c>
      <c r="R283" s="256"/>
      <c r="S283" s="1701">
        <v>-118693.07999999999</v>
      </c>
      <c r="T283" s="1702">
        <v>-103409.95227798486</v>
      </c>
      <c r="U283" s="256"/>
      <c r="V283" s="1701">
        <v>-118693.07999999999</v>
      </c>
      <c r="W283" s="1702">
        <v>-103409.95227798486</v>
      </c>
      <c r="X283" s="256"/>
      <c r="Y283" s="1701">
        <v>-118693.07999999999</v>
      </c>
      <c r="Z283" s="1702">
        <v>-103410.94617363706</v>
      </c>
      <c r="AA283" s="256"/>
      <c r="AB283" s="1701">
        <v>-118693.07999999999</v>
      </c>
      <c r="AC283" s="1702">
        <v>-103402.57098532299</v>
      </c>
      <c r="AD283" s="256"/>
      <c r="AE283" s="1701">
        <v>-118693.07999999999</v>
      </c>
      <c r="AF283" s="1702">
        <v>-103402.57098532301</v>
      </c>
      <c r="AG283" s="256"/>
      <c r="AH283" s="1701">
        <v>-118693.07999999999</v>
      </c>
      <c r="AI283" s="1702">
        <v>-103402.57098532302</v>
      </c>
      <c r="AJ283" s="256"/>
      <c r="AK283" s="1701">
        <v>-118693.07999999999</v>
      </c>
      <c r="AL283" s="1702">
        <v>-103401.41598390487</v>
      </c>
      <c r="AM283" s="256"/>
      <c r="AN283" s="1701">
        <v>-118693.07999999999</v>
      </c>
      <c r="AO283" s="1702">
        <v>-103402.07749310252</v>
      </c>
      <c r="AP283" s="256"/>
      <c r="AQ283" s="1701">
        <v>-118693.07999999999</v>
      </c>
      <c r="AR283" s="1702">
        <v>-103402.07749310255</v>
      </c>
      <c r="AS283" s="256"/>
      <c r="AT283" s="1701">
        <v>-118693.07999999999</v>
      </c>
      <c r="AU283" s="1701">
        <v>-103402.07749310252</v>
      </c>
      <c r="AV283" s="256"/>
      <c r="AW283" s="1701">
        <v>-118693.07999999999</v>
      </c>
      <c r="AX283" s="1701">
        <v>-103402.07749310252</v>
      </c>
      <c r="AY283" s="256"/>
      <c r="AZ283" s="1701">
        <v>-118693.07999999999</v>
      </c>
      <c r="BA283" s="1701">
        <v>-103402.07749310255</v>
      </c>
      <c r="BB283" s="256"/>
      <c r="BC283" s="1701">
        <v>-118693.07999999999</v>
      </c>
      <c r="BD283" s="1701">
        <v>-103402.07749310255</v>
      </c>
      <c r="BE283" s="256"/>
      <c r="BF283" s="1701">
        <v>-118693.07999999999</v>
      </c>
      <c r="BG283" s="1701">
        <v>-103402.07749310252</v>
      </c>
      <c r="BH283" s="256"/>
      <c r="BI283" s="1701">
        <v>-118693.07999999999</v>
      </c>
      <c r="BJ283" s="1701">
        <v>-103402.07749310255</v>
      </c>
      <c r="BK283" s="256"/>
      <c r="BL283" s="1701">
        <v>-118693.07999999999</v>
      </c>
      <c r="BM283" s="1701">
        <v>-103402.07749310252</v>
      </c>
      <c r="BN283" s="256"/>
      <c r="BO283" s="1701">
        <v>-118693.07999999999</v>
      </c>
      <c r="BP283" s="1701">
        <v>-103402.07749310252</v>
      </c>
      <c r="BQ283" s="256"/>
      <c r="BR283" s="1701">
        <v>-118693.07999999999</v>
      </c>
      <c r="BS283" s="1701">
        <v>-103402.07749310252</v>
      </c>
      <c r="BT283" s="256"/>
      <c r="BU283" s="1701">
        <v>-118693.07999999999</v>
      </c>
      <c r="BV283" s="1701">
        <v>-103402.07749310252</v>
      </c>
      <c r="BW283" s="256"/>
      <c r="BX283" s="1701">
        <v>-118693.07999999999</v>
      </c>
      <c r="BY283" s="1701">
        <v>-103402.07749310255</v>
      </c>
      <c r="BZ283" s="256"/>
      <c r="CA283" s="1701">
        <v>-118693.07999999999</v>
      </c>
      <c r="CB283" s="1701">
        <v>-103473.17832586345</v>
      </c>
      <c r="CC283" s="256"/>
      <c r="CD283" s="1701">
        <v>-118693.07999999999</v>
      </c>
      <c r="CE283" s="1701">
        <v>-103473.17832586345</v>
      </c>
      <c r="CF283" s="256"/>
      <c r="CG283" s="1701">
        <v>-118693.07999999999</v>
      </c>
      <c r="CH283" s="1701">
        <v>-103473.17832586345</v>
      </c>
      <c r="CI283" s="1684">
        <f t="shared" si="35"/>
        <v>0</v>
      </c>
      <c r="CJ283" s="1701">
        <v>-118693.07999999999</v>
      </c>
      <c r="CK283" s="1701">
        <v>-103473.17832586345</v>
      </c>
      <c r="CL283" s="256"/>
      <c r="CM283" s="1701">
        <v>-118693.07999999999</v>
      </c>
      <c r="CN283" s="1701">
        <v>-103481.83506136709</v>
      </c>
      <c r="CO283" s="256"/>
      <c r="CP283" s="637">
        <v>-118693.07999999999</v>
      </c>
      <c r="CQ283" s="1701">
        <v>-103481.83506136709</v>
      </c>
      <c r="CR283" s="256"/>
      <c r="CS283" s="637">
        <v>-118693.07999999999</v>
      </c>
      <c r="CT283" s="1701">
        <v>-103493.65675520863</v>
      </c>
      <c r="CU283" s="256"/>
      <c r="CV283" s="1701">
        <v>-118693.07999999999</v>
      </c>
      <c r="CW283" s="1701">
        <v>-103493.65675520863</v>
      </c>
      <c r="CX283" s="256"/>
      <c r="CY283" s="1701"/>
      <c r="CZ283" s="1701"/>
    </row>
    <row r="284" spans="1:104">
      <c r="A284" s="260">
        <f t="shared" si="38"/>
        <v>277</v>
      </c>
      <c r="B284" s="260"/>
      <c r="C284" s="275" t="s">
        <v>112</v>
      </c>
      <c r="D284" s="266"/>
      <c r="E284" s="265"/>
      <c r="F284" s="264"/>
      <c r="G284" s="361">
        <f>SUM(G279:G283)</f>
        <v>5875852.549999998</v>
      </c>
      <c r="H284" s="29"/>
      <c r="I284" s="1229"/>
      <c r="J284" s="29"/>
      <c r="K284" s="361">
        <f>SUM(K279:K283)</f>
        <v>7045436.4177288758</v>
      </c>
      <c r="M284" s="1630" t="s">
        <v>1528</v>
      </c>
      <c r="N284" s="1614">
        <f>SUM(N279:N283)</f>
        <v>5092587.9281896027</v>
      </c>
      <c r="O284" s="1614">
        <v>6106168.8111609984</v>
      </c>
      <c r="Q284" s="333">
        <v>7085951.7783528166</v>
      </c>
      <c r="R284" s="256"/>
      <c r="S284" s="333">
        <v>7085951.7783528166</v>
      </c>
      <c r="T284" s="1693">
        <v>6135234.7197482847</v>
      </c>
      <c r="U284" s="256"/>
      <c r="V284" s="333">
        <v>7087190.8950865166</v>
      </c>
      <c r="W284" s="1693">
        <v>6136314.2856530435</v>
      </c>
      <c r="X284" s="256"/>
      <c r="Y284" s="333">
        <v>7087190.8950865166</v>
      </c>
      <c r="Z284" s="1693">
        <v>6136340.8250990324</v>
      </c>
      <c r="AA284" s="256"/>
      <c r="AB284" s="333">
        <v>7087190.8950865166</v>
      </c>
      <c r="AC284" s="1693">
        <v>6136117.1870768461</v>
      </c>
      <c r="AD284" s="256"/>
      <c r="AE284" s="333">
        <v>7087190.8950865166</v>
      </c>
      <c r="AF284" s="1693">
        <v>6136117.1870768461</v>
      </c>
      <c r="AG284" s="256"/>
      <c r="AH284" s="333">
        <v>7087190.8950865166</v>
      </c>
      <c r="AI284" s="1693">
        <v>6136117.1870768471</v>
      </c>
      <c r="AJ284" s="256"/>
      <c r="AK284" s="333">
        <v>7087190.8950865166</v>
      </c>
      <c r="AL284" s="1693">
        <v>6136086.3457126776</v>
      </c>
      <c r="AM284" s="256"/>
      <c r="AN284" s="333">
        <v>7055761.340646822</v>
      </c>
      <c r="AO284" s="1693">
        <v>6108723.4645796409</v>
      </c>
      <c r="AP284" s="256"/>
      <c r="AQ284" s="333">
        <v>7055761.340646822</v>
      </c>
      <c r="AR284" s="1693">
        <v>6108723.4645796409</v>
      </c>
      <c r="AS284" s="256"/>
      <c r="AT284" s="333">
        <v>7055761.340646822</v>
      </c>
      <c r="AU284" s="333">
        <v>6108723.4645796409</v>
      </c>
      <c r="AV284" s="256"/>
      <c r="AW284" s="333">
        <v>7055761.340646822</v>
      </c>
      <c r="AX284" s="333">
        <v>6108723.4645796409</v>
      </c>
      <c r="AY284" s="256"/>
      <c r="AZ284" s="333">
        <v>7055761.340646822</v>
      </c>
      <c r="BA284" s="333">
        <v>6108723.4645796409</v>
      </c>
      <c r="BB284" s="256"/>
      <c r="BC284" s="333">
        <v>7055761.340646822</v>
      </c>
      <c r="BD284" s="333">
        <v>6108723.4645796409</v>
      </c>
      <c r="BE284" s="256"/>
      <c r="BF284" s="333">
        <v>7055761.340646822</v>
      </c>
      <c r="BG284" s="333">
        <v>6108723.4645796409</v>
      </c>
      <c r="BH284" s="256"/>
      <c r="BI284" s="333">
        <v>7055761.340646822</v>
      </c>
      <c r="BJ284" s="333">
        <v>6108723.4645796409</v>
      </c>
      <c r="BK284" s="256"/>
      <c r="BL284" s="333">
        <v>7055761.340646822</v>
      </c>
      <c r="BM284" s="333">
        <v>6108723.4645796409</v>
      </c>
      <c r="BN284" s="256"/>
      <c r="BO284" s="333">
        <v>7055761.340646822</v>
      </c>
      <c r="BP284" s="333">
        <v>6108710.6053483095</v>
      </c>
      <c r="BQ284" s="256"/>
      <c r="BR284" s="333">
        <v>7055761.340646822</v>
      </c>
      <c r="BS284" s="333">
        <v>6108710.6053483095</v>
      </c>
      <c r="BT284" s="256"/>
      <c r="BU284" s="333">
        <v>7055761.340646822</v>
      </c>
      <c r="BV284" s="333">
        <v>6108710.6053483095</v>
      </c>
      <c r="BW284" s="256"/>
      <c r="BX284" s="333">
        <v>7055761.340646822</v>
      </c>
      <c r="BY284" s="333">
        <v>6108710.6053483095</v>
      </c>
      <c r="BZ284" s="256"/>
      <c r="CA284" s="333">
        <v>7094738.0721626766</v>
      </c>
      <c r="CB284" s="333">
        <v>6148613.6263713511</v>
      </c>
      <c r="CC284" s="256"/>
      <c r="CD284" s="333">
        <v>7094738.0721626766</v>
      </c>
      <c r="CE284" s="333">
        <v>6148613.6263713511</v>
      </c>
      <c r="CF284" s="256"/>
      <c r="CG284" s="333">
        <v>7094738.0721626766</v>
      </c>
      <c r="CH284" s="333">
        <v>6148613.6263713511</v>
      </c>
      <c r="CI284" s="1684">
        <f t="shared" si="35"/>
        <v>0</v>
      </c>
      <c r="CJ284" s="333">
        <v>7094738.0721626766</v>
      </c>
      <c r="CK284" s="333">
        <v>6148613.6263713511</v>
      </c>
      <c r="CL284" s="256"/>
      <c r="CM284" s="333">
        <v>7045436.4177288758</v>
      </c>
      <c r="CN284" s="333">
        <v>6105860.0065746037</v>
      </c>
      <c r="CO284" s="256"/>
      <c r="CP284" s="361">
        <v>7045436.4177288758</v>
      </c>
      <c r="CQ284" s="333">
        <v>6105860.0065746037</v>
      </c>
      <c r="CR284" s="256"/>
      <c r="CS284" s="361">
        <v>7045436.4177288758</v>
      </c>
      <c r="CT284" s="333">
        <v>6106168.8111609984</v>
      </c>
      <c r="CU284" s="256"/>
      <c r="CV284" s="333">
        <v>7045436.4177288758</v>
      </c>
      <c r="CW284" s="333">
        <v>6106168.8111609984</v>
      </c>
      <c r="CX284" s="256"/>
      <c r="CY284" s="333"/>
      <c r="CZ284" s="333"/>
    </row>
    <row r="285" spans="1:104">
      <c r="A285" s="260">
        <f t="shared" si="38"/>
        <v>278</v>
      </c>
      <c r="B285" s="260"/>
      <c r="D285" s="266"/>
      <c r="E285" s="265"/>
      <c r="F285" s="264"/>
      <c r="G285" s="361"/>
      <c r="H285" s="29"/>
      <c r="I285" s="1229"/>
      <c r="J285" s="29"/>
      <c r="K285" s="54"/>
      <c r="M285" s="1624"/>
      <c r="N285" s="1113"/>
      <c r="O285" s="1113"/>
      <c r="Q285" s="54"/>
      <c r="R285" s="256"/>
      <c r="S285" s="54"/>
      <c r="T285" s="1694"/>
      <c r="U285" s="256"/>
      <c r="V285" s="54"/>
      <c r="W285" s="1694"/>
      <c r="X285" s="256"/>
      <c r="Y285" s="54"/>
      <c r="Z285" s="1694"/>
      <c r="AA285" s="256"/>
      <c r="AB285" s="54"/>
      <c r="AC285" s="1694"/>
      <c r="AD285" s="256"/>
      <c r="AE285" s="54"/>
      <c r="AF285" s="1694"/>
      <c r="AG285" s="256"/>
      <c r="AH285" s="54"/>
      <c r="AI285" s="1694"/>
      <c r="AJ285" s="256"/>
      <c r="AK285" s="54"/>
      <c r="AL285" s="1694"/>
      <c r="AM285" s="256"/>
      <c r="AN285" s="54"/>
      <c r="AO285" s="1694"/>
      <c r="AP285" s="256"/>
      <c r="AQ285" s="54"/>
      <c r="AR285" s="1694"/>
      <c r="AS285" s="256"/>
      <c r="AT285" s="54"/>
      <c r="AU285" s="54"/>
      <c r="AV285" s="256"/>
      <c r="AW285" s="54"/>
      <c r="AX285" s="54"/>
      <c r="AY285" s="256"/>
      <c r="AZ285" s="54"/>
      <c r="BA285" s="54"/>
      <c r="BB285" s="256"/>
      <c r="BC285" s="54"/>
      <c r="BD285" s="54"/>
      <c r="BE285" s="256"/>
      <c r="BF285" s="54"/>
      <c r="BG285" s="54"/>
      <c r="BH285" s="256"/>
      <c r="BI285" s="54"/>
      <c r="BJ285" s="54"/>
      <c r="BK285" s="256"/>
      <c r="BL285" s="54"/>
      <c r="BM285" s="54"/>
      <c r="BN285" s="256"/>
      <c r="BO285" s="54"/>
      <c r="BP285" s="54"/>
      <c r="BQ285" s="256"/>
      <c r="BR285" s="54"/>
      <c r="BS285" s="54"/>
      <c r="BT285" s="256"/>
      <c r="BU285" s="54"/>
      <c r="BV285" s="54"/>
      <c r="BW285" s="256"/>
      <c r="BX285" s="54"/>
      <c r="BY285" s="54"/>
      <c r="BZ285" s="256"/>
      <c r="CA285" s="54"/>
      <c r="CB285" s="54"/>
      <c r="CC285" s="256"/>
      <c r="CD285" s="54"/>
      <c r="CE285" s="54"/>
      <c r="CF285" s="256"/>
      <c r="CG285" s="54"/>
      <c r="CH285" s="54"/>
      <c r="CI285" s="1684">
        <f t="shared" si="35"/>
        <v>0</v>
      </c>
      <c r="CJ285" s="54"/>
      <c r="CK285" s="54"/>
      <c r="CL285" s="256"/>
      <c r="CM285" s="54"/>
      <c r="CN285" s="54"/>
      <c r="CO285" s="256"/>
      <c r="CP285" s="54"/>
      <c r="CQ285" s="54"/>
      <c r="CR285" s="256"/>
      <c r="CS285" s="54"/>
      <c r="CT285" s="54"/>
      <c r="CU285" s="256"/>
      <c r="CV285" s="54"/>
      <c r="CW285" s="54"/>
      <c r="CX285" s="256"/>
      <c r="CY285" s="54"/>
      <c r="CZ285" s="54"/>
    </row>
    <row r="286" spans="1:104">
      <c r="A286" s="260">
        <f t="shared" si="38"/>
        <v>279</v>
      </c>
      <c r="B286" s="260"/>
      <c r="C286" s="275" t="s">
        <v>113</v>
      </c>
      <c r="D286" s="292"/>
      <c r="E286" s="291"/>
      <c r="F286" s="290"/>
      <c r="G286" s="743">
        <f>+G265+G276+G284</f>
        <v>172979852.41</v>
      </c>
      <c r="H286" s="314"/>
      <c r="I286" s="315"/>
      <c r="J286" s="314"/>
      <c r="K286" s="313">
        <f ca="1">K265+K276+K284</f>
        <v>101992418.4888787</v>
      </c>
      <c r="M286" s="1630" t="s">
        <v>1528</v>
      </c>
      <c r="N286" s="1110">
        <f ca="1">N265+N276+N284</f>
        <v>84850903.301424742</v>
      </c>
      <c r="O286" s="1110">
        <v>88878437.970581427</v>
      </c>
      <c r="Q286" s="313">
        <v>105907384.95997588</v>
      </c>
      <c r="R286" s="256"/>
      <c r="S286" s="313">
        <v>105907384.85433176</v>
      </c>
      <c r="T286" s="1704">
        <v>92189999.325344115</v>
      </c>
      <c r="U286" s="256"/>
      <c r="V286" s="313">
        <v>105908629.47776596</v>
      </c>
      <c r="W286" s="1704">
        <v>92191084.115634173</v>
      </c>
      <c r="X286" s="256"/>
      <c r="Y286" s="313">
        <v>105949617.68891096</v>
      </c>
      <c r="Z286" s="1704">
        <v>92228257.681045994</v>
      </c>
      <c r="AA286" s="256"/>
      <c r="AB286" s="313">
        <v>105915424.44094248</v>
      </c>
      <c r="AC286" s="1704">
        <v>92192692.240285814</v>
      </c>
      <c r="AD286" s="256"/>
      <c r="AE286" s="313">
        <v>105883771.35603754</v>
      </c>
      <c r="AF286" s="1704">
        <v>92165106.043253511</v>
      </c>
      <c r="AG286" s="256"/>
      <c r="AH286" s="313">
        <v>105881179.3639916</v>
      </c>
      <c r="AI286" s="1704">
        <v>92162646.936367556</v>
      </c>
      <c r="AJ286" s="256"/>
      <c r="AK286" s="313">
        <v>105732685.7306021</v>
      </c>
      <c r="AL286" s="1704">
        <v>92032439.209254816</v>
      </c>
      <c r="AM286" s="256"/>
      <c r="AN286" s="313">
        <v>105676325.45451283</v>
      </c>
      <c r="AO286" s="1704">
        <v>91983774.520671353</v>
      </c>
      <c r="AP286" s="256"/>
      <c r="AQ286" s="313">
        <v>105076679.29310431</v>
      </c>
      <c r="AR286" s="1704">
        <v>91461175.262856111</v>
      </c>
      <c r="AS286" s="256"/>
      <c r="AT286" s="313">
        <v>105076749.65649973</v>
      </c>
      <c r="AU286" s="313">
        <v>91461242.01889053</v>
      </c>
      <c r="AV286" s="256"/>
      <c r="AW286" s="313">
        <v>104999018.10020916</v>
      </c>
      <c r="AX286" s="313">
        <v>91393497.979063272</v>
      </c>
      <c r="AY286" s="256"/>
      <c r="AZ286" s="313">
        <v>104994912.0076236</v>
      </c>
      <c r="BA286" s="313">
        <v>91389602.39590849</v>
      </c>
      <c r="BB286" s="256"/>
      <c r="BC286" s="313">
        <v>104994912.0076236</v>
      </c>
      <c r="BD286" s="313">
        <v>91389602.39590849</v>
      </c>
      <c r="BE286" s="256"/>
      <c r="BF286" s="313">
        <v>104720954.78156324</v>
      </c>
      <c r="BG286" s="313">
        <v>91150845.188233837</v>
      </c>
      <c r="BH286" s="256"/>
      <c r="BI286" s="313">
        <v>104453586.43955427</v>
      </c>
      <c r="BJ286" s="313">
        <v>90917830.27706638</v>
      </c>
      <c r="BK286" s="256"/>
      <c r="BL286" s="313">
        <v>104227593.40229715</v>
      </c>
      <c r="BM286" s="313">
        <v>90720874.470134825</v>
      </c>
      <c r="BN286" s="256"/>
      <c r="BO286" s="313">
        <v>101837936.2002773</v>
      </c>
      <c r="BP286" s="313">
        <v>88660543.926685661</v>
      </c>
      <c r="BQ286" s="256"/>
      <c r="BR286" s="313">
        <v>102096429.8099255</v>
      </c>
      <c r="BS286" s="313">
        <v>88885139.091545075</v>
      </c>
      <c r="BT286" s="256"/>
      <c r="BU286" s="313">
        <v>102093459.78795151</v>
      </c>
      <c r="BV286" s="313">
        <v>88882321.335410729</v>
      </c>
      <c r="BW286" s="256"/>
      <c r="BX286" s="313">
        <v>102093940.05499072</v>
      </c>
      <c r="BY286" s="313">
        <v>88882776.980321005</v>
      </c>
      <c r="BZ286" s="256"/>
      <c r="CA286" s="313">
        <v>102440948.387486</v>
      </c>
      <c r="CB286" s="313">
        <v>89255890.948563442</v>
      </c>
      <c r="CC286" s="256"/>
      <c r="CD286" s="313">
        <v>102440948.387486</v>
      </c>
      <c r="CE286" s="313">
        <v>89255890.948563442</v>
      </c>
      <c r="CF286" s="256"/>
      <c r="CG286" s="313">
        <v>102407507.32119876</v>
      </c>
      <c r="CH286" s="313">
        <v>89226726.688754141</v>
      </c>
      <c r="CI286" s="1684">
        <f t="shared" si="35"/>
        <v>-29164.259809300303</v>
      </c>
      <c r="CJ286" s="313">
        <v>102407507.32119876</v>
      </c>
      <c r="CK286" s="313">
        <v>89226726.688754141</v>
      </c>
      <c r="CL286" s="256"/>
      <c r="CM286" s="313">
        <v>101816106.07712267</v>
      </c>
      <c r="CN286" s="313">
        <v>88716755.420483544</v>
      </c>
      <c r="CO286" s="256"/>
      <c r="CP286" s="313">
        <v>102127752.09804764</v>
      </c>
      <c r="CQ286" s="313">
        <v>88988567.394542992</v>
      </c>
      <c r="CR286" s="256"/>
      <c r="CS286" s="313">
        <v>101992683.02619337</v>
      </c>
      <c r="CT286" s="313">
        <v>88878688.945708111</v>
      </c>
      <c r="CU286" s="256"/>
      <c r="CV286" s="313">
        <v>101992418.4888787</v>
      </c>
      <c r="CW286" s="313">
        <v>88878437.970581427</v>
      </c>
      <c r="CX286" s="256"/>
      <c r="CY286" s="313"/>
      <c r="CZ286" s="313"/>
    </row>
    <row r="287" spans="1:104">
      <c r="A287" s="260">
        <f t="shared" si="38"/>
        <v>280</v>
      </c>
      <c r="B287" s="260"/>
      <c r="D287" s="266"/>
      <c r="E287" s="265"/>
      <c r="F287" s="264"/>
      <c r="G287" s="361"/>
      <c r="H287" s="29"/>
      <c r="I287" s="1229"/>
      <c r="J287" s="29"/>
      <c r="K287" s="29"/>
      <c r="M287" s="1624"/>
      <c r="N287" s="1113"/>
      <c r="O287" s="1113"/>
      <c r="Q287" s="29"/>
      <c r="R287" s="256"/>
      <c r="S287" s="29"/>
      <c r="T287" s="1697"/>
      <c r="U287" s="256"/>
      <c r="V287" s="29"/>
      <c r="W287" s="1697"/>
      <c r="X287" s="256"/>
      <c r="Y287" s="29"/>
      <c r="Z287" s="1697"/>
      <c r="AA287" s="256"/>
      <c r="AB287" s="29"/>
      <c r="AC287" s="1697"/>
      <c r="AD287" s="256"/>
      <c r="AE287" s="29"/>
      <c r="AF287" s="1697"/>
      <c r="AG287" s="256"/>
      <c r="AH287" s="29"/>
      <c r="AI287" s="1697"/>
      <c r="AJ287" s="256"/>
      <c r="AK287" s="29"/>
      <c r="AL287" s="1697"/>
      <c r="AM287" s="256"/>
      <c r="AN287" s="29"/>
      <c r="AO287" s="1697"/>
      <c r="AP287" s="256"/>
      <c r="AQ287" s="29"/>
      <c r="AR287" s="1697"/>
      <c r="AS287" s="256"/>
      <c r="AT287" s="29"/>
      <c r="AU287" s="29"/>
      <c r="AV287" s="256"/>
      <c r="AW287" s="29"/>
      <c r="AX287" s="29"/>
      <c r="AY287" s="256"/>
      <c r="AZ287" s="29"/>
      <c r="BA287" s="29"/>
      <c r="BB287" s="256"/>
      <c r="BC287" s="29"/>
      <c r="BD287" s="29"/>
      <c r="BE287" s="256"/>
      <c r="BF287" s="29"/>
      <c r="BG287" s="29"/>
      <c r="BH287" s="256"/>
      <c r="BI287" s="29"/>
      <c r="BJ287" s="29"/>
      <c r="BK287" s="256"/>
      <c r="BL287" s="29"/>
      <c r="BM287" s="29"/>
      <c r="BN287" s="256"/>
      <c r="BO287" s="29"/>
      <c r="BP287" s="29"/>
      <c r="BQ287" s="256"/>
      <c r="BR287" s="29"/>
      <c r="BS287" s="29"/>
      <c r="BT287" s="256"/>
      <c r="BU287" s="29"/>
      <c r="BV287" s="29"/>
      <c r="BW287" s="256"/>
      <c r="BX287" s="29"/>
      <c r="BY287" s="29"/>
      <c r="BZ287" s="256"/>
      <c r="CA287" s="29"/>
      <c r="CB287" s="29"/>
      <c r="CC287" s="256"/>
      <c r="CD287" s="29"/>
      <c r="CE287" s="29"/>
      <c r="CF287" s="256"/>
      <c r="CG287" s="29"/>
      <c r="CH287" s="29"/>
      <c r="CI287" s="1684">
        <f t="shared" si="35"/>
        <v>0</v>
      </c>
      <c r="CJ287" s="29"/>
      <c r="CK287" s="29"/>
      <c r="CL287" s="256"/>
      <c r="CM287" s="29"/>
      <c r="CN287" s="29"/>
      <c r="CO287" s="256"/>
      <c r="CP287" s="29"/>
      <c r="CQ287" s="29"/>
      <c r="CR287" s="256"/>
      <c r="CS287" s="29"/>
      <c r="CT287" s="29"/>
      <c r="CU287" s="256"/>
      <c r="CV287" s="29"/>
      <c r="CW287" s="29"/>
      <c r="CX287" s="256"/>
      <c r="CY287" s="29"/>
      <c r="CZ287" s="29"/>
    </row>
    <row r="288" spans="1:104">
      <c r="A288" s="260">
        <f t="shared" si="38"/>
        <v>281</v>
      </c>
      <c r="B288" s="581"/>
      <c r="C288" s="584" t="s">
        <v>316</v>
      </c>
      <c r="D288" s="264"/>
      <c r="E288" s="268"/>
      <c r="F288" s="264"/>
      <c r="G288" s="361"/>
      <c r="H288" s="29"/>
      <c r="I288" s="1229"/>
      <c r="J288" s="29"/>
      <c r="K288" s="29"/>
      <c r="M288" s="1624"/>
      <c r="N288" s="1113"/>
      <c r="O288" s="1113"/>
      <c r="P288" s="1127"/>
      <c r="Q288" s="29"/>
      <c r="R288" s="256"/>
      <c r="S288" s="29"/>
      <c r="T288" s="1697"/>
      <c r="U288" s="256"/>
      <c r="V288" s="29"/>
      <c r="W288" s="1697"/>
      <c r="X288" s="256"/>
      <c r="Y288" s="29"/>
      <c r="Z288" s="1697"/>
      <c r="AA288" s="256"/>
      <c r="AB288" s="29"/>
      <c r="AC288" s="1697"/>
      <c r="AD288" s="256"/>
      <c r="AE288" s="29"/>
      <c r="AF288" s="1697"/>
      <c r="AG288" s="256"/>
      <c r="AH288" s="29"/>
      <c r="AI288" s="1697"/>
      <c r="AJ288" s="256"/>
      <c r="AK288" s="29"/>
      <c r="AL288" s="1697"/>
      <c r="AM288" s="256"/>
      <c r="AN288" s="29"/>
      <c r="AO288" s="1697"/>
      <c r="AP288" s="256"/>
      <c r="AQ288" s="29"/>
      <c r="AR288" s="1697"/>
      <c r="AS288" s="256"/>
      <c r="AT288" s="29"/>
      <c r="AU288" s="29"/>
      <c r="AV288" s="256"/>
      <c r="AW288" s="29"/>
      <c r="AX288" s="29"/>
      <c r="AY288" s="256"/>
      <c r="AZ288" s="29"/>
      <c r="BA288" s="29"/>
      <c r="BB288" s="256"/>
      <c r="BC288" s="29"/>
      <c r="BD288" s="29"/>
      <c r="BE288" s="256"/>
      <c r="BF288" s="29"/>
      <c r="BG288" s="29"/>
      <c r="BH288" s="256"/>
      <c r="BI288" s="29"/>
      <c r="BJ288" s="29"/>
      <c r="BK288" s="256"/>
      <c r="BL288" s="29"/>
      <c r="BM288" s="29"/>
      <c r="BN288" s="256"/>
      <c r="BO288" s="29"/>
      <c r="BP288" s="29"/>
      <c r="BQ288" s="256"/>
      <c r="BR288" s="29"/>
      <c r="BS288" s="29"/>
      <c r="BT288" s="256"/>
      <c r="BU288" s="29"/>
      <c r="BV288" s="29"/>
      <c r="BW288" s="256"/>
      <c r="BX288" s="29"/>
      <c r="BY288" s="29"/>
      <c r="BZ288" s="256"/>
      <c r="CA288" s="29"/>
      <c r="CB288" s="29"/>
      <c r="CC288" s="256"/>
      <c r="CD288" s="29"/>
      <c r="CE288" s="29"/>
      <c r="CF288" s="256"/>
      <c r="CG288" s="29"/>
      <c r="CH288" s="29"/>
      <c r="CI288" s="1684">
        <f t="shared" si="35"/>
        <v>0</v>
      </c>
      <c r="CJ288" s="29"/>
      <c r="CK288" s="29"/>
      <c r="CL288" s="256"/>
      <c r="CM288" s="29"/>
      <c r="CN288" s="29"/>
      <c r="CO288" s="256"/>
      <c r="CP288" s="29"/>
      <c r="CQ288" s="29"/>
      <c r="CR288" s="256"/>
      <c r="CS288" s="29"/>
      <c r="CT288" s="29"/>
      <c r="CU288" s="256"/>
      <c r="CV288" s="29"/>
      <c r="CW288" s="29"/>
      <c r="CX288" s="256"/>
      <c r="CY288" s="29"/>
      <c r="CZ288" s="29"/>
    </row>
    <row r="289" spans="1:104">
      <c r="A289" s="260">
        <f t="shared" si="38"/>
        <v>282</v>
      </c>
      <c r="B289" s="581"/>
      <c r="C289" s="255" t="str">
        <f>'Stmt I '!D28</f>
        <v>Sales for Resale</v>
      </c>
      <c r="D289" s="264"/>
      <c r="E289" s="268" t="s">
        <v>404</v>
      </c>
      <c r="F289" s="264"/>
      <c r="G289" s="353">
        <f>'Stmt I '!$E28</f>
        <v>0</v>
      </c>
      <c r="H289" s="29"/>
      <c r="I289" s="268" t="s">
        <v>404</v>
      </c>
      <c r="J289" s="29"/>
      <c r="K289" s="353">
        <f>'Stmt I '!$T28</f>
        <v>0</v>
      </c>
      <c r="M289" s="1624">
        <f>IF(ISERROR(O289/K289),0,O289/K289)</f>
        <v>0</v>
      </c>
      <c r="N289" s="1566">
        <f>M289*G289</f>
        <v>0</v>
      </c>
      <c r="O289" s="1566"/>
      <c r="Q289" s="816">
        <v>0</v>
      </c>
      <c r="R289" s="256"/>
      <c r="S289" s="816">
        <v>0</v>
      </c>
      <c r="T289" s="1691"/>
      <c r="U289" s="256"/>
      <c r="V289" s="816">
        <v>0</v>
      </c>
      <c r="W289" s="1691"/>
      <c r="X289" s="256"/>
      <c r="Y289" s="816">
        <v>0</v>
      </c>
      <c r="Z289" s="1691"/>
      <c r="AA289" s="256"/>
      <c r="AB289" s="816">
        <v>0</v>
      </c>
      <c r="AC289" s="1691"/>
      <c r="AD289" s="256"/>
      <c r="AE289" s="816">
        <v>0</v>
      </c>
      <c r="AF289" s="1691"/>
      <c r="AG289" s="256"/>
      <c r="AH289" s="816">
        <v>0</v>
      </c>
      <c r="AI289" s="1691"/>
      <c r="AJ289" s="256"/>
      <c r="AK289" s="816">
        <v>0</v>
      </c>
      <c r="AL289" s="1691"/>
      <c r="AM289" s="256"/>
      <c r="AN289" s="816">
        <v>0</v>
      </c>
      <c r="AO289" s="1691"/>
      <c r="AP289" s="256"/>
      <c r="AQ289" s="816">
        <v>0</v>
      </c>
      <c r="AR289" s="1691"/>
      <c r="AS289" s="256"/>
      <c r="AT289" s="816">
        <v>0</v>
      </c>
      <c r="AU289" s="816"/>
      <c r="AV289" s="256"/>
      <c r="AW289" s="816">
        <v>0</v>
      </c>
      <c r="AX289" s="816"/>
      <c r="AY289" s="256"/>
      <c r="AZ289" s="816">
        <v>0</v>
      </c>
      <c r="BA289" s="816"/>
      <c r="BB289" s="256"/>
      <c r="BC289" s="816">
        <v>0</v>
      </c>
      <c r="BD289" s="816"/>
      <c r="BE289" s="256"/>
      <c r="BF289" s="816">
        <v>0</v>
      </c>
      <c r="BG289" s="816"/>
      <c r="BH289" s="256"/>
      <c r="BI289" s="816">
        <v>0</v>
      </c>
      <c r="BJ289" s="816"/>
      <c r="BK289" s="256"/>
      <c r="BL289" s="816">
        <v>0</v>
      </c>
      <c r="BM289" s="816"/>
      <c r="BN289" s="256"/>
      <c r="BO289" s="816">
        <v>0</v>
      </c>
      <c r="BP289" s="816"/>
      <c r="BQ289" s="256"/>
      <c r="BR289" s="816">
        <v>0</v>
      </c>
      <c r="BS289" s="816"/>
      <c r="BT289" s="256"/>
      <c r="BU289" s="816">
        <v>0</v>
      </c>
      <c r="BV289" s="816"/>
      <c r="BW289" s="256"/>
      <c r="BX289" s="816">
        <v>0</v>
      </c>
      <c r="BY289" s="816"/>
      <c r="BZ289" s="256"/>
      <c r="CA289" s="816">
        <v>0</v>
      </c>
      <c r="CB289" s="816"/>
      <c r="CC289" s="256"/>
      <c r="CD289" s="816">
        <v>0</v>
      </c>
      <c r="CE289" s="816"/>
      <c r="CF289" s="256"/>
      <c r="CG289" s="816">
        <v>0</v>
      </c>
      <c r="CH289" s="816"/>
      <c r="CI289" s="1684">
        <f t="shared" si="35"/>
        <v>0</v>
      </c>
      <c r="CJ289" s="816">
        <v>0</v>
      </c>
      <c r="CK289" s="816"/>
      <c r="CL289" s="256"/>
      <c r="CM289" s="816">
        <v>0</v>
      </c>
      <c r="CN289" s="816"/>
      <c r="CO289" s="256"/>
      <c r="CP289" s="353">
        <v>0</v>
      </c>
      <c r="CQ289" s="816"/>
      <c r="CR289" s="256"/>
      <c r="CS289" s="353">
        <v>0</v>
      </c>
      <c r="CT289" s="816"/>
      <c r="CU289" s="256"/>
      <c r="CV289" s="816">
        <v>0</v>
      </c>
      <c r="CW289" s="816"/>
      <c r="CX289" s="256"/>
      <c r="CY289" s="816"/>
      <c r="CZ289" s="816"/>
    </row>
    <row r="290" spans="1:104">
      <c r="A290" s="260">
        <f t="shared" si="38"/>
        <v>283</v>
      </c>
      <c r="B290" s="581"/>
      <c r="C290" s="255" t="str">
        <f>'Stmt I '!D29</f>
        <v>Forfeited Discounts</v>
      </c>
      <c r="D290" s="264"/>
      <c r="E290" s="268" t="s">
        <v>404</v>
      </c>
      <c r="F290" s="264"/>
      <c r="G290" s="207">
        <f>'Stmt I '!$E29</f>
        <v>715622.31999999972</v>
      </c>
      <c r="H290" s="29"/>
      <c r="I290" s="268" t="s">
        <v>404</v>
      </c>
      <c r="J290" s="29"/>
      <c r="K290" s="207">
        <f>'Stmt I '!$T29</f>
        <v>508107.31999999972</v>
      </c>
      <c r="M290" s="1624">
        <f>IF(ISERROR(O290/K290),0,O290/K290)</f>
        <v>1</v>
      </c>
      <c r="N290" s="1625">
        <f>M290*G290</f>
        <v>715622.31999999972</v>
      </c>
      <c r="O290" s="1625">
        <v>508107.31999999972</v>
      </c>
      <c r="Q290" s="1065">
        <v>715622.31999999972</v>
      </c>
      <c r="R290" s="256"/>
      <c r="S290" s="1065">
        <v>508107.31999999972</v>
      </c>
      <c r="T290" s="1686">
        <v>508107.31999999972</v>
      </c>
      <c r="U290" s="256"/>
      <c r="V290" s="1065">
        <v>508107.31999999972</v>
      </c>
      <c r="W290" s="1686">
        <v>508107.31999999972</v>
      </c>
      <c r="X290" s="256"/>
      <c r="Y290" s="1065">
        <v>508107.31999999972</v>
      </c>
      <c r="Z290" s="1686">
        <v>508107.31999999972</v>
      </c>
      <c r="AA290" s="256"/>
      <c r="AB290" s="1065">
        <v>508107.31999999972</v>
      </c>
      <c r="AC290" s="1686">
        <v>508107.31999999972</v>
      </c>
      <c r="AD290" s="256"/>
      <c r="AE290" s="1065">
        <v>508107.31999999972</v>
      </c>
      <c r="AF290" s="1686">
        <v>508107.31999999972</v>
      </c>
      <c r="AG290" s="256"/>
      <c r="AH290" s="1065">
        <v>508107.31999999972</v>
      </c>
      <c r="AI290" s="1686">
        <v>508107.31999999972</v>
      </c>
      <c r="AJ290" s="256"/>
      <c r="AK290" s="1065">
        <v>508107.31999999972</v>
      </c>
      <c r="AL290" s="1686">
        <v>508107.31999999972</v>
      </c>
      <c r="AM290" s="256"/>
      <c r="AN290" s="1065">
        <v>508107.31999999972</v>
      </c>
      <c r="AO290" s="1686">
        <v>508107.31999999972</v>
      </c>
      <c r="AP290" s="256"/>
      <c r="AQ290" s="1065">
        <v>508107.31999999972</v>
      </c>
      <c r="AR290" s="1686">
        <v>508107.31999999972</v>
      </c>
      <c r="AS290" s="256"/>
      <c r="AT290" s="1065">
        <v>508107.31999999972</v>
      </c>
      <c r="AU290" s="1065">
        <v>508107.31999999972</v>
      </c>
      <c r="AV290" s="256"/>
      <c r="AW290" s="1065">
        <v>508107.31999999972</v>
      </c>
      <c r="AX290" s="1065">
        <v>508107.31999999972</v>
      </c>
      <c r="AY290" s="256"/>
      <c r="AZ290" s="1065">
        <v>508107.31999999972</v>
      </c>
      <c r="BA290" s="1065">
        <v>508107.31999999972</v>
      </c>
      <c r="BB290" s="256"/>
      <c r="BC290" s="1065">
        <v>508107.31999999972</v>
      </c>
      <c r="BD290" s="1065">
        <v>508107.31999999972</v>
      </c>
      <c r="BE290" s="256"/>
      <c r="BF290" s="1065">
        <v>508107.31999999972</v>
      </c>
      <c r="BG290" s="1065">
        <v>508107.31999999972</v>
      </c>
      <c r="BH290" s="256"/>
      <c r="BI290" s="1065">
        <v>508107.31999999972</v>
      </c>
      <c r="BJ290" s="1065">
        <v>508107.31999999972</v>
      </c>
      <c r="BK290" s="256"/>
      <c r="BL290" s="1065">
        <v>508107.31999999972</v>
      </c>
      <c r="BM290" s="1065">
        <v>508107.31999999972</v>
      </c>
      <c r="BN290" s="256"/>
      <c r="BO290" s="1065">
        <v>508107.31999999972</v>
      </c>
      <c r="BP290" s="1065">
        <v>508107.31999999972</v>
      </c>
      <c r="BQ290" s="256"/>
      <c r="BR290" s="1065">
        <v>508107.31999999972</v>
      </c>
      <c r="BS290" s="1065">
        <v>508107.31999999972</v>
      </c>
      <c r="BT290" s="256"/>
      <c r="BU290" s="1065">
        <v>508107.31999999972</v>
      </c>
      <c r="BV290" s="1065">
        <v>508107.31999999972</v>
      </c>
      <c r="BW290" s="256"/>
      <c r="BX290" s="1065">
        <v>508107.31999999972</v>
      </c>
      <c r="BY290" s="1065">
        <v>508107.31999999972</v>
      </c>
      <c r="BZ290" s="256"/>
      <c r="CA290" s="1065">
        <v>508107.31999999972</v>
      </c>
      <c r="CB290" s="1065">
        <v>508107.31999999972</v>
      </c>
      <c r="CC290" s="256"/>
      <c r="CD290" s="1065">
        <v>508107.31999999972</v>
      </c>
      <c r="CE290" s="1065">
        <v>508107.31999999972</v>
      </c>
      <c r="CF290" s="256"/>
      <c r="CG290" s="1065">
        <v>508107.31999999972</v>
      </c>
      <c r="CH290" s="1065">
        <v>508107.31999999972</v>
      </c>
      <c r="CI290" s="1684">
        <f t="shared" si="35"/>
        <v>0</v>
      </c>
      <c r="CJ290" s="1065">
        <v>508107.31999999972</v>
      </c>
      <c r="CK290" s="1065">
        <v>508107.31999999972</v>
      </c>
      <c r="CL290" s="256"/>
      <c r="CM290" s="1065">
        <v>508107.31999999972</v>
      </c>
      <c r="CN290" s="1065">
        <v>508107.31999999972</v>
      </c>
      <c r="CO290" s="256"/>
      <c r="CP290" s="207">
        <v>508107.31999999972</v>
      </c>
      <c r="CQ290" s="1065">
        <v>508107.31999999972</v>
      </c>
      <c r="CR290" s="256"/>
      <c r="CS290" s="207">
        <v>508107.31999999972</v>
      </c>
      <c r="CT290" s="1065">
        <v>508107.31999999972</v>
      </c>
      <c r="CU290" s="256"/>
      <c r="CV290" s="1065">
        <v>508107.31999999972</v>
      </c>
      <c r="CW290" s="1065">
        <v>508107.31999999972</v>
      </c>
      <c r="CX290" s="256"/>
      <c r="CY290" s="1065"/>
      <c r="CZ290" s="1065"/>
    </row>
    <row r="291" spans="1:104">
      <c r="A291" s="260">
        <f t="shared" si="38"/>
        <v>284</v>
      </c>
      <c r="B291" s="581"/>
      <c r="C291" s="255" t="str">
        <f>'Stmt I '!D30</f>
        <v>Miscellaneous Service Revenues</v>
      </c>
      <c r="D291" s="264"/>
      <c r="E291" s="268" t="s">
        <v>404</v>
      </c>
      <c r="F291" s="264"/>
      <c r="G291" s="207">
        <f>'Stmt I '!$E30</f>
        <v>2910285.26</v>
      </c>
      <c r="H291" s="29"/>
      <c r="I291" s="268" t="s">
        <v>404</v>
      </c>
      <c r="J291" s="29"/>
      <c r="K291" s="207">
        <f>'Stmt I '!$T30</f>
        <v>3507226.26</v>
      </c>
      <c r="M291" s="1624">
        <f>IF(ISERROR(O291/K291),0,O291/K291)</f>
        <v>0.87194347602411737</v>
      </c>
      <c r="N291" s="1625">
        <f>M291*G291</f>
        <v>2537604.2458261522</v>
      </c>
      <c r="O291" s="1625">
        <v>3058103.0563474647</v>
      </c>
      <c r="Q291" s="1065">
        <v>2910285.26</v>
      </c>
      <c r="R291" s="256"/>
      <c r="S291" s="1065">
        <v>3507226.26</v>
      </c>
      <c r="T291" s="1686">
        <v>3055629.6978281746</v>
      </c>
      <c r="U291" s="256"/>
      <c r="V291" s="1065">
        <v>3507226.26</v>
      </c>
      <c r="W291" s="1686">
        <v>3055629.6978281746</v>
      </c>
      <c r="X291" s="256"/>
      <c r="Y291" s="1065">
        <v>3507226.26</v>
      </c>
      <c r="Z291" s="1686">
        <v>3055659.0661530257</v>
      </c>
      <c r="AA291" s="256"/>
      <c r="AB291" s="1065">
        <v>3507226.26</v>
      </c>
      <c r="AC291" s="1686">
        <v>3055411.5902227741</v>
      </c>
      <c r="AD291" s="256"/>
      <c r="AE291" s="1065">
        <v>3507226.26</v>
      </c>
      <c r="AF291" s="1686">
        <v>3055411.5902227741</v>
      </c>
      <c r="AG291" s="256"/>
      <c r="AH291" s="1065">
        <v>3507226.26</v>
      </c>
      <c r="AI291" s="1686">
        <v>3055411.5902227745</v>
      </c>
      <c r="AJ291" s="256"/>
      <c r="AK291" s="1065">
        <v>3507226.26</v>
      </c>
      <c r="AL291" s="1686">
        <v>3055377.4614319121</v>
      </c>
      <c r="AM291" s="256"/>
      <c r="AN291" s="1065">
        <v>3507226.26</v>
      </c>
      <c r="AO291" s="1686">
        <v>3055397.0081690038</v>
      </c>
      <c r="AP291" s="256"/>
      <c r="AQ291" s="1065">
        <v>3507226.26</v>
      </c>
      <c r="AR291" s="1686">
        <v>3055397.0081690038</v>
      </c>
      <c r="AS291" s="256"/>
      <c r="AT291" s="1065">
        <v>3507226.26</v>
      </c>
      <c r="AU291" s="1065">
        <v>3055397.0081690038</v>
      </c>
      <c r="AV291" s="256"/>
      <c r="AW291" s="1065">
        <v>3507226.26</v>
      </c>
      <c r="AX291" s="1065">
        <v>3055397.0081690038</v>
      </c>
      <c r="AY291" s="256"/>
      <c r="AZ291" s="1065">
        <v>3507226.26</v>
      </c>
      <c r="BA291" s="1065">
        <v>3055397.0081690038</v>
      </c>
      <c r="BB291" s="256"/>
      <c r="BC291" s="1065">
        <v>3507226.26</v>
      </c>
      <c r="BD291" s="1065">
        <v>3055397.0081690038</v>
      </c>
      <c r="BE291" s="256"/>
      <c r="BF291" s="1065">
        <v>3507226.26</v>
      </c>
      <c r="BG291" s="1065">
        <v>3055397.0081690038</v>
      </c>
      <c r="BH291" s="256"/>
      <c r="BI291" s="1065">
        <v>3507226.26</v>
      </c>
      <c r="BJ291" s="1065">
        <v>3055397.0081690038</v>
      </c>
      <c r="BK291" s="256"/>
      <c r="BL291" s="1065">
        <v>3507226.26</v>
      </c>
      <c r="BM291" s="1065">
        <v>3055397.0081690038</v>
      </c>
      <c r="BN291" s="256"/>
      <c r="BO291" s="1065">
        <v>3507226.26</v>
      </c>
      <c r="BP291" s="1065">
        <v>3055397.0081690038</v>
      </c>
      <c r="BQ291" s="256"/>
      <c r="BR291" s="1065">
        <v>3507226.26</v>
      </c>
      <c r="BS291" s="1065">
        <v>3055397.0081690038</v>
      </c>
      <c r="BT291" s="256"/>
      <c r="BU291" s="1065">
        <v>3507226.26</v>
      </c>
      <c r="BV291" s="1065">
        <v>3055397.0081690038</v>
      </c>
      <c r="BW291" s="256"/>
      <c r="BX291" s="1065">
        <v>3507226.26</v>
      </c>
      <c r="BY291" s="1065">
        <v>3055397.0081690038</v>
      </c>
      <c r="BZ291" s="256"/>
      <c r="CA291" s="1065">
        <v>3507226.26</v>
      </c>
      <c r="CB291" s="1065">
        <v>3057497.9453741629</v>
      </c>
      <c r="CC291" s="256"/>
      <c r="CD291" s="1065">
        <v>3507226.26</v>
      </c>
      <c r="CE291" s="1065">
        <v>3057497.9453741629</v>
      </c>
      <c r="CF291" s="256"/>
      <c r="CG291" s="1065">
        <v>3507226.26</v>
      </c>
      <c r="CH291" s="1065">
        <v>3057497.9453741629</v>
      </c>
      <c r="CI291" s="1684">
        <f t="shared" si="35"/>
        <v>0</v>
      </c>
      <c r="CJ291" s="1065">
        <v>3507226.26</v>
      </c>
      <c r="CK291" s="1065">
        <v>3057497.9453741629</v>
      </c>
      <c r="CL291" s="256"/>
      <c r="CM291" s="1065">
        <v>3507226.26</v>
      </c>
      <c r="CN291" s="1065">
        <v>3057753.7406579675</v>
      </c>
      <c r="CO291" s="256"/>
      <c r="CP291" s="207">
        <v>3507226.26</v>
      </c>
      <c r="CQ291" s="1065">
        <v>3057753.7406579675</v>
      </c>
      <c r="CR291" s="256"/>
      <c r="CS291" s="207">
        <v>3507226.26</v>
      </c>
      <c r="CT291" s="1065">
        <v>3058103.0563474647</v>
      </c>
      <c r="CU291" s="256"/>
      <c r="CV291" s="1065">
        <v>3507226.26</v>
      </c>
      <c r="CW291" s="1065">
        <v>3058103.0563474647</v>
      </c>
      <c r="CX291" s="256"/>
      <c r="CY291" s="1065"/>
      <c r="CZ291" s="1065"/>
    </row>
    <row r="292" spans="1:104">
      <c r="A292" s="260">
        <f>A291+1</f>
        <v>285</v>
      </c>
      <c r="B292" s="581"/>
      <c r="C292" s="255" t="str">
        <f>'Stmt I '!D31</f>
        <v>Rent From Gas Property</v>
      </c>
      <c r="D292" s="264"/>
      <c r="E292" s="268" t="s">
        <v>404</v>
      </c>
      <c r="F292" s="264"/>
      <c r="G292" s="207">
        <f>'Stmt I '!$E31</f>
        <v>1000</v>
      </c>
      <c r="H292" s="29"/>
      <c r="I292" s="268" t="s">
        <v>404</v>
      </c>
      <c r="J292" s="29"/>
      <c r="K292" s="207">
        <f>'Stmt I '!$T31</f>
        <v>998809.62342833867</v>
      </c>
      <c r="M292" s="1624">
        <f>IF(ISERROR(O292/K292),0,O292/K292)</f>
        <v>0.86221468298308335</v>
      </c>
      <c r="N292" s="1625">
        <f>M292*G292</f>
        <v>862.21468298308332</v>
      </c>
      <c r="O292" s="1625">
        <v>861188.32282471785</v>
      </c>
      <c r="Q292" s="1065">
        <v>1023703.6978733661</v>
      </c>
      <c r="R292" s="256"/>
      <c r="S292" s="1065">
        <v>1023703.6978733661</v>
      </c>
      <c r="T292" s="1686">
        <v>881570.28875477379</v>
      </c>
      <c r="U292" s="256"/>
      <c r="V292" s="1065">
        <v>1023703.6978733661</v>
      </c>
      <c r="W292" s="1686">
        <v>881570.28875477379</v>
      </c>
      <c r="X292" s="256"/>
      <c r="Y292" s="1065">
        <v>1023703.6978733661</v>
      </c>
      <c r="Z292" s="1686">
        <v>881571.38845850294</v>
      </c>
      <c r="AA292" s="256"/>
      <c r="AB292" s="1065">
        <v>1023703.6978733661</v>
      </c>
      <c r="AC292" s="1686">
        <v>881562.12166495109</v>
      </c>
      <c r="AD292" s="256"/>
      <c r="AE292" s="1065">
        <v>1023703.6978733661</v>
      </c>
      <c r="AF292" s="1686">
        <v>881562.12166495109</v>
      </c>
      <c r="AG292" s="256"/>
      <c r="AH292" s="1065">
        <v>1017747.1053420487</v>
      </c>
      <c r="AI292" s="1686">
        <v>876432.60385553958</v>
      </c>
      <c r="AJ292" s="256"/>
      <c r="AK292" s="1065">
        <v>1017747.1053420487</v>
      </c>
      <c r="AL292" s="1686">
        <v>876431.33333108609</v>
      </c>
      <c r="AM292" s="256"/>
      <c r="AN292" s="1065">
        <v>1017747.1053420487</v>
      </c>
      <c r="AO292" s="1686">
        <v>876432.06100431527</v>
      </c>
      <c r="AP292" s="256"/>
      <c r="AQ292" s="1065">
        <v>1017747.1053420487</v>
      </c>
      <c r="AR292" s="1686">
        <v>876432.06100431527</v>
      </c>
      <c r="AS292" s="256"/>
      <c r="AT292" s="1065">
        <v>1017747.1053420487</v>
      </c>
      <c r="AU292" s="1065">
        <v>876432.06100431527</v>
      </c>
      <c r="AV292" s="256"/>
      <c r="AW292" s="1065">
        <v>1017747.1053420487</v>
      </c>
      <c r="AX292" s="1065">
        <v>876432.06100431527</v>
      </c>
      <c r="AY292" s="256"/>
      <c r="AZ292" s="1065">
        <v>1017747.1053420487</v>
      </c>
      <c r="BA292" s="1065">
        <v>876432.06100431527</v>
      </c>
      <c r="BB292" s="256"/>
      <c r="BC292" s="1065">
        <v>1017747.1053420487</v>
      </c>
      <c r="BD292" s="1065">
        <v>876432.06100431527</v>
      </c>
      <c r="BE292" s="256"/>
      <c r="BF292" s="1065">
        <v>1017747.1053420487</v>
      </c>
      <c r="BG292" s="1065">
        <v>876432.06100431527</v>
      </c>
      <c r="BH292" s="256"/>
      <c r="BI292" s="1065">
        <v>1017747.1053420487</v>
      </c>
      <c r="BJ292" s="1065">
        <v>876432.06100431527</v>
      </c>
      <c r="BK292" s="256"/>
      <c r="BL292" s="1065">
        <v>1017747.1053420487</v>
      </c>
      <c r="BM292" s="1065">
        <v>876432.06100431527</v>
      </c>
      <c r="BN292" s="256"/>
      <c r="BO292" s="1065">
        <v>1017747.1053420487</v>
      </c>
      <c r="BP292" s="1065">
        <v>876432.06100431527</v>
      </c>
      <c r="BQ292" s="256"/>
      <c r="BR292" s="1065">
        <v>998809.62342833867</v>
      </c>
      <c r="BS292" s="1065">
        <v>860124.06443351042</v>
      </c>
      <c r="BT292" s="256"/>
      <c r="BU292" s="1065">
        <v>998809.62342833867</v>
      </c>
      <c r="BV292" s="1065">
        <v>860124.06443351042</v>
      </c>
      <c r="BW292" s="256"/>
      <c r="BX292" s="1065">
        <v>998809.62342833867</v>
      </c>
      <c r="BY292" s="1065">
        <v>860124.06443351042</v>
      </c>
      <c r="BZ292" s="256"/>
      <c r="CA292" s="1065">
        <v>998809.62342833867</v>
      </c>
      <c r="CB292" s="1065">
        <v>861166.0072345495</v>
      </c>
      <c r="CC292" s="256"/>
      <c r="CD292" s="1065">
        <v>998809.62342833867</v>
      </c>
      <c r="CE292" s="1065">
        <v>861166.0072345495</v>
      </c>
      <c r="CF292" s="256"/>
      <c r="CG292" s="1065">
        <v>998809.62342833867</v>
      </c>
      <c r="CH292" s="1065">
        <v>861166.0072345495</v>
      </c>
      <c r="CI292" s="1684">
        <f t="shared" si="35"/>
        <v>0</v>
      </c>
      <c r="CJ292" s="1065">
        <v>998809.62342833867</v>
      </c>
      <c r="CK292" s="1065">
        <v>861166.0072345495</v>
      </c>
      <c r="CL292" s="256"/>
      <c r="CM292" s="1065">
        <v>998809.62342833867</v>
      </c>
      <c r="CN292" s="1065">
        <v>861175.44058309589</v>
      </c>
      <c r="CO292" s="256"/>
      <c r="CP292" s="207">
        <v>998809.62342833867</v>
      </c>
      <c r="CQ292" s="1065">
        <v>861175.44058309589</v>
      </c>
      <c r="CR292" s="256"/>
      <c r="CS292" s="207">
        <v>998809.62342833867</v>
      </c>
      <c r="CT292" s="1065">
        <v>861188.32282471785</v>
      </c>
      <c r="CU292" s="256"/>
      <c r="CV292" s="1065">
        <v>998809.62342833867</v>
      </c>
      <c r="CW292" s="1065">
        <v>861188.32282471785</v>
      </c>
      <c r="CX292" s="256"/>
      <c r="CY292" s="1065"/>
      <c r="CZ292" s="1065"/>
    </row>
    <row r="293" spans="1:104">
      <c r="A293" s="260">
        <f t="shared" si="38"/>
        <v>286</v>
      </c>
      <c r="B293" s="581"/>
      <c r="C293" s="588" t="str">
        <f>'Stmt I '!D32</f>
        <v>Other Gas Revenues</v>
      </c>
      <c r="D293" s="264"/>
      <c r="E293" s="268" t="s">
        <v>404</v>
      </c>
      <c r="F293" s="264"/>
      <c r="G293" s="787">
        <f>'Stmt I '!$E32</f>
        <v>653819.56999999995</v>
      </c>
      <c r="H293" s="29"/>
      <c r="I293" s="268" t="s">
        <v>404</v>
      </c>
      <c r="J293" s="29"/>
      <c r="K293" s="787">
        <f>'Stmt I '!$T32</f>
        <v>653819.56999999995</v>
      </c>
      <c r="M293" s="1624">
        <f>IF(ISERROR(O293/K293),0,O293/K293)</f>
        <v>0.87194347602411748</v>
      </c>
      <c r="N293" s="1626">
        <f>M293*G293</f>
        <v>570093.70855839376</v>
      </c>
      <c r="O293" s="1626">
        <v>570093.70855839376</v>
      </c>
      <c r="Q293" s="1687">
        <v>653819.56999999995</v>
      </c>
      <c r="R293" s="256"/>
      <c r="S293" s="1687">
        <v>653819.56999999995</v>
      </c>
      <c r="T293" s="1688">
        <v>569632.62333501317</v>
      </c>
      <c r="U293" s="256"/>
      <c r="V293" s="1687">
        <v>653819.56999999995</v>
      </c>
      <c r="W293" s="1688">
        <v>569632.62333501317</v>
      </c>
      <c r="X293" s="256"/>
      <c r="Y293" s="1687">
        <v>653819.56999999995</v>
      </c>
      <c r="Z293" s="1688">
        <v>569638.0981986525</v>
      </c>
      <c r="AA293" s="256"/>
      <c r="AB293" s="1687">
        <v>653819.56999999995</v>
      </c>
      <c r="AC293" s="1688">
        <v>569591.96356281568</v>
      </c>
      <c r="AD293" s="256"/>
      <c r="AE293" s="1687">
        <v>653819.56999999995</v>
      </c>
      <c r="AF293" s="1688">
        <v>569591.96356281568</v>
      </c>
      <c r="AG293" s="256"/>
      <c r="AH293" s="1687">
        <v>653819.56999999995</v>
      </c>
      <c r="AI293" s="1688">
        <v>569591.9635628158</v>
      </c>
      <c r="AJ293" s="256"/>
      <c r="AK293" s="1687">
        <v>653819.56999999995</v>
      </c>
      <c r="AL293" s="1688">
        <v>569585.60124977631</v>
      </c>
      <c r="AM293" s="256"/>
      <c r="AN293" s="1687">
        <v>653819.56999999995</v>
      </c>
      <c r="AO293" s="1688">
        <v>569589.24516616284</v>
      </c>
      <c r="AP293" s="256"/>
      <c r="AQ293" s="1687">
        <v>653819.56999999995</v>
      </c>
      <c r="AR293" s="1688">
        <v>569589.24516616284</v>
      </c>
      <c r="AS293" s="256"/>
      <c r="AT293" s="1687">
        <v>653819.56999999995</v>
      </c>
      <c r="AU293" s="1687">
        <v>569589.24516616284</v>
      </c>
      <c r="AV293" s="256"/>
      <c r="AW293" s="1687">
        <v>653819.56999999995</v>
      </c>
      <c r="AX293" s="1687">
        <v>569589.24516616284</v>
      </c>
      <c r="AY293" s="256"/>
      <c r="AZ293" s="1687">
        <v>653819.56999999995</v>
      </c>
      <c r="BA293" s="1687">
        <v>569589.24516616284</v>
      </c>
      <c r="BB293" s="256"/>
      <c r="BC293" s="1687">
        <v>653819.56999999995</v>
      </c>
      <c r="BD293" s="1687">
        <v>569589.24516616284</v>
      </c>
      <c r="BE293" s="256"/>
      <c r="BF293" s="1687">
        <v>653819.56999999995</v>
      </c>
      <c r="BG293" s="1687">
        <v>569589.24516616284</v>
      </c>
      <c r="BH293" s="256"/>
      <c r="BI293" s="1687">
        <v>653819.56999999995</v>
      </c>
      <c r="BJ293" s="1687">
        <v>569589.24516616284</v>
      </c>
      <c r="BK293" s="256"/>
      <c r="BL293" s="1687">
        <v>653819.56999999995</v>
      </c>
      <c r="BM293" s="1687">
        <v>569589.24516616284</v>
      </c>
      <c r="BN293" s="256"/>
      <c r="BO293" s="1687">
        <v>653819.56999999995</v>
      </c>
      <c r="BP293" s="1687">
        <v>569589.24516616284</v>
      </c>
      <c r="BQ293" s="256"/>
      <c r="BR293" s="1687">
        <v>653819.56999999995</v>
      </c>
      <c r="BS293" s="1687">
        <v>569589.24516616284</v>
      </c>
      <c r="BT293" s="256"/>
      <c r="BU293" s="1687">
        <v>653819.56999999995</v>
      </c>
      <c r="BV293" s="1687">
        <v>569589.24516616284</v>
      </c>
      <c r="BW293" s="256"/>
      <c r="BX293" s="1687">
        <v>653819.56999999995</v>
      </c>
      <c r="BY293" s="1687">
        <v>569589.24516616284</v>
      </c>
      <c r="BZ293" s="256"/>
      <c r="CA293" s="1687">
        <v>653819.56999999995</v>
      </c>
      <c r="CB293" s="1687">
        <v>569980.90334794042</v>
      </c>
      <c r="CC293" s="256"/>
      <c r="CD293" s="1687">
        <v>653819.56999999995</v>
      </c>
      <c r="CE293" s="1687">
        <v>569980.90334794042</v>
      </c>
      <c r="CF293" s="256"/>
      <c r="CG293" s="1687">
        <v>653819.56999999995</v>
      </c>
      <c r="CH293" s="1687">
        <v>569980.90334794042</v>
      </c>
      <c r="CI293" s="1684">
        <f t="shared" si="35"/>
        <v>0</v>
      </c>
      <c r="CJ293" s="1687">
        <v>653819.56999999995</v>
      </c>
      <c r="CK293" s="1687">
        <v>569980.90334794042</v>
      </c>
      <c r="CL293" s="256"/>
      <c r="CM293" s="1687">
        <v>653819.56999999995</v>
      </c>
      <c r="CN293" s="1687">
        <v>570028.58888347959</v>
      </c>
      <c r="CO293" s="256"/>
      <c r="CP293" s="787">
        <v>653819.56999999995</v>
      </c>
      <c r="CQ293" s="1687">
        <v>570028.58888347959</v>
      </c>
      <c r="CR293" s="256"/>
      <c r="CS293" s="787">
        <v>653819.56999999995</v>
      </c>
      <c r="CT293" s="1687">
        <v>570093.70855839376</v>
      </c>
      <c r="CU293" s="256"/>
      <c r="CV293" s="1687">
        <v>653819.56999999995</v>
      </c>
      <c r="CW293" s="1687">
        <v>570093.70855839376</v>
      </c>
      <c r="CX293" s="256"/>
      <c r="CY293" s="1687"/>
      <c r="CZ293" s="1687"/>
    </row>
    <row r="294" spans="1:104">
      <c r="A294" s="260">
        <f t="shared" si="38"/>
        <v>287</v>
      </c>
      <c r="B294" s="581"/>
      <c r="C294" s="584" t="s">
        <v>114</v>
      </c>
      <c r="D294" s="264"/>
      <c r="E294" s="268" t="s">
        <v>404</v>
      </c>
      <c r="F294" s="264"/>
      <c r="G294" s="353">
        <f>'Stmt I '!$E33</f>
        <v>4280727.1499999994</v>
      </c>
      <c r="H294" s="311"/>
      <c r="I294" s="268" t="s">
        <v>404</v>
      </c>
      <c r="J294" s="311"/>
      <c r="K294" s="353">
        <f>'Stmt I '!$T33</f>
        <v>5667962.7734283386</v>
      </c>
      <c r="M294" s="1630" t="s">
        <v>1528</v>
      </c>
      <c r="N294" s="1614">
        <f>SUM(N289:N293)</f>
        <v>3824182.4890675289</v>
      </c>
      <c r="O294" s="1614">
        <v>4997492.4077305757</v>
      </c>
      <c r="Q294" s="816">
        <v>5303430.8478733655</v>
      </c>
      <c r="R294" s="256"/>
      <c r="S294" s="816">
        <v>5692856.8478733655</v>
      </c>
      <c r="T294" s="1691">
        <v>5014939.9299179614</v>
      </c>
      <c r="U294" s="256"/>
      <c r="V294" s="816">
        <v>5692856.8478733655</v>
      </c>
      <c r="W294" s="1691">
        <v>5014939.9299179614</v>
      </c>
      <c r="X294" s="256"/>
      <c r="Y294" s="816">
        <v>5692856.8478733655</v>
      </c>
      <c r="Z294" s="1691">
        <v>5014975.8728101812</v>
      </c>
      <c r="AA294" s="256"/>
      <c r="AB294" s="816">
        <v>5692856.8478733655</v>
      </c>
      <c r="AC294" s="1691">
        <v>5014672.9954505404</v>
      </c>
      <c r="AD294" s="256"/>
      <c r="AE294" s="816">
        <v>5692856.8478733655</v>
      </c>
      <c r="AF294" s="1691">
        <v>5014672.9954505404</v>
      </c>
      <c r="AG294" s="256"/>
      <c r="AH294" s="816">
        <v>5686900.2553420486</v>
      </c>
      <c r="AI294" s="1691">
        <v>5009543.4776411289</v>
      </c>
      <c r="AJ294" s="256"/>
      <c r="AK294" s="816">
        <v>5686900.2553420486</v>
      </c>
      <c r="AL294" s="1691">
        <v>5009501.716012774</v>
      </c>
      <c r="AM294" s="256"/>
      <c r="AN294" s="816">
        <v>5686900.2553420486</v>
      </c>
      <c r="AO294" s="1691">
        <v>5009525.6343394816</v>
      </c>
      <c r="AP294" s="256"/>
      <c r="AQ294" s="816">
        <v>5686900.2553420486</v>
      </c>
      <c r="AR294" s="1691">
        <v>5009525.6343394816</v>
      </c>
      <c r="AS294" s="256"/>
      <c r="AT294" s="816">
        <v>5686900.2553420486</v>
      </c>
      <c r="AU294" s="816">
        <v>5009525.6343394816</v>
      </c>
      <c r="AV294" s="256"/>
      <c r="AW294" s="816">
        <v>5686900.2553420486</v>
      </c>
      <c r="AX294" s="816">
        <v>5009525.6343394816</v>
      </c>
      <c r="AY294" s="256"/>
      <c r="AZ294" s="816">
        <v>5686900.2553420486</v>
      </c>
      <c r="BA294" s="816">
        <v>5009525.6343394816</v>
      </c>
      <c r="BB294" s="256"/>
      <c r="BC294" s="816">
        <v>5686900.2553420486</v>
      </c>
      <c r="BD294" s="816">
        <v>5009525.6343394816</v>
      </c>
      <c r="BE294" s="256"/>
      <c r="BF294" s="816">
        <v>5686900.2553420486</v>
      </c>
      <c r="BG294" s="816">
        <v>5009525.6343394816</v>
      </c>
      <c r="BH294" s="256"/>
      <c r="BI294" s="816">
        <v>5686900.2553420486</v>
      </c>
      <c r="BJ294" s="816">
        <v>5009525.6343394816</v>
      </c>
      <c r="BK294" s="256"/>
      <c r="BL294" s="816">
        <v>5686900.2553420486</v>
      </c>
      <c r="BM294" s="816">
        <v>5009525.6343394816</v>
      </c>
      <c r="BN294" s="256"/>
      <c r="BO294" s="816">
        <v>5686900.2553420486</v>
      </c>
      <c r="BP294" s="816">
        <v>5009525.6343394816</v>
      </c>
      <c r="BQ294" s="256"/>
      <c r="BR294" s="816">
        <v>5667962.7734283386</v>
      </c>
      <c r="BS294" s="816">
        <v>4993217.6377686774</v>
      </c>
      <c r="BT294" s="256"/>
      <c r="BU294" s="816">
        <v>5667962.7734283386</v>
      </c>
      <c r="BV294" s="816">
        <v>4993217.6377686774</v>
      </c>
      <c r="BW294" s="256"/>
      <c r="BX294" s="816">
        <v>5667962.7734283386</v>
      </c>
      <c r="BY294" s="816">
        <v>4993217.6377686774</v>
      </c>
      <c r="BZ294" s="256"/>
      <c r="CA294" s="816">
        <v>5667962.7734283386</v>
      </c>
      <c r="CB294" s="816">
        <v>4996752.1759566525</v>
      </c>
      <c r="CC294" s="256"/>
      <c r="CD294" s="816">
        <v>5667962.7734283386</v>
      </c>
      <c r="CE294" s="816">
        <v>4996752.1759566525</v>
      </c>
      <c r="CF294" s="256"/>
      <c r="CG294" s="816">
        <v>5667962.7734283386</v>
      </c>
      <c r="CH294" s="816">
        <v>4996752.1759566525</v>
      </c>
      <c r="CI294" s="1684">
        <f t="shared" si="35"/>
        <v>0</v>
      </c>
      <c r="CJ294" s="816">
        <v>5667962.7734283386</v>
      </c>
      <c r="CK294" s="816">
        <v>4996752.1759566525</v>
      </c>
      <c r="CL294" s="256"/>
      <c r="CM294" s="816">
        <v>5667962.7734283386</v>
      </c>
      <c r="CN294" s="816">
        <v>4997065.0901245438</v>
      </c>
      <c r="CO294" s="256"/>
      <c r="CP294" s="353">
        <v>5667962.7734283386</v>
      </c>
      <c r="CQ294" s="816">
        <v>4997065.0901245438</v>
      </c>
      <c r="CR294" s="256"/>
      <c r="CS294" s="353">
        <v>5667962.7734283386</v>
      </c>
      <c r="CT294" s="816">
        <v>4997492.4077305757</v>
      </c>
      <c r="CU294" s="256"/>
      <c r="CV294" s="816">
        <v>5667962.7734283386</v>
      </c>
      <c r="CW294" s="816">
        <v>4997492.4077305757</v>
      </c>
      <c r="CX294" s="256"/>
      <c r="CY294" s="816"/>
      <c r="CZ294" s="816"/>
    </row>
    <row r="295" spans="1:104" s="582" customFormat="1">
      <c r="A295" s="581">
        <f>A294+1</f>
        <v>288</v>
      </c>
      <c r="B295" s="581"/>
      <c r="C295" s="255"/>
      <c r="D295" s="264"/>
      <c r="E295" s="268"/>
      <c r="F295" s="264"/>
      <c r="G295" s="361"/>
      <c r="H295" s="29"/>
      <c r="I295" s="268"/>
      <c r="J295" s="29"/>
      <c r="K295" s="54"/>
      <c r="L295" s="255"/>
      <c r="M295" s="1624"/>
      <c r="N295" s="1113"/>
      <c r="O295" s="1113"/>
      <c r="Q295" s="1726"/>
      <c r="R295" s="1727"/>
      <c r="S295" s="1726"/>
      <c r="T295" s="1727"/>
      <c r="U295" s="1727"/>
      <c r="V295" s="1726"/>
      <c r="W295" s="1727"/>
      <c r="X295" s="1727"/>
      <c r="Y295" s="1726"/>
      <c r="Z295" s="1727"/>
      <c r="AA295" s="1727"/>
      <c r="AB295" s="1726"/>
      <c r="AC295" s="1727"/>
      <c r="AD295" s="1727"/>
      <c r="AE295" s="1726"/>
      <c r="AF295" s="1727"/>
      <c r="AG295" s="1727"/>
      <c r="AH295" s="1726"/>
      <c r="AI295" s="1727"/>
      <c r="AJ295" s="1727"/>
      <c r="AK295" s="1726"/>
      <c r="AL295" s="1727"/>
      <c r="AM295" s="1727"/>
      <c r="AN295" s="1726"/>
      <c r="AO295" s="1727"/>
      <c r="AP295" s="1727"/>
      <c r="AQ295" s="1726"/>
      <c r="AR295" s="1727"/>
      <c r="AS295" s="1727"/>
      <c r="AT295" s="1726"/>
      <c r="AU295" s="1727"/>
      <c r="AV295" s="1727"/>
      <c r="AW295" s="1726"/>
      <c r="AX295" s="1727"/>
      <c r="AY295" s="1727"/>
      <c r="AZ295" s="1726"/>
      <c r="BA295" s="1727"/>
      <c r="BB295" s="1727"/>
      <c r="BC295" s="1726"/>
      <c r="BD295" s="1727"/>
      <c r="BE295" s="1727"/>
      <c r="BF295" s="1726"/>
      <c r="BG295" s="1727"/>
      <c r="BH295" s="1727"/>
      <c r="BI295" s="1726"/>
      <c r="BJ295" s="1727"/>
      <c r="BK295" s="1727"/>
      <c r="BL295" s="1726"/>
      <c r="BM295" s="1727"/>
      <c r="BN295" s="1727"/>
      <c r="BO295" s="1726"/>
      <c r="BP295" s="1727"/>
      <c r="BQ295" s="1727"/>
      <c r="BR295" s="1726"/>
      <c r="BS295" s="1727"/>
      <c r="BT295" s="1727"/>
      <c r="BU295" s="1726"/>
      <c r="BV295" s="1727"/>
      <c r="BW295" s="1727"/>
      <c r="BX295" s="1726"/>
      <c r="BY295" s="1727"/>
      <c r="BZ295" s="1727"/>
      <c r="CA295" s="1726"/>
      <c r="CB295" s="1727"/>
      <c r="CC295" s="1727"/>
      <c r="CD295" s="1726"/>
      <c r="CE295" s="1727"/>
      <c r="CF295" s="1727"/>
      <c r="CG295" s="1726"/>
      <c r="CH295" s="1727"/>
      <c r="CI295" s="1684">
        <f t="shared" si="35"/>
        <v>0</v>
      </c>
      <c r="CJ295" s="1726"/>
      <c r="CK295" s="1727"/>
      <c r="CL295" s="1727"/>
      <c r="CM295" s="1726"/>
      <c r="CN295" s="1727"/>
      <c r="CO295" s="1727"/>
      <c r="CP295" s="54"/>
      <c r="CQ295" s="1727"/>
      <c r="CR295" s="1727"/>
      <c r="CS295" s="54"/>
      <c r="CT295" s="1727"/>
      <c r="CU295" s="1727"/>
      <c r="CV295" s="1726"/>
      <c r="CW295" s="1727"/>
      <c r="CX295" s="1727"/>
      <c r="CY295" s="1726"/>
      <c r="CZ295" s="1727"/>
    </row>
    <row r="296" spans="1:104">
      <c r="A296" s="581">
        <f t="shared" si="38"/>
        <v>289</v>
      </c>
      <c r="B296" s="581"/>
      <c r="C296" s="584" t="s">
        <v>218</v>
      </c>
      <c r="D296" s="266"/>
      <c r="E296" s="265"/>
      <c r="F296" s="264"/>
      <c r="G296" s="361"/>
      <c r="H296" s="29"/>
      <c r="I296" s="265"/>
      <c r="J296" s="29"/>
      <c r="K296" s="54"/>
      <c r="M296" s="1624"/>
      <c r="N296" s="1113"/>
      <c r="O296" s="1113"/>
      <c r="Q296" s="54"/>
      <c r="R296" s="256"/>
      <c r="S296" s="54"/>
      <c r="T296" s="256"/>
      <c r="U296" s="256"/>
      <c r="V296" s="54"/>
      <c r="W296" s="256"/>
      <c r="X296" s="256"/>
      <c r="Y296" s="54"/>
      <c r="Z296" s="256"/>
      <c r="AA296" s="256"/>
      <c r="AB296" s="54"/>
      <c r="AC296" s="256"/>
      <c r="AD296" s="256"/>
      <c r="AE296" s="54"/>
      <c r="AF296" s="256"/>
      <c r="AG296" s="256"/>
      <c r="AH296" s="54"/>
      <c r="AI296" s="256"/>
      <c r="AJ296" s="256"/>
      <c r="AK296" s="54"/>
      <c r="AL296" s="256"/>
      <c r="AM296" s="256"/>
      <c r="AN296" s="54"/>
      <c r="AO296" s="256"/>
      <c r="AP296" s="256"/>
      <c r="AQ296" s="54"/>
      <c r="AR296" s="256"/>
      <c r="AS296" s="256"/>
      <c r="AT296" s="54"/>
      <c r="AU296" s="256"/>
      <c r="AV296" s="256"/>
      <c r="AW296" s="54"/>
      <c r="AX296" s="256"/>
      <c r="AY296" s="256"/>
      <c r="AZ296" s="54"/>
      <c r="BA296" s="256"/>
      <c r="BB296" s="256"/>
      <c r="BC296" s="54"/>
      <c r="BD296" s="256"/>
      <c r="BE296" s="256"/>
      <c r="BF296" s="54"/>
      <c r="BG296" s="256"/>
      <c r="BH296" s="256"/>
      <c r="BI296" s="54"/>
      <c r="BJ296" s="256"/>
      <c r="BK296" s="256"/>
      <c r="BL296" s="54"/>
      <c r="BM296" s="256"/>
      <c r="BN296" s="256"/>
      <c r="BO296" s="54"/>
      <c r="BP296" s="256"/>
      <c r="BQ296" s="256"/>
      <c r="BR296" s="54"/>
      <c r="BS296" s="256"/>
      <c r="BT296" s="256"/>
      <c r="BU296" s="54"/>
      <c r="BV296" s="256"/>
      <c r="BW296" s="256"/>
      <c r="BX296" s="54"/>
      <c r="BY296" s="256"/>
      <c r="BZ296" s="256"/>
      <c r="CA296" s="54"/>
      <c r="CB296" s="256"/>
      <c r="CC296" s="256"/>
      <c r="CD296" s="54"/>
      <c r="CE296" s="256"/>
      <c r="CF296" s="256"/>
      <c r="CG296" s="54"/>
      <c r="CH296" s="256"/>
      <c r="CI296" s="1684">
        <f t="shared" si="35"/>
        <v>0</v>
      </c>
      <c r="CJ296" s="54"/>
      <c r="CK296" s="256"/>
      <c r="CL296" s="256"/>
      <c r="CM296" s="54"/>
      <c r="CN296" s="256"/>
      <c r="CO296" s="256"/>
      <c r="CP296" s="54"/>
      <c r="CQ296" s="256"/>
      <c r="CR296" s="256"/>
      <c r="CS296" s="54"/>
      <c r="CT296" s="256"/>
      <c r="CU296" s="256"/>
      <c r="CV296" s="54"/>
      <c r="CW296" s="256"/>
      <c r="CX296" s="256"/>
      <c r="CY296" s="54"/>
      <c r="CZ296" s="256"/>
    </row>
    <row r="297" spans="1:104">
      <c r="A297" s="260">
        <f t="shared" si="38"/>
        <v>290</v>
      </c>
      <c r="B297" s="260"/>
      <c r="C297" s="293" t="s">
        <v>1298</v>
      </c>
      <c r="D297" s="286"/>
      <c r="E297" s="289" t="s">
        <v>404</v>
      </c>
      <c r="F297" s="285"/>
      <c r="G297" s="353">
        <f>'Stmt I '!$E$16+'Stmt I '!$E$23</f>
        <v>214623486.08000001</v>
      </c>
      <c r="H297" s="311"/>
      <c r="I297" s="265" t="s">
        <v>404</v>
      </c>
      <c r="J297" s="311"/>
      <c r="K297" s="310">
        <f>'Stmt I '!T16+'Stmt I '!T23</f>
        <v>141375984.50891411</v>
      </c>
      <c r="M297" s="1624">
        <f>IF(ISERROR(O297/K297),0,O297/K297)</f>
        <v>0.81600929608125994</v>
      </c>
      <c r="N297" s="1566">
        <f>M297*G297</f>
        <v>175134759.7986469</v>
      </c>
      <c r="O297" s="1566">
        <v>115364117.60191412</v>
      </c>
      <c r="Q297" s="310">
        <v>141311437.50891411</v>
      </c>
      <c r="R297" s="256"/>
      <c r="S297" s="310">
        <v>141375984.50891411</v>
      </c>
      <c r="T297" s="1728">
        <v>115364117.60191412</v>
      </c>
      <c r="U297" s="256"/>
      <c r="V297" s="310">
        <v>141375984.50891411</v>
      </c>
      <c r="W297" s="1728">
        <v>115364117.60191412</v>
      </c>
      <c r="X297" s="256"/>
      <c r="Y297" s="310">
        <v>141375984.50891411</v>
      </c>
      <c r="Z297" s="1728">
        <v>115364117.60191412</v>
      </c>
      <c r="AA297" s="256"/>
      <c r="AB297" s="310">
        <v>141375984.50891411</v>
      </c>
      <c r="AC297" s="1728">
        <v>115364117.60191412</v>
      </c>
      <c r="AD297" s="256"/>
      <c r="AE297" s="310">
        <v>141375984.50891411</v>
      </c>
      <c r="AF297" s="1728">
        <v>115364117.60191412</v>
      </c>
      <c r="AG297" s="256"/>
      <c r="AH297" s="310">
        <v>141375984.50891411</v>
      </c>
      <c r="AI297" s="1728">
        <v>115364117.60191412</v>
      </c>
      <c r="AJ297" s="256"/>
      <c r="AK297" s="310">
        <v>141375984.50891411</v>
      </c>
      <c r="AL297" s="1728">
        <v>115364117.60191412</v>
      </c>
      <c r="AM297" s="256"/>
      <c r="AN297" s="310">
        <v>141375984.50891411</v>
      </c>
      <c r="AO297" s="1728">
        <v>115364117.60191412</v>
      </c>
      <c r="AP297" s="256"/>
      <c r="AQ297" s="310">
        <v>141375984.50891411</v>
      </c>
      <c r="AR297" s="1728">
        <v>115364117.60191412</v>
      </c>
      <c r="AS297" s="256"/>
      <c r="AT297" s="310">
        <v>141375984.50891411</v>
      </c>
      <c r="AU297" s="1728">
        <v>115364117.60191412</v>
      </c>
      <c r="AV297" s="256"/>
      <c r="AW297" s="310">
        <v>141375984.50891411</v>
      </c>
      <c r="AX297" s="1728">
        <v>115364117.60191412</v>
      </c>
      <c r="AY297" s="256"/>
      <c r="AZ297" s="310">
        <v>141375984.50891411</v>
      </c>
      <c r="BA297" s="1728">
        <v>115364117.60191412</v>
      </c>
      <c r="BB297" s="256"/>
      <c r="BC297" s="310">
        <v>141375984.50891411</v>
      </c>
      <c r="BD297" s="1728">
        <v>115364117.60191412</v>
      </c>
      <c r="BE297" s="256"/>
      <c r="BF297" s="310">
        <v>141375984.50891411</v>
      </c>
      <c r="BG297" s="1728">
        <v>115364117.60191412</v>
      </c>
      <c r="BH297" s="256"/>
      <c r="BI297" s="310">
        <v>141375984.50891411</v>
      </c>
      <c r="BJ297" s="1728">
        <v>115364117.60191412</v>
      </c>
      <c r="BK297" s="256"/>
      <c r="BL297" s="310">
        <v>141375984.50891411</v>
      </c>
      <c r="BM297" s="1728">
        <v>115364117.60191412</v>
      </c>
      <c r="BN297" s="256"/>
      <c r="BO297" s="310">
        <v>141375984.50891411</v>
      </c>
      <c r="BP297" s="1728">
        <v>115364117.60191412</v>
      </c>
      <c r="BQ297" s="256"/>
      <c r="BR297" s="310">
        <v>141375984.50891411</v>
      </c>
      <c r="BS297" s="1728">
        <v>115364117.60191412</v>
      </c>
      <c r="BT297" s="256"/>
      <c r="BU297" s="310">
        <v>141375984.50891411</v>
      </c>
      <c r="BV297" s="1728">
        <v>115364117.60191412</v>
      </c>
      <c r="BW297" s="256"/>
      <c r="BX297" s="310">
        <v>141375984.50891411</v>
      </c>
      <c r="BY297" s="1728">
        <v>115364117.60191412</v>
      </c>
      <c r="BZ297" s="256"/>
      <c r="CA297" s="310">
        <v>141375984.50891411</v>
      </c>
      <c r="CB297" s="1728">
        <v>115364117.60191412</v>
      </c>
      <c r="CC297" s="256"/>
      <c r="CD297" s="310">
        <v>141375984.50891411</v>
      </c>
      <c r="CE297" s="1728">
        <v>115364117.60191412</v>
      </c>
      <c r="CF297" s="256"/>
      <c r="CG297" s="310">
        <v>141375984.50891411</v>
      </c>
      <c r="CH297" s="1728">
        <v>115364117.60191412</v>
      </c>
      <c r="CI297" s="1684">
        <f t="shared" si="35"/>
        <v>0</v>
      </c>
      <c r="CJ297" s="310">
        <v>141375984.50891411</v>
      </c>
      <c r="CK297" s="1728">
        <v>115364117.60191412</v>
      </c>
      <c r="CL297" s="256"/>
      <c r="CM297" s="310">
        <v>141375984.50891411</v>
      </c>
      <c r="CN297" s="1728">
        <v>115364117.60191412</v>
      </c>
      <c r="CO297" s="256"/>
      <c r="CP297" s="310">
        <v>141375984.50891411</v>
      </c>
      <c r="CQ297" s="1728">
        <v>115364117.60191412</v>
      </c>
      <c r="CR297" s="256"/>
      <c r="CS297" s="310">
        <v>141375984.50891411</v>
      </c>
      <c r="CT297" s="1728">
        <v>115364117.60191412</v>
      </c>
      <c r="CU297" s="256"/>
      <c r="CV297" s="310">
        <v>141375984.50891411</v>
      </c>
      <c r="CW297" s="1728">
        <v>115364117.60191412</v>
      </c>
      <c r="CX297" s="256"/>
      <c r="CY297" s="310"/>
      <c r="CZ297" s="1728"/>
    </row>
    <row r="298" spans="1:104">
      <c r="A298" s="260">
        <f>A297+1</f>
        <v>291</v>
      </c>
      <c r="B298" s="260"/>
      <c r="C298" s="287"/>
      <c r="D298" s="266"/>
      <c r="E298" s="265"/>
      <c r="F298" s="264"/>
      <c r="G298" s="476"/>
      <c r="H298" s="29"/>
      <c r="I298" s="24"/>
      <c r="J298" s="29"/>
      <c r="K298" s="63"/>
      <c r="M298" s="1624"/>
      <c r="N298" s="1638"/>
      <c r="O298" s="1638"/>
      <c r="Q298" s="63"/>
      <c r="R298" s="256"/>
      <c r="S298" s="63"/>
      <c r="T298" s="63"/>
      <c r="U298" s="256"/>
      <c r="V298" s="63"/>
      <c r="W298" s="63"/>
      <c r="X298" s="256"/>
      <c r="Y298" s="63"/>
      <c r="Z298" s="63"/>
      <c r="AA298" s="256"/>
      <c r="AB298" s="63"/>
      <c r="AC298" s="63"/>
      <c r="AD298" s="256"/>
      <c r="AE298" s="63"/>
      <c r="AF298" s="63"/>
      <c r="AG298" s="256"/>
      <c r="AH298" s="63"/>
      <c r="AI298" s="63"/>
      <c r="AJ298" s="256"/>
      <c r="AK298" s="63"/>
      <c r="AL298" s="63"/>
      <c r="AM298" s="256"/>
      <c r="AN298" s="63"/>
      <c r="AO298" s="63"/>
      <c r="AP298" s="256"/>
      <c r="AQ298" s="63"/>
      <c r="AR298" s="63"/>
      <c r="AS298" s="256"/>
      <c r="AT298" s="63"/>
      <c r="AU298" s="63"/>
      <c r="AV298" s="256"/>
      <c r="AW298" s="63"/>
      <c r="AX298" s="63"/>
      <c r="AY298" s="256"/>
      <c r="AZ298" s="63"/>
      <c r="BA298" s="63"/>
      <c r="BB298" s="256"/>
      <c r="BC298" s="63"/>
      <c r="BD298" s="63"/>
      <c r="BE298" s="256"/>
      <c r="BF298" s="63"/>
      <c r="BG298" s="63"/>
      <c r="BH298" s="256"/>
      <c r="BI298" s="63"/>
      <c r="BJ298" s="63"/>
      <c r="BK298" s="256"/>
      <c r="BL298" s="63"/>
      <c r="BM298" s="63"/>
      <c r="BN298" s="256"/>
      <c r="BO298" s="63"/>
      <c r="BP298" s="63"/>
      <c r="BQ298" s="256"/>
      <c r="BR298" s="63"/>
      <c r="BS298" s="63"/>
      <c r="BT298" s="256"/>
      <c r="BU298" s="63"/>
      <c r="BV298" s="63"/>
      <c r="BW298" s="256"/>
      <c r="BX298" s="63"/>
      <c r="BY298" s="63"/>
      <c r="BZ298" s="256"/>
      <c r="CA298" s="63"/>
      <c r="CB298" s="63"/>
      <c r="CC298" s="256"/>
      <c r="CD298" s="63"/>
      <c r="CE298" s="63"/>
      <c r="CF298" s="256"/>
      <c r="CG298" s="63"/>
      <c r="CH298" s="63"/>
      <c r="CI298" s="1684">
        <f t="shared" si="35"/>
        <v>0</v>
      </c>
      <c r="CJ298" s="63"/>
      <c r="CK298" s="63"/>
      <c r="CL298" s="256"/>
      <c r="CM298" s="63"/>
      <c r="CN298" s="63"/>
      <c r="CO298" s="256"/>
      <c r="CP298" s="63"/>
      <c r="CQ298" s="63"/>
      <c r="CR298" s="256"/>
      <c r="CS298" s="63"/>
      <c r="CT298" s="63"/>
      <c r="CU298" s="256"/>
      <c r="CV298" s="63"/>
      <c r="CW298" s="63"/>
      <c r="CX298" s="256"/>
      <c r="CY298" s="63"/>
      <c r="CZ298" s="63"/>
    </row>
    <row r="299" spans="1:104">
      <c r="A299" s="260">
        <f t="shared" si="38"/>
        <v>292</v>
      </c>
      <c r="B299" s="260"/>
      <c r="C299" s="256" t="s">
        <v>1285</v>
      </c>
      <c r="D299" s="266"/>
      <c r="E299" s="265" t="s">
        <v>404</v>
      </c>
      <c r="F299" s="264"/>
      <c r="G299" s="743">
        <f>G297</f>
        <v>214623486.08000001</v>
      </c>
      <c r="H299" s="29"/>
      <c r="I299" s="1229" t="s">
        <v>404</v>
      </c>
      <c r="J299" s="29"/>
      <c r="K299" s="743">
        <f>K297</f>
        <v>141375984.50891411</v>
      </c>
      <c r="M299" s="1630" t="s">
        <v>1528</v>
      </c>
      <c r="N299" s="1110">
        <f>N297</f>
        <v>175134759.7986469</v>
      </c>
      <c r="O299" s="1110">
        <v>115364117.60191412</v>
      </c>
      <c r="P299" s="1127"/>
      <c r="Q299" s="1729">
        <v>141311437.50891411</v>
      </c>
      <c r="R299" s="256"/>
      <c r="S299" s="1729">
        <v>141375984.50891411</v>
      </c>
      <c r="T299" s="1729">
        <f>T297</f>
        <v>115364117.60191412</v>
      </c>
      <c r="U299" s="256"/>
      <c r="V299" s="1729">
        <v>141375984.50891411</v>
      </c>
      <c r="W299" s="1729">
        <f>W297</f>
        <v>115364117.60191412</v>
      </c>
      <c r="X299" s="256"/>
      <c r="Y299" s="1729">
        <v>141375984.50891411</v>
      </c>
      <c r="Z299" s="1729">
        <f>Z297</f>
        <v>115364117.60191412</v>
      </c>
      <c r="AA299" s="256"/>
      <c r="AB299" s="1729">
        <v>141375984.50891411</v>
      </c>
      <c r="AC299" s="1729">
        <f>AC297</f>
        <v>115364117.60191412</v>
      </c>
      <c r="AD299" s="256"/>
      <c r="AE299" s="1729">
        <v>141375984.50891411</v>
      </c>
      <c r="AF299" s="1729">
        <f>AF297</f>
        <v>115364117.60191412</v>
      </c>
      <c r="AG299" s="256"/>
      <c r="AH299" s="1729">
        <v>141375984.50891411</v>
      </c>
      <c r="AI299" s="1729">
        <f>AI297</f>
        <v>115364117.60191412</v>
      </c>
      <c r="AJ299" s="256"/>
      <c r="AK299" s="1729">
        <v>141375984.50891411</v>
      </c>
      <c r="AL299" s="1729">
        <f>AL297</f>
        <v>115364117.60191412</v>
      </c>
      <c r="AM299" s="256"/>
      <c r="AN299" s="1729">
        <v>141375984.50891411</v>
      </c>
      <c r="AO299" s="1729">
        <f>AO297</f>
        <v>115364117.60191412</v>
      </c>
      <c r="AP299" s="256"/>
      <c r="AQ299" s="1729">
        <v>141375984.50891411</v>
      </c>
      <c r="AR299" s="1729">
        <f>AR297</f>
        <v>115364117.60191412</v>
      </c>
      <c r="AS299" s="256"/>
      <c r="AT299" s="1729">
        <v>141375984.50891411</v>
      </c>
      <c r="AU299" s="1729">
        <f>AU297</f>
        <v>115364117.60191412</v>
      </c>
      <c r="AV299" s="256"/>
      <c r="AW299" s="1729">
        <v>141375984.50891411</v>
      </c>
      <c r="AX299" s="1729">
        <f>AX297</f>
        <v>115364117.60191412</v>
      </c>
      <c r="AY299" s="256"/>
      <c r="AZ299" s="1729">
        <v>141375984.50891411</v>
      </c>
      <c r="BA299" s="1729">
        <f>BA297</f>
        <v>115364117.60191412</v>
      </c>
      <c r="BB299" s="256"/>
      <c r="BC299" s="1729">
        <v>141375984.50891411</v>
      </c>
      <c r="BD299" s="1729">
        <f>BD297</f>
        <v>115364117.60191412</v>
      </c>
      <c r="BE299" s="256"/>
      <c r="BF299" s="1729">
        <v>141375984.50891411</v>
      </c>
      <c r="BG299" s="1729">
        <f>BG297</f>
        <v>115364117.60191412</v>
      </c>
      <c r="BH299" s="256"/>
      <c r="BI299" s="1729">
        <v>141375984.50891411</v>
      </c>
      <c r="BJ299" s="1729">
        <f>BJ297</f>
        <v>115364117.60191412</v>
      </c>
      <c r="BK299" s="256"/>
      <c r="BL299" s="1729">
        <v>141375984.50891411</v>
      </c>
      <c r="BM299" s="1729">
        <f>BM297</f>
        <v>115364117.60191412</v>
      </c>
      <c r="BN299" s="256"/>
      <c r="BO299" s="1729">
        <v>141375984.50891411</v>
      </c>
      <c r="BP299" s="1729">
        <f>BP297</f>
        <v>115364117.60191412</v>
      </c>
      <c r="BQ299" s="256"/>
      <c r="BR299" s="1729">
        <v>141375984.50891411</v>
      </c>
      <c r="BS299" s="1729">
        <f>BS297</f>
        <v>115364117.60191412</v>
      </c>
      <c r="BT299" s="256"/>
      <c r="BU299" s="1729">
        <v>141375984.50891411</v>
      </c>
      <c r="BV299" s="1729">
        <f>BV297</f>
        <v>115364117.60191412</v>
      </c>
      <c r="BW299" s="256"/>
      <c r="BX299" s="1729">
        <v>141375984.50891411</v>
      </c>
      <c r="BY299" s="1729">
        <f>BY297</f>
        <v>115364117.60191412</v>
      </c>
      <c r="BZ299" s="256"/>
      <c r="CA299" s="1729">
        <v>141375984.50891411</v>
      </c>
      <c r="CB299" s="1729">
        <f>CB297</f>
        <v>115364117.60191412</v>
      </c>
      <c r="CC299" s="256"/>
      <c r="CD299" s="1729">
        <v>141375984.50891411</v>
      </c>
      <c r="CE299" s="1729">
        <f>CE297</f>
        <v>115364117.60191412</v>
      </c>
      <c r="CF299" s="256"/>
      <c r="CG299" s="1729">
        <v>141375984.50891411</v>
      </c>
      <c r="CH299" s="1729">
        <f>CH297</f>
        <v>115364117.60191412</v>
      </c>
      <c r="CI299" s="1684">
        <f t="shared" si="35"/>
        <v>0</v>
      </c>
      <c r="CJ299" s="1729">
        <v>141375984.50891411</v>
      </c>
      <c r="CK299" s="1729">
        <f>CK297</f>
        <v>115364117.60191412</v>
      </c>
      <c r="CL299" s="256"/>
      <c r="CM299" s="1729">
        <v>141375984.50891411</v>
      </c>
      <c r="CN299" s="1729">
        <f>CN297</f>
        <v>115364117.60191412</v>
      </c>
      <c r="CO299" s="256"/>
      <c r="CP299" s="743">
        <v>141375984.50891411</v>
      </c>
      <c r="CQ299" s="1729">
        <f>CQ297</f>
        <v>115364117.60191412</v>
      </c>
      <c r="CR299" s="256"/>
      <c r="CS299" s="743">
        <v>141375984.50891411</v>
      </c>
      <c r="CT299" s="1729">
        <f>CT297</f>
        <v>115364117.60191412</v>
      </c>
      <c r="CU299" s="256"/>
      <c r="CV299" s="1729">
        <v>141375984.50891411</v>
      </c>
      <c r="CW299" s="1729">
        <f>CW297</f>
        <v>115364117.60191412</v>
      </c>
      <c r="CX299" s="256"/>
      <c r="CY299" s="1729"/>
      <c r="CZ299" s="1729"/>
    </row>
    <row r="300" spans="1:104">
      <c r="A300" s="260">
        <f t="shared" si="38"/>
        <v>293</v>
      </c>
      <c r="B300" s="260"/>
      <c r="C300" s="288"/>
      <c r="D300" s="266"/>
      <c r="E300" s="265"/>
      <c r="F300" s="264"/>
      <c r="G300" s="619"/>
      <c r="H300" s="29"/>
      <c r="I300" s="1229"/>
      <c r="J300" s="29"/>
      <c r="K300" s="359"/>
      <c r="M300" s="1624"/>
      <c r="N300" s="1639"/>
      <c r="O300" s="1639"/>
      <c r="Q300" s="359"/>
      <c r="R300" s="256"/>
      <c r="S300" s="359"/>
      <c r="T300" s="359"/>
      <c r="U300" s="256"/>
      <c r="V300" s="359"/>
      <c r="W300" s="359"/>
      <c r="X300" s="256"/>
      <c r="Y300" s="359"/>
      <c r="Z300" s="359"/>
      <c r="AA300" s="256"/>
      <c r="AB300" s="359"/>
      <c r="AC300" s="359"/>
      <c r="AD300" s="256"/>
      <c r="AE300" s="359"/>
      <c r="AF300" s="359"/>
      <c r="AG300" s="256"/>
      <c r="AH300" s="359"/>
      <c r="AI300" s="359"/>
      <c r="AJ300" s="256"/>
      <c r="AK300" s="359"/>
      <c r="AL300" s="359"/>
      <c r="AM300" s="256"/>
      <c r="AN300" s="359"/>
      <c r="AO300" s="359"/>
      <c r="AP300" s="256"/>
      <c r="AQ300" s="359"/>
      <c r="AR300" s="359"/>
      <c r="AS300" s="256"/>
      <c r="AT300" s="359"/>
      <c r="AU300" s="359"/>
      <c r="AV300" s="256"/>
      <c r="AW300" s="359"/>
      <c r="AX300" s="359"/>
      <c r="AY300" s="256"/>
      <c r="AZ300" s="359"/>
      <c r="BA300" s="359"/>
      <c r="BB300" s="256"/>
      <c r="BC300" s="359"/>
      <c r="BD300" s="359"/>
      <c r="BE300" s="256"/>
      <c r="BF300" s="359"/>
      <c r="BG300" s="359"/>
      <c r="BH300" s="256"/>
      <c r="BI300" s="359"/>
      <c r="BJ300" s="359"/>
      <c r="BK300" s="256"/>
      <c r="BL300" s="359"/>
      <c r="BM300" s="359"/>
      <c r="BN300" s="256"/>
      <c r="BO300" s="359"/>
      <c r="BP300" s="359"/>
      <c r="BQ300" s="256"/>
      <c r="BR300" s="359"/>
      <c r="BS300" s="359"/>
      <c r="BT300" s="256"/>
      <c r="BU300" s="359"/>
      <c r="BV300" s="359"/>
      <c r="BW300" s="256"/>
      <c r="BX300" s="359"/>
      <c r="BY300" s="359"/>
      <c r="BZ300" s="256"/>
      <c r="CA300" s="359"/>
      <c r="CB300" s="359"/>
      <c r="CC300" s="256"/>
      <c r="CD300" s="359"/>
      <c r="CE300" s="359"/>
      <c r="CF300" s="256"/>
      <c r="CG300" s="359"/>
      <c r="CH300" s="359"/>
      <c r="CI300" s="1684">
        <f t="shared" si="35"/>
        <v>0</v>
      </c>
      <c r="CJ300" s="359"/>
      <c r="CK300" s="359"/>
      <c r="CL300" s="256"/>
      <c r="CM300" s="359"/>
      <c r="CN300" s="359"/>
      <c r="CO300" s="256"/>
      <c r="CP300" s="359"/>
      <c r="CQ300" s="359"/>
      <c r="CR300" s="256"/>
      <c r="CS300" s="359"/>
      <c r="CT300" s="359"/>
      <c r="CU300" s="256"/>
      <c r="CV300" s="359"/>
      <c r="CW300" s="359"/>
      <c r="CX300" s="256"/>
      <c r="CY300" s="359"/>
      <c r="CZ300" s="359"/>
    </row>
    <row r="301" spans="1:104">
      <c r="A301" s="260">
        <f t="shared" si="38"/>
        <v>294</v>
      </c>
      <c r="B301" s="260"/>
      <c r="C301" s="288" t="s">
        <v>245</v>
      </c>
      <c r="D301" s="266"/>
      <c r="E301" s="265"/>
      <c r="F301" s="264"/>
      <c r="G301" s="743">
        <f>+G286</f>
        <v>172979852.41</v>
      </c>
      <c r="H301" s="29"/>
      <c r="I301" s="1229"/>
      <c r="J301" s="29"/>
      <c r="K301" s="313">
        <f ca="1">+K286</f>
        <v>101992418.4888787</v>
      </c>
      <c r="M301" s="1630" t="s">
        <v>1528</v>
      </c>
      <c r="N301" s="1110">
        <f ca="1">+N286</f>
        <v>84850903.301424742</v>
      </c>
      <c r="O301" s="1110">
        <v>88878437.970581427</v>
      </c>
      <c r="Q301" s="313">
        <v>105907384.95997588</v>
      </c>
      <c r="R301" s="256"/>
      <c r="S301" s="313">
        <v>105907384.85433176</v>
      </c>
      <c r="T301" s="313">
        <f>+T286</f>
        <v>92189999.325344115</v>
      </c>
      <c r="U301" s="256"/>
      <c r="V301" s="313">
        <v>105908629.47776596</v>
      </c>
      <c r="W301" s="313">
        <f>+W286</f>
        <v>92191084.115634173</v>
      </c>
      <c r="X301" s="256"/>
      <c r="Y301" s="313">
        <v>105949617.68891096</v>
      </c>
      <c r="Z301" s="313">
        <f>+Z286</f>
        <v>92228257.681045994</v>
      </c>
      <c r="AA301" s="256"/>
      <c r="AB301" s="313">
        <v>105915424.44094248</v>
      </c>
      <c r="AC301" s="313">
        <f>+AC286</f>
        <v>92192692.240285814</v>
      </c>
      <c r="AD301" s="256"/>
      <c r="AE301" s="313">
        <v>105883771.35603754</v>
      </c>
      <c r="AF301" s="313">
        <f>+AF286</f>
        <v>92165106.043253511</v>
      </c>
      <c r="AG301" s="256"/>
      <c r="AH301" s="313">
        <v>105881179.3639916</v>
      </c>
      <c r="AI301" s="313">
        <f>+AI286</f>
        <v>92162646.936367556</v>
      </c>
      <c r="AJ301" s="256"/>
      <c r="AK301" s="313">
        <v>105732685.7306021</v>
      </c>
      <c r="AL301" s="313">
        <f>+AL286</f>
        <v>92032439.209254816</v>
      </c>
      <c r="AM301" s="256"/>
      <c r="AN301" s="313">
        <v>105676325.45451283</v>
      </c>
      <c r="AO301" s="313">
        <f>+AO286</f>
        <v>91983774.520671353</v>
      </c>
      <c r="AP301" s="256"/>
      <c r="AQ301" s="313">
        <v>105076679.29310431</v>
      </c>
      <c r="AR301" s="313">
        <f>+AR286</f>
        <v>91461175.262856111</v>
      </c>
      <c r="AS301" s="256"/>
      <c r="AT301" s="313">
        <v>105076749.65649973</v>
      </c>
      <c r="AU301" s="313">
        <f>+AU286</f>
        <v>91461242.01889053</v>
      </c>
      <c r="AV301" s="256"/>
      <c r="AW301" s="313">
        <v>104999018.10020916</v>
      </c>
      <c r="AX301" s="313">
        <f>+AX286</f>
        <v>91393497.979063272</v>
      </c>
      <c r="AY301" s="256"/>
      <c r="AZ301" s="313">
        <v>104994912.0076236</v>
      </c>
      <c r="BA301" s="313">
        <f>+BA286</f>
        <v>91389602.39590849</v>
      </c>
      <c r="BB301" s="256"/>
      <c r="BC301" s="313">
        <v>104994912.0076236</v>
      </c>
      <c r="BD301" s="313">
        <f>+BD286</f>
        <v>91389602.39590849</v>
      </c>
      <c r="BE301" s="256"/>
      <c r="BF301" s="313">
        <v>104720954.78156324</v>
      </c>
      <c r="BG301" s="313">
        <f>+BG286</f>
        <v>91150845.188233837</v>
      </c>
      <c r="BH301" s="256"/>
      <c r="BI301" s="313">
        <v>104453586.43955427</v>
      </c>
      <c r="BJ301" s="313">
        <f>+BJ286</f>
        <v>90917830.27706638</v>
      </c>
      <c r="BK301" s="256"/>
      <c r="BL301" s="313">
        <v>104227593.40229715</v>
      </c>
      <c r="BM301" s="313">
        <f>+BM286</f>
        <v>90720874.470134825</v>
      </c>
      <c r="BN301" s="256"/>
      <c r="BO301" s="313">
        <v>101837936.2002773</v>
      </c>
      <c r="BP301" s="313">
        <f>+BP286</f>
        <v>88660543.926685661</v>
      </c>
      <c r="BQ301" s="256"/>
      <c r="BR301" s="313">
        <v>102096429.8099255</v>
      </c>
      <c r="BS301" s="313">
        <f>+BS286</f>
        <v>88885139.091545075</v>
      </c>
      <c r="BT301" s="256"/>
      <c r="BU301" s="313">
        <v>102093459.78795151</v>
      </c>
      <c r="BV301" s="313">
        <f>+BV286</f>
        <v>88882321.335410729</v>
      </c>
      <c r="BW301" s="256"/>
      <c r="BX301" s="313">
        <v>102093940.05499072</v>
      </c>
      <c r="BY301" s="313">
        <f>+BY286</f>
        <v>88882776.980321005</v>
      </c>
      <c r="BZ301" s="256"/>
      <c r="CA301" s="313">
        <v>102440948.387486</v>
      </c>
      <c r="CB301" s="313">
        <f>+CB286</f>
        <v>89255890.948563442</v>
      </c>
      <c r="CC301" s="256"/>
      <c r="CD301" s="313">
        <v>102440948.387486</v>
      </c>
      <c r="CE301" s="313">
        <f>+CE286</f>
        <v>89255890.948563442</v>
      </c>
      <c r="CF301" s="256"/>
      <c r="CG301" s="313">
        <v>102407507.32119876</v>
      </c>
      <c r="CH301" s="313">
        <f>+CH286</f>
        <v>89226726.688754141</v>
      </c>
      <c r="CI301" s="1684">
        <f t="shared" si="35"/>
        <v>-29164.259809300303</v>
      </c>
      <c r="CJ301" s="313">
        <v>102407507.32119876</v>
      </c>
      <c r="CK301" s="313">
        <f>+CK286</f>
        <v>89226726.688754141</v>
      </c>
      <c r="CL301" s="256"/>
      <c r="CM301" s="313">
        <v>101816106.07712267</v>
      </c>
      <c r="CN301" s="313">
        <f>+CN286</f>
        <v>88716755.420483544</v>
      </c>
      <c r="CO301" s="256"/>
      <c r="CP301" s="313">
        <v>102127752.09804764</v>
      </c>
      <c r="CQ301" s="313">
        <f>+CQ286</f>
        <v>88988567.394542992</v>
      </c>
      <c r="CR301" s="256"/>
      <c r="CS301" s="313">
        <v>101992683.02619337</v>
      </c>
      <c r="CT301" s="313">
        <f>+CT286</f>
        <v>88878688.945708111</v>
      </c>
      <c r="CU301" s="256"/>
      <c r="CV301" s="313">
        <v>101992418.4888787</v>
      </c>
      <c r="CW301" s="313">
        <f>+CW286</f>
        <v>88878437.970581427</v>
      </c>
      <c r="CX301" s="256"/>
      <c r="CY301" s="313"/>
      <c r="CZ301" s="313"/>
    </row>
    <row r="302" spans="1:104">
      <c r="A302" s="260">
        <f t="shared" si="38"/>
        <v>295</v>
      </c>
      <c r="B302" s="260"/>
      <c r="C302" s="287"/>
      <c r="D302" s="266"/>
      <c r="E302" s="265"/>
      <c r="F302" s="264"/>
      <c r="G302" s="476"/>
      <c r="H302" s="29"/>
      <c r="I302" s="1229"/>
      <c r="J302" s="29"/>
      <c r="K302" s="63"/>
      <c r="M302" s="1624"/>
      <c r="N302" s="1636"/>
      <c r="O302" s="1636"/>
      <c r="Q302" s="63"/>
      <c r="R302" s="256"/>
      <c r="S302" s="63"/>
      <c r="T302" s="63"/>
      <c r="U302" s="256"/>
      <c r="V302" s="63"/>
      <c r="W302" s="63"/>
      <c r="X302" s="256"/>
      <c r="Y302" s="63"/>
      <c r="Z302" s="63"/>
      <c r="AA302" s="256"/>
      <c r="AB302" s="63"/>
      <c r="AC302" s="63"/>
      <c r="AD302" s="256"/>
      <c r="AE302" s="63"/>
      <c r="AF302" s="63"/>
      <c r="AG302" s="256"/>
      <c r="AH302" s="63"/>
      <c r="AI302" s="63"/>
      <c r="AJ302" s="256"/>
      <c r="AK302" s="63"/>
      <c r="AL302" s="63"/>
      <c r="AM302" s="256"/>
      <c r="AN302" s="63"/>
      <c r="AO302" s="63"/>
      <c r="AP302" s="256"/>
      <c r="AQ302" s="63"/>
      <c r="AR302" s="63"/>
      <c r="AS302" s="256"/>
      <c r="AT302" s="63"/>
      <c r="AU302" s="63"/>
      <c r="AV302" s="256"/>
      <c r="AW302" s="63"/>
      <c r="AX302" s="63"/>
      <c r="AY302" s="256"/>
      <c r="AZ302" s="63"/>
      <c r="BA302" s="63"/>
      <c r="BB302" s="256"/>
      <c r="BC302" s="63"/>
      <c r="BD302" s="63"/>
      <c r="BE302" s="256"/>
      <c r="BF302" s="63"/>
      <c r="BG302" s="63"/>
      <c r="BH302" s="256"/>
      <c r="BI302" s="63"/>
      <c r="BJ302" s="63"/>
      <c r="BK302" s="256"/>
      <c r="BL302" s="63"/>
      <c r="BM302" s="63"/>
      <c r="BN302" s="256"/>
      <c r="BO302" s="63"/>
      <c r="BP302" s="63"/>
      <c r="BQ302" s="256"/>
      <c r="BR302" s="63"/>
      <c r="BS302" s="63"/>
      <c r="BT302" s="256"/>
      <c r="BU302" s="63"/>
      <c r="BV302" s="63"/>
      <c r="BW302" s="256"/>
      <c r="BX302" s="63"/>
      <c r="BY302" s="63"/>
      <c r="BZ302" s="256"/>
      <c r="CA302" s="63"/>
      <c r="CB302" s="63"/>
      <c r="CC302" s="256"/>
      <c r="CD302" s="63"/>
      <c r="CE302" s="63"/>
      <c r="CF302" s="256"/>
      <c r="CG302" s="63"/>
      <c r="CH302" s="63"/>
      <c r="CI302" s="1684">
        <f t="shared" si="35"/>
        <v>0</v>
      </c>
      <c r="CJ302" s="63"/>
      <c r="CK302" s="63"/>
      <c r="CL302" s="256"/>
      <c r="CM302" s="63"/>
      <c r="CN302" s="63"/>
      <c r="CO302" s="256"/>
      <c r="CP302" s="63"/>
      <c r="CQ302" s="63"/>
      <c r="CR302" s="256"/>
      <c r="CS302" s="63"/>
      <c r="CT302" s="63"/>
      <c r="CU302" s="256"/>
      <c r="CV302" s="63"/>
      <c r="CW302" s="63"/>
      <c r="CX302" s="256"/>
      <c r="CY302" s="63"/>
      <c r="CZ302" s="63"/>
    </row>
    <row r="303" spans="1:104">
      <c r="A303" s="260">
        <f t="shared" si="38"/>
        <v>296</v>
      </c>
      <c r="B303" s="260"/>
      <c r="C303" s="256" t="s">
        <v>38</v>
      </c>
      <c r="D303" s="266"/>
      <c r="E303" s="265"/>
      <c r="F303" s="264"/>
      <c r="G303" s="313">
        <f>+G299+G294-G301</f>
        <v>45924360.820000023</v>
      </c>
      <c r="H303" s="29"/>
      <c r="I303" s="1229"/>
      <c r="J303" s="29"/>
      <c r="K303" s="313">
        <f ca="1">+K299+K294-K301</f>
        <v>45051528.793463767</v>
      </c>
      <c r="M303" s="1630" t="s">
        <v>1528</v>
      </c>
      <c r="N303" s="1110">
        <f ca="1">+N299+N294-N301</f>
        <v>94108038.98628968</v>
      </c>
      <c r="O303" s="1110">
        <v>31483172.039063275</v>
      </c>
      <c r="Q303" s="313">
        <v>40707483.39681159</v>
      </c>
      <c r="R303" s="256"/>
      <c r="S303" s="313">
        <v>41161456.502455711</v>
      </c>
      <c r="T303" s="313">
        <f>+T299+T294-T301</f>
        <v>28189058.206487969</v>
      </c>
      <c r="U303" s="256"/>
      <c r="V303" s="313">
        <v>41160211.87902151</v>
      </c>
      <c r="W303" s="313">
        <f>+W299+W294-W301</f>
        <v>28187973.416197911</v>
      </c>
      <c r="X303" s="256"/>
      <c r="Y303" s="313">
        <v>41119223.667876512</v>
      </c>
      <c r="Z303" s="313">
        <f>+Z299+Z294-Z301</f>
        <v>28150835.793678313</v>
      </c>
      <c r="AA303" s="256"/>
      <c r="AB303" s="313">
        <v>41153416.915844992</v>
      </c>
      <c r="AC303" s="313">
        <f>+AC299+AC294-AC301</f>
        <v>28186098.35707885</v>
      </c>
      <c r="AD303" s="256"/>
      <c r="AE303" s="313">
        <v>41185070.000749931</v>
      </c>
      <c r="AF303" s="313">
        <f>+AF299+AF294-AF301</f>
        <v>28213684.554111153</v>
      </c>
      <c r="AG303" s="256"/>
      <c r="AH303" s="313">
        <v>41181705.400264546</v>
      </c>
      <c r="AI303" s="313">
        <f>+AI299+AI294-AI301</f>
        <v>28211014.143187702</v>
      </c>
      <c r="AJ303" s="256"/>
      <c r="AK303" s="313">
        <v>41330199.033654049</v>
      </c>
      <c r="AL303" s="313">
        <f>+AL299+AL294-AL301</f>
        <v>28341180.108672082</v>
      </c>
      <c r="AM303" s="256"/>
      <c r="AN303" s="313">
        <v>41386559.309743315</v>
      </c>
      <c r="AO303" s="313">
        <f>+AO299+AO294-AO301</f>
        <v>28389868.715582252</v>
      </c>
      <c r="AP303" s="256"/>
      <c r="AQ303" s="313">
        <v>41986205.471151844</v>
      </c>
      <c r="AR303" s="313">
        <f>+AR299+AR294-AR301</f>
        <v>28912467.973397493</v>
      </c>
      <c r="AS303" s="256"/>
      <c r="AT303" s="313">
        <v>41986135.107756421</v>
      </c>
      <c r="AU303" s="313">
        <f>+AU299+AU294-AU301</f>
        <v>28912401.217363074</v>
      </c>
      <c r="AV303" s="256"/>
      <c r="AW303" s="313">
        <v>42063866.664046988</v>
      </c>
      <c r="AX303" s="313">
        <f>+AX299+AX294-AX301</f>
        <v>28980145.257190332</v>
      </c>
      <c r="AY303" s="256"/>
      <c r="AZ303" s="313">
        <v>42067972.756632552</v>
      </c>
      <c r="BA303" s="313">
        <f>+BA299+BA294-BA301</f>
        <v>28984040.840345114</v>
      </c>
      <c r="BB303" s="256"/>
      <c r="BC303" s="313">
        <v>42067972.756632552</v>
      </c>
      <c r="BD303" s="313">
        <f>+BD299+BD294-BD301</f>
        <v>28984040.840345114</v>
      </c>
      <c r="BE303" s="256"/>
      <c r="BF303" s="313">
        <v>42341929.982692912</v>
      </c>
      <c r="BG303" s="313">
        <f>+BG299+BG294-BG301</f>
        <v>29222798.048019767</v>
      </c>
      <c r="BH303" s="256"/>
      <c r="BI303" s="313">
        <v>42609298.324701875</v>
      </c>
      <c r="BJ303" s="313">
        <f>+BJ299+BJ294-BJ301</f>
        <v>29455812.959187225</v>
      </c>
      <c r="BK303" s="256"/>
      <c r="BL303" s="313">
        <v>42835291.361958995</v>
      </c>
      <c r="BM303" s="313">
        <f>+BM299+BM294-BM301</f>
        <v>29652768.76611878</v>
      </c>
      <c r="BN303" s="256"/>
      <c r="BO303" s="313">
        <v>45224948.563978851</v>
      </c>
      <c r="BP303" s="313">
        <f>+BP299+BP294-BP301</f>
        <v>31713099.309567943</v>
      </c>
      <c r="BQ303" s="256"/>
      <c r="BR303" s="313">
        <v>44947517.472416967</v>
      </c>
      <c r="BS303" s="313">
        <f>+BS299+BS294-BS301</f>
        <v>31472196.148137718</v>
      </c>
      <c r="BT303" s="256"/>
      <c r="BU303" s="313">
        <v>44950487.49439095</v>
      </c>
      <c r="BV303" s="313">
        <f>+BV299+BV294-BV301</f>
        <v>31475013.904272065</v>
      </c>
      <c r="BW303" s="256"/>
      <c r="BX303" s="313">
        <v>44950007.22735174</v>
      </c>
      <c r="BY303" s="313">
        <f>+BY299+BY294-BY301</f>
        <v>31474558.259361789</v>
      </c>
      <c r="BZ303" s="256"/>
      <c r="CA303" s="313">
        <v>44602998.894856468</v>
      </c>
      <c r="CB303" s="313">
        <f>+CB299+CB294-CB301</f>
        <v>31104978.829307333</v>
      </c>
      <c r="CC303" s="256"/>
      <c r="CD303" s="313">
        <v>44602998.894856468</v>
      </c>
      <c r="CE303" s="313">
        <f>+CE299+CE294-CE301</f>
        <v>31104978.829307333</v>
      </c>
      <c r="CF303" s="256"/>
      <c r="CG303" s="313">
        <v>44636439.961143702</v>
      </c>
      <c r="CH303" s="313">
        <f>+CH299+CH294-CH301</f>
        <v>31134143.089116633</v>
      </c>
      <c r="CI303" s="1684">
        <f t="shared" si="35"/>
        <v>29164.259809300303</v>
      </c>
      <c r="CJ303" s="313">
        <v>44636439.961143702</v>
      </c>
      <c r="CK303" s="313">
        <f>+CK299+CK294-CK301</f>
        <v>31134143.089116633</v>
      </c>
      <c r="CL303" s="256"/>
      <c r="CM303" s="313">
        <v>45227841.20521979</v>
      </c>
      <c r="CN303" s="313">
        <f>+CN299+CN294-CN301</f>
        <v>31644427.271555126</v>
      </c>
      <c r="CO303" s="256"/>
      <c r="CP303" s="313">
        <v>44916195.18429482</v>
      </c>
      <c r="CQ303" s="313">
        <f>+CQ299+CQ294-CQ301</f>
        <v>31372615.297495678</v>
      </c>
      <c r="CR303" s="256"/>
      <c r="CS303" s="313">
        <v>45051264.256149098</v>
      </c>
      <c r="CT303" s="313">
        <f>+CT299+CT294-CT301</f>
        <v>31482921.063936591</v>
      </c>
      <c r="CU303" s="256"/>
      <c r="CV303" s="313">
        <v>45051528.793463767</v>
      </c>
      <c r="CW303" s="313">
        <f>+CW299+CW294-CW301</f>
        <v>31483172.039063275</v>
      </c>
      <c r="CX303" s="256"/>
      <c r="CY303" s="313"/>
      <c r="CZ303" s="313"/>
    </row>
    <row r="304" spans="1:104">
      <c r="A304" s="260">
        <f t="shared" si="38"/>
        <v>297</v>
      </c>
      <c r="B304" s="260"/>
      <c r="C304" s="255"/>
      <c r="D304" s="266"/>
      <c r="E304" s="265"/>
      <c r="F304" s="264"/>
      <c r="G304" s="361" t="s">
        <v>198</v>
      </c>
      <c r="H304" s="29"/>
      <c r="I304" s="1229"/>
      <c r="J304" s="29"/>
      <c r="K304" s="29"/>
      <c r="M304" s="1624"/>
      <c r="N304" s="1113"/>
      <c r="O304" s="1113"/>
      <c r="Q304" s="29"/>
      <c r="R304" s="256"/>
      <c r="S304" s="29"/>
      <c r="T304" s="256"/>
      <c r="U304" s="256"/>
      <c r="V304" s="29"/>
      <c r="W304" s="256"/>
      <c r="X304" s="256"/>
      <c r="Y304" s="29"/>
      <c r="Z304" s="256"/>
      <c r="AA304" s="256"/>
      <c r="AB304" s="29"/>
      <c r="AC304" s="256"/>
      <c r="AD304" s="256"/>
      <c r="AE304" s="29"/>
      <c r="AF304" s="256"/>
      <c r="AG304" s="256"/>
      <c r="AH304" s="29"/>
      <c r="AI304" s="256"/>
      <c r="AJ304" s="256"/>
      <c r="AK304" s="29"/>
      <c r="AL304" s="256"/>
      <c r="AM304" s="256"/>
      <c r="AN304" s="29"/>
      <c r="AO304" s="256"/>
      <c r="AP304" s="256"/>
      <c r="AQ304" s="29"/>
      <c r="AR304" s="256"/>
      <c r="AS304" s="256"/>
      <c r="AT304" s="29"/>
      <c r="AU304" s="256"/>
      <c r="AV304" s="256"/>
      <c r="AW304" s="29"/>
      <c r="AX304" s="256"/>
      <c r="AY304" s="256"/>
      <c r="AZ304" s="29"/>
      <c r="BA304" s="256"/>
      <c r="BB304" s="256"/>
      <c r="BC304" s="29"/>
      <c r="BD304" s="256"/>
      <c r="BE304" s="256"/>
      <c r="BF304" s="29"/>
      <c r="BG304" s="256"/>
      <c r="BH304" s="256"/>
      <c r="BI304" s="29"/>
      <c r="BJ304" s="256"/>
      <c r="BK304" s="256"/>
      <c r="BL304" s="29"/>
      <c r="BM304" s="256"/>
      <c r="BN304" s="256"/>
      <c r="BO304" s="29"/>
      <c r="BP304" s="256"/>
      <c r="BQ304" s="256"/>
      <c r="BR304" s="29"/>
      <c r="BS304" s="256"/>
      <c r="BT304" s="256"/>
      <c r="BU304" s="29"/>
      <c r="BV304" s="256"/>
      <c r="BW304" s="256"/>
      <c r="BX304" s="29"/>
      <c r="BY304" s="256"/>
      <c r="BZ304" s="256"/>
      <c r="CA304" s="29"/>
      <c r="CB304" s="256"/>
      <c r="CC304" s="256"/>
      <c r="CD304" s="29"/>
      <c r="CE304" s="256"/>
      <c r="CF304" s="256"/>
      <c r="CG304" s="29"/>
      <c r="CH304" s="256"/>
      <c r="CI304" s="1684">
        <f t="shared" si="35"/>
        <v>0</v>
      </c>
      <c r="CJ304" s="29"/>
      <c r="CK304" s="256"/>
      <c r="CL304" s="256"/>
      <c r="CM304" s="29"/>
      <c r="CN304" s="256"/>
      <c r="CO304" s="256"/>
      <c r="CP304" s="29"/>
      <c r="CQ304" s="256"/>
      <c r="CR304" s="256"/>
      <c r="CS304" s="29"/>
      <c r="CT304" s="256"/>
      <c r="CU304" s="256"/>
      <c r="CV304" s="29"/>
      <c r="CW304" s="256"/>
      <c r="CX304" s="256"/>
      <c r="CY304" s="29"/>
      <c r="CZ304" s="256"/>
    </row>
    <row r="305" spans="1:104">
      <c r="A305" s="260">
        <f t="shared" si="38"/>
        <v>298</v>
      </c>
      <c r="B305" s="260"/>
      <c r="C305" s="584" t="s">
        <v>306</v>
      </c>
      <c r="D305" s="266"/>
      <c r="E305" s="265"/>
      <c r="F305" s="264"/>
      <c r="G305" s="361"/>
      <c r="H305" s="29"/>
      <c r="I305" s="1229"/>
      <c r="J305" s="29"/>
      <c r="K305" s="29"/>
      <c r="M305" s="1624"/>
      <c r="N305" s="1113"/>
      <c r="O305" s="1113"/>
      <c r="Q305" s="29"/>
      <c r="R305" s="256"/>
      <c r="S305" s="29"/>
      <c r="T305" s="256"/>
      <c r="U305" s="256"/>
      <c r="V305" s="29"/>
      <c r="W305" s="256"/>
      <c r="X305" s="256"/>
      <c r="Y305" s="29"/>
      <c r="Z305" s="256"/>
      <c r="AA305" s="256"/>
      <c r="AB305" s="29"/>
      <c r="AC305" s="256"/>
      <c r="AD305" s="256"/>
      <c r="AE305" s="29"/>
      <c r="AF305" s="256"/>
      <c r="AG305" s="256"/>
      <c r="AH305" s="29"/>
      <c r="AI305" s="256"/>
      <c r="AJ305" s="256"/>
      <c r="AK305" s="29"/>
      <c r="AL305" s="256"/>
      <c r="AM305" s="256"/>
      <c r="AN305" s="29"/>
      <c r="AO305" s="256"/>
      <c r="AP305" s="256"/>
      <c r="AQ305" s="29"/>
      <c r="AR305" s="256"/>
      <c r="AS305" s="256"/>
      <c r="AT305" s="29"/>
      <c r="AU305" s="256"/>
      <c r="AV305" s="256"/>
      <c r="AW305" s="29"/>
      <c r="AX305" s="256"/>
      <c r="AY305" s="256"/>
      <c r="AZ305" s="29"/>
      <c r="BA305" s="256"/>
      <c r="BB305" s="256"/>
      <c r="BC305" s="29"/>
      <c r="BD305" s="256"/>
      <c r="BE305" s="256"/>
      <c r="BF305" s="29"/>
      <c r="BG305" s="256"/>
      <c r="BH305" s="256"/>
      <c r="BI305" s="29"/>
      <c r="BJ305" s="256"/>
      <c r="BK305" s="256"/>
      <c r="BL305" s="29"/>
      <c r="BM305" s="256"/>
      <c r="BN305" s="256"/>
      <c r="BO305" s="29"/>
      <c r="BP305" s="256"/>
      <c r="BQ305" s="256"/>
      <c r="BR305" s="29"/>
      <c r="BS305" s="256"/>
      <c r="BT305" s="256"/>
      <c r="BU305" s="29"/>
      <c r="BV305" s="256"/>
      <c r="BW305" s="256"/>
      <c r="BX305" s="29"/>
      <c r="BY305" s="256"/>
      <c r="BZ305" s="256"/>
      <c r="CA305" s="29"/>
      <c r="CB305" s="256"/>
      <c r="CC305" s="256"/>
      <c r="CD305" s="29"/>
      <c r="CE305" s="256"/>
      <c r="CF305" s="256"/>
      <c r="CG305" s="29"/>
      <c r="CH305" s="256"/>
      <c r="CI305" s="1684">
        <f t="shared" si="35"/>
        <v>0</v>
      </c>
      <c r="CJ305" s="29"/>
      <c r="CK305" s="256"/>
      <c r="CL305" s="256"/>
      <c r="CM305" s="29"/>
      <c r="CN305" s="256"/>
      <c r="CO305" s="256"/>
      <c r="CP305" s="29"/>
      <c r="CQ305" s="256"/>
      <c r="CR305" s="256"/>
      <c r="CS305" s="29"/>
      <c r="CT305" s="256"/>
      <c r="CU305" s="256"/>
      <c r="CV305" s="29"/>
      <c r="CW305" s="256"/>
      <c r="CX305" s="256"/>
      <c r="CY305" s="29"/>
      <c r="CZ305" s="256"/>
    </row>
    <row r="306" spans="1:104">
      <c r="A306" s="260">
        <f t="shared" si="38"/>
        <v>299</v>
      </c>
      <c r="B306" s="260"/>
      <c r="C306" s="255" t="s">
        <v>38</v>
      </c>
      <c r="D306" s="266"/>
      <c r="E306" s="265"/>
      <c r="F306" s="264"/>
      <c r="G306" s="361">
        <f>+G303</f>
        <v>45924360.820000023</v>
      </c>
      <c r="H306" s="29"/>
      <c r="I306" s="1229"/>
      <c r="J306" s="29"/>
      <c r="K306" s="361">
        <f ca="1">+K303</f>
        <v>45051528.793463767</v>
      </c>
      <c r="M306" s="1630" t="s">
        <v>1528</v>
      </c>
      <c r="N306" s="1113">
        <f ca="1">+N303</f>
        <v>94108038.98628968</v>
      </c>
      <c r="O306" s="1113">
        <v>31483172.039063275</v>
      </c>
      <c r="P306" s="1612"/>
      <c r="Q306" s="333">
        <v>40707483.39681159</v>
      </c>
      <c r="R306" s="256"/>
      <c r="S306" s="333">
        <v>41161456.502455711</v>
      </c>
      <c r="T306" s="333">
        <f>+T303</f>
        <v>28189058.206487969</v>
      </c>
      <c r="U306" s="256"/>
      <c r="V306" s="333">
        <v>41160211.87902151</v>
      </c>
      <c r="W306" s="333">
        <f>+W303</f>
        <v>28187973.416197911</v>
      </c>
      <c r="X306" s="256"/>
      <c r="Y306" s="333">
        <v>41119223.667876512</v>
      </c>
      <c r="Z306" s="333">
        <f>+Z303</f>
        <v>28150835.793678313</v>
      </c>
      <c r="AA306" s="256"/>
      <c r="AB306" s="333">
        <v>41153416.915844992</v>
      </c>
      <c r="AC306" s="333">
        <f>+AC303</f>
        <v>28186098.35707885</v>
      </c>
      <c r="AD306" s="256"/>
      <c r="AE306" s="333">
        <v>41185070.000749931</v>
      </c>
      <c r="AF306" s="333">
        <f>+AF303</f>
        <v>28213684.554111153</v>
      </c>
      <c r="AG306" s="256"/>
      <c r="AH306" s="333">
        <v>41181705.400264546</v>
      </c>
      <c r="AI306" s="333">
        <f>+AI303</f>
        <v>28211014.143187702</v>
      </c>
      <c r="AJ306" s="256"/>
      <c r="AK306" s="333">
        <v>41330199.033654049</v>
      </c>
      <c r="AL306" s="333">
        <f>+AL303</f>
        <v>28341180.108672082</v>
      </c>
      <c r="AM306" s="256"/>
      <c r="AN306" s="333">
        <v>41386559.309743315</v>
      </c>
      <c r="AO306" s="333">
        <f>+AO303</f>
        <v>28389868.715582252</v>
      </c>
      <c r="AP306" s="256"/>
      <c r="AQ306" s="333">
        <v>41986205.471151844</v>
      </c>
      <c r="AR306" s="333">
        <f>+AR303</f>
        <v>28912467.973397493</v>
      </c>
      <c r="AS306" s="256"/>
      <c r="AT306" s="333">
        <v>41986135.107756421</v>
      </c>
      <c r="AU306" s="333">
        <f>+AU303</f>
        <v>28912401.217363074</v>
      </c>
      <c r="AV306" s="256"/>
      <c r="AW306" s="333">
        <v>42063866.664046988</v>
      </c>
      <c r="AX306" s="333">
        <f>+AX303</f>
        <v>28980145.257190332</v>
      </c>
      <c r="AY306" s="256"/>
      <c r="AZ306" s="333">
        <v>42067972.756632552</v>
      </c>
      <c r="BA306" s="333">
        <f>+BA303</f>
        <v>28984040.840345114</v>
      </c>
      <c r="BB306" s="256"/>
      <c r="BC306" s="333">
        <v>42067972.756632552</v>
      </c>
      <c r="BD306" s="333">
        <f>+BD303</f>
        <v>28984040.840345114</v>
      </c>
      <c r="BE306" s="256"/>
      <c r="BF306" s="333">
        <v>42341929.982692912</v>
      </c>
      <c r="BG306" s="333">
        <f>+BG303</f>
        <v>29222798.048019767</v>
      </c>
      <c r="BH306" s="256"/>
      <c r="BI306" s="333">
        <v>42609298.324701875</v>
      </c>
      <c r="BJ306" s="333">
        <f>+BJ303</f>
        <v>29455812.959187225</v>
      </c>
      <c r="BK306" s="256"/>
      <c r="BL306" s="333">
        <v>42835291.361958995</v>
      </c>
      <c r="BM306" s="333">
        <f>+BM303</f>
        <v>29652768.76611878</v>
      </c>
      <c r="BN306" s="256"/>
      <c r="BO306" s="333">
        <v>45224948.563978851</v>
      </c>
      <c r="BP306" s="333">
        <f>+BP303</f>
        <v>31713099.309567943</v>
      </c>
      <c r="BQ306" s="256"/>
      <c r="BR306" s="333">
        <v>44947517.472416967</v>
      </c>
      <c r="BS306" s="333">
        <f>+BS303</f>
        <v>31472196.148137718</v>
      </c>
      <c r="BT306" s="256"/>
      <c r="BU306" s="333">
        <v>44950487.49439095</v>
      </c>
      <c r="BV306" s="333">
        <f>+BV303</f>
        <v>31475013.904272065</v>
      </c>
      <c r="BW306" s="256"/>
      <c r="BX306" s="333">
        <v>44950007.22735174</v>
      </c>
      <c r="BY306" s="333">
        <f>+BY303</f>
        <v>31474558.259361789</v>
      </c>
      <c r="BZ306" s="256"/>
      <c r="CA306" s="333">
        <v>44602998.894856468</v>
      </c>
      <c r="CB306" s="333">
        <f>+CB303</f>
        <v>31104978.829307333</v>
      </c>
      <c r="CC306" s="256"/>
      <c r="CD306" s="333">
        <v>44602998.894856468</v>
      </c>
      <c r="CE306" s="333">
        <f>+CE303</f>
        <v>31104978.829307333</v>
      </c>
      <c r="CF306" s="256"/>
      <c r="CG306" s="333">
        <v>44636439.961143702</v>
      </c>
      <c r="CH306" s="333">
        <f>+CH303</f>
        <v>31134143.089116633</v>
      </c>
      <c r="CI306" s="1684">
        <f t="shared" si="35"/>
        <v>29164.259809300303</v>
      </c>
      <c r="CJ306" s="333">
        <v>44636439.961143702</v>
      </c>
      <c r="CK306" s="333">
        <f>+CK303</f>
        <v>31134143.089116633</v>
      </c>
      <c r="CL306" s="256"/>
      <c r="CM306" s="333">
        <v>45227841.20521979</v>
      </c>
      <c r="CN306" s="333">
        <f>+CN303</f>
        <v>31644427.271555126</v>
      </c>
      <c r="CO306" s="256"/>
      <c r="CP306" s="361">
        <v>44916195.18429482</v>
      </c>
      <c r="CQ306" s="333">
        <f>+CQ303</f>
        <v>31372615.297495678</v>
      </c>
      <c r="CR306" s="256"/>
      <c r="CS306" s="361">
        <v>45051264.256149098</v>
      </c>
      <c r="CT306" s="333">
        <f>+CT303</f>
        <v>31482921.063936591</v>
      </c>
      <c r="CU306" s="256"/>
      <c r="CV306" s="333">
        <v>45051528.793463767</v>
      </c>
      <c r="CW306" s="333">
        <f>+CW303</f>
        <v>31483172.039063275</v>
      </c>
      <c r="CX306" s="256"/>
      <c r="CY306" s="333"/>
      <c r="CZ306" s="333"/>
    </row>
    <row r="307" spans="1:104">
      <c r="A307" s="260">
        <f t="shared" si="38"/>
        <v>300</v>
      </c>
      <c r="B307" s="260"/>
      <c r="C307" s="255" t="s">
        <v>1488</v>
      </c>
      <c r="D307" s="266"/>
      <c r="E307" s="265" t="s">
        <v>908</v>
      </c>
      <c r="F307" s="264"/>
      <c r="G307" s="361">
        <f ca="1">'Stmt K'!$E$78</f>
        <v>9574528.7595300004</v>
      </c>
      <c r="H307" s="29"/>
      <c r="I307" s="1229"/>
      <c r="J307" s="29"/>
      <c r="K307" s="636">
        <f ca="1">'Stmt K'!$I$78</f>
        <v>8617293.5380410012</v>
      </c>
      <c r="M307" s="1624">
        <f ca="1">IF(ISERROR(O307/K307),0,O307/K307)</f>
        <v>0.63090457136173517</v>
      </c>
      <c r="N307" s="1614">
        <f ca="1">M307*G307</f>
        <v>6040613.9630218809</v>
      </c>
      <c r="O307" s="1614">
        <v>5436689.8859160086</v>
      </c>
      <c r="P307" s="1618"/>
      <c r="Q307" s="1699">
        <v>7869975.3621130008</v>
      </c>
      <c r="R307" s="256"/>
      <c r="S307" s="1699">
        <v>7993321.0024340004</v>
      </c>
      <c r="T307" s="1730">
        <v>4917430.6803618791</v>
      </c>
      <c r="U307" s="256"/>
      <c r="V307" s="1066">
        <v>7992982.4654800007</v>
      </c>
      <c r="W307" s="1730">
        <v>4917135.6172319232</v>
      </c>
      <c r="X307" s="1731"/>
      <c r="Y307" s="1066">
        <v>7981837.9158980008</v>
      </c>
      <c r="Z307" s="1730">
        <v>4907033.9281079657</v>
      </c>
      <c r="AA307" s="1731"/>
      <c r="AB307" s="1066">
        <v>7991124.3160190005</v>
      </c>
      <c r="AC307" s="1730">
        <v>4916648.3477225145</v>
      </c>
      <c r="AD307" s="1731"/>
      <c r="AE307" s="1066">
        <v>7999721.1440780004</v>
      </c>
      <c r="AF307" s="1730">
        <v>4924140.6259367894</v>
      </c>
      <c r="AG307" s="1731"/>
      <c r="AH307" s="1066">
        <v>8158071.9401610009</v>
      </c>
      <c r="AI307" s="1730">
        <v>5060254.6729966188</v>
      </c>
      <c r="AJ307" s="1731"/>
      <c r="AK307" s="1066">
        <v>8198401.5812260006</v>
      </c>
      <c r="AL307" s="1730">
        <v>5095611.6039330335</v>
      </c>
      <c r="AM307" s="1731"/>
      <c r="AN307" s="1066">
        <v>8213734.9142910009</v>
      </c>
      <c r="AO307" s="1730">
        <v>5108855.1463802326</v>
      </c>
      <c r="AP307" s="1731"/>
      <c r="AQ307" s="1066">
        <v>8376594.2835800005</v>
      </c>
      <c r="AR307" s="1730">
        <v>5250789.1753454618</v>
      </c>
      <c r="AS307" s="1731"/>
      <c r="AT307" s="1066">
        <v>8375615.0803840011</v>
      </c>
      <c r="AU307" s="1730">
        <v>5249942.5837275116</v>
      </c>
      <c r="AV307" s="1731"/>
      <c r="AW307" s="1066">
        <v>8396726.3643830009</v>
      </c>
      <c r="AX307" s="1730">
        <v>5268341.33863624</v>
      </c>
      <c r="AY307" s="1731"/>
      <c r="AZ307" s="1066">
        <v>7872783.8699639998</v>
      </c>
      <c r="BA307" s="1730">
        <v>4820136.3994318489</v>
      </c>
      <c r="BB307" s="1731"/>
      <c r="BC307" s="1066">
        <v>7872783.8699639998</v>
      </c>
      <c r="BD307" s="1730">
        <v>4820136.3994318489</v>
      </c>
      <c r="BE307" s="1731"/>
      <c r="BF307" s="1066">
        <v>7947188.9128130004</v>
      </c>
      <c r="BG307" s="1730">
        <v>4884981.2797209928</v>
      </c>
      <c r="BH307" s="1731"/>
      <c r="BI307" s="1066">
        <v>8019804.0026500002</v>
      </c>
      <c r="BJ307" s="1730">
        <v>4948266.2004235163</v>
      </c>
      <c r="BK307" s="1731"/>
      <c r="BL307" s="1066">
        <v>8081182.1652450003</v>
      </c>
      <c r="BM307" s="1730">
        <v>5001758.0009697489</v>
      </c>
      <c r="BN307" s="1731"/>
      <c r="BO307" s="1066">
        <v>8727719.0075380001</v>
      </c>
      <c r="BP307" s="1730">
        <v>5559199.3404095322</v>
      </c>
      <c r="BQ307" s="1731"/>
      <c r="BR307" s="1066">
        <v>8652381.765420001</v>
      </c>
      <c r="BS307" s="1730">
        <v>5493781.4449080145</v>
      </c>
      <c r="BT307" s="1731"/>
      <c r="BU307" s="1066">
        <v>8695363.7321230005</v>
      </c>
      <c r="BV307" s="1730">
        <v>5530970.7107431088</v>
      </c>
      <c r="BW307" s="1731"/>
      <c r="BX307" s="1066">
        <v>8774347.7080580015</v>
      </c>
      <c r="BY307" s="1730">
        <v>5598775.6247873399</v>
      </c>
      <c r="BZ307" s="1731"/>
      <c r="CA307" s="1066">
        <v>8638111.5803810004</v>
      </c>
      <c r="CB307" s="1730">
        <v>5458434.6244783495</v>
      </c>
      <c r="CC307" s="1731"/>
      <c r="CD307" s="1066">
        <v>8638111.5803810004</v>
      </c>
      <c r="CE307" s="1730">
        <v>5458434.6244783495</v>
      </c>
      <c r="CF307" s="1731"/>
      <c r="CG307" s="1066">
        <v>8647193.9345530011</v>
      </c>
      <c r="CH307" s="1730">
        <v>5466355.4229831677</v>
      </c>
      <c r="CI307" s="1684">
        <f t="shared" si="35"/>
        <v>7920.7985048182309</v>
      </c>
      <c r="CJ307" s="1066">
        <v>8647193.9345530011</v>
      </c>
      <c r="CK307" s="1730">
        <v>5466355.4229831677</v>
      </c>
      <c r="CL307" s="1731"/>
      <c r="CM307" s="1066">
        <v>8808086.2030820008</v>
      </c>
      <c r="CN307" s="1730">
        <v>5605139.5373750189</v>
      </c>
      <c r="CO307" s="1731"/>
      <c r="CP307" s="636">
        <v>8723445.4438060019</v>
      </c>
      <c r="CQ307" s="1730">
        <v>5531317.4634257341</v>
      </c>
      <c r="CR307" s="1731"/>
      <c r="CS307" s="636">
        <v>8760129.1559900008</v>
      </c>
      <c r="CT307" s="1730">
        <v>5561217.2419411121</v>
      </c>
      <c r="CU307" s="1731"/>
      <c r="CV307" s="1066">
        <v>8617293.5380410012</v>
      </c>
      <c r="CW307" s="1730">
        <v>5436689.8859160086</v>
      </c>
      <c r="CX307" s="1731"/>
      <c r="CY307" s="1066"/>
      <c r="CZ307" s="1730"/>
    </row>
    <row r="308" spans="1:104">
      <c r="A308" s="260">
        <f t="shared" si="38"/>
        <v>301</v>
      </c>
      <c r="B308" s="260"/>
      <c r="C308" s="255" t="s">
        <v>264</v>
      </c>
      <c r="D308" s="266"/>
      <c r="E308" s="265"/>
      <c r="F308" s="264"/>
      <c r="G308" s="361">
        <f ca="1">SUM(G307:G307)</f>
        <v>9574528.7595300004</v>
      </c>
      <c r="H308" s="29"/>
      <c r="I308" s="1229"/>
      <c r="J308" s="29"/>
      <c r="K308" s="361">
        <f ca="1">SUM(K307:K307)</f>
        <v>8617293.5380410012</v>
      </c>
      <c r="M308" s="1630" t="s">
        <v>1528</v>
      </c>
      <c r="N308" s="1113">
        <f ca="1">SUM(N307:N307)</f>
        <v>6040613.9630218809</v>
      </c>
      <c r="O308" s="1113">
        <v>5436689.8859160086</v>
      </c>
      <c r="Q308" s="333">
        <v>7869975.3621130008</v>
      </c>
      <c r="R308" s="256"/>
      <c r="S308" s="333">
        <v>7993321.0024340004</v>
      </c>
      <c r="T308" s="333">
        <f>SUM(T307:T307)</f>
        <v>4917430.6803618791</v>
      </c>
      <c r="U308" s="256"/>
      <c r="V308" s="333">
        <v>7992982.4654800007</v>
      </c>
      <c r="W308" s="333">
        <f>SUM(W307:W307)</f>
        <v>4917135.6172319232</v>
      </c>
      <c r="X308" s="256"/>
      <c r="Y308" s="333">
        <v>7981837.9158980008</v>
      </c>
      <c r="Z308" s="333">
        <f>SUM(Z307:Z307)</f>
        <v>4907033.9281079657</v>
      </c>
      <c r="AA308" s="256"/>
      <c r="AB308" s="333">
        <v>7991124.3160190005</v>
      </c>
      <c r="AC308" s="333">
        <f>SUM(AC307:AC307)</f>
        <v>4916648.3477225145</v>
      </c>
      <c r="AD308" s="256"/>
      <c r="AE308" s="333">
        <v>7999721.1440780004</v>
      </c>
      <c r="AF308" s="333">
        <f>SUM(AF307:AF307)</f>
        <v>4924140.6259367894</v>
      </c>
      <c r="AG308" s="256"/>
      <c r="AH308" s="333">
        <v>8158071.9401610009</v>
      </c>
      <c r="AI308" s="333">
        <f>SUM(AI307:AI307)</f>
        <v>5060254.6729966188</v>
      </c>
      <c r="AJ308" s="256"/>
      <c r="AK308" s="333">
        <v>8198401.5812260006</v>
      </c>
      <c r="AL308" s="333">
        <f>SUM(AL307:AL307)</f>
        <v>5095611.6039330335</v>
      </c>
      <c r="AM308" s="256"/>
      <c r="AN308" s="333">
        <v>8213734.9142910009</v>
      </c>
      <c r="AO308" s="333">
        <f>SUM(AO307:AO307)</f>
        <v>5108855.1463802326</v>
      </c>
      <c r="AP308" s="256"/>
      <c r="AQ308" s="333">
        <v>8376594.2835800005</v>
      </c>
      <c r="AR308" s="333">
        <f>SUM(AR307:AR307)</f>
        <v>5250789.1753454618</v>
      </c>
      <c r="AS308" s="256"/>
      <c r="AT308" s="333">
        <v>8375615.0803840011</v>
      </c>
      <c r="AU308" s="333">
        <f>SUM(AU307:AU307)</f>
        <v>5249942.5837275116</v>
      </c>
      <c r="AV308" s="256"/>
      <c r="AW308" s="333">
        <v>8396726.3643830009</v>
      </c>
      <c r="AX308" s="333">
        <f>SUM(AX307:AX307)</f>
        <v>5268341.33863624</v>
      </c>
      <c r="AY308" s="256"/>
      <c r="AZ308" s="333">
        <v>7872783.8699639998</v>
      </c>
      <c r="BA308" s="333">
        <f>SUM(BA307:BA307)</f>
        <v>4820136.3994318489</v>
      </c>
      <c r="BB308" s="256"/>
      <c r="BC308" s="333">
        <v>7872783.8699639998</v>
      </c>
      <c r="BD308" s="333">
        <f>SUM(BD307:BD307)</f>
        <v>4820136.3994318489</v>
      </c>
      <c r="BE308" s="256"/>
      <c r="BF308" s="333">
        <v>7947188.9128130004</v>
      </c>
      <c r="BG308" s="333">
        <f>SUM(BG307:BG307)</f>
        <v>4884981.2797209928</v>
      </c>
      <c r="BH308" s="256"/>
      <c r="BI308" s="333">
        <v>8019804.0026500002</v>
      </c>
      <c r="BJ308" s="333">
        <f>SUM(BJ307:BJ307)</f>
        <v>4948266.2004235163</v>
      </c>
      <c r="BK308" s="256"/>
      <c r="BL308" s="333">
        <v>8081182.1652450003</v>
      </c>
      <c r="BM308" s="333">
        <f>SUM(BM307:BM307)</f>
        <v>5001758.0009697489</v>
      </c>
      <c r="BN308" s="256"/>
      <c r="BO308" s="333">
        <v>8727719.0075380001</v>
      </c>
      <c r="BP308" s="333">
        <f>SUM(BP307:BP307)</f>
        <v>5559199.3404095322</v>
      </c>
      <c r="BQ308" s="256"/>
      <c r="BR308" s="333">
        <v>8652381.765420001</v>
      </c>
      <c r="BS308" s="333">
        <f>SUM(BS307:BS307)</f>
        <v>5493781.4449080145</v>
      </c>
      <c r="BT308" s="256"/>
      <c r="BU308" s="333">
        <v>8695363.7321230005</v>
      </c>
      <c r="BV308" s="333">
        <f>SUM(BV307:BV307)</f>
        <v>5530970.7107431088</v>
      </c>
      <c r="BW308" s="256"/>
      <c r="BX308" s="333">
        <v>8774347.7080580015</v>
      </c>
      <c r="BY308" s="333">
        <f>SUM(BY307:BY307)</f>
        <v>5598775.6247873399</v>
      </c>
      <c r="BZ308" s="256"/>
      <c r="CA308" s="333">
        <v>8638111.5803810004</v>
      </c>
      <c r="CB308" s="333">
        <f>SUM(CB307:CB307)</f>
        <v>5458434.6244783495</v>
      </c>
      <c r="CC308" s="256"/>
      <c r="CD308" s="333">
        <v>8638111.5803810004</v>
      </c>
      <c r="CE308" s="333">
        <f>SUM(CE307:CE307)</f>
        <v>5458434.6244783495</v>
      </c>
      <c r="CF308" s="256"/>
      <c r="CG308" s="333">
        <v>8647193.9345530011</v>
      </c>
      <c r="CH308" s="333">
        <f>SUM(CH307:CH307)</f>
        <v>5466355.4229831677</v>
      </c>
      <c r="CI308" s="1684">
        <f t="shared" si="35"/>
        <v>7920.7985048182309</v>
      </c>
      <c r="CJ308" s="333">
        <v>8647193.9345530011</v>
      </c>
      <c r="CK308" s="333">
        <f>SUM(CK307:CK307)</f>
        <v>5466355.4229831677</v>
      </c>
      <c r="CL308" s="256"/>
      <c r="CM308" s="333">
        <v>8808086.2030820008</v>
      </c>
      <c r="CN308" s="333">
        <f>SUM(CN307:CN307)</f>
        <v>5605139.5373750189</v>
      </c>
      <c r="CO308" s="256"/>
      <c r="CP308" s="361">
        <v>8723445.4438060019</v>
      </c>
      <c r="CQ308" s="333">
        <f>SUM(CQ307:CQ307)</f>
        <v>5531317.4634257341</v>
      </c>
      <c r="CR308" s="256"/>
      <c r="CS308" s="361">
        <v>8760129.1559900008</v>
      </c>
      <c r="CT308" s="333">
        <f>SUM(CT307:CT307)</f>
        <v>5561217.2419411121</v>
      </c>
      <c r="CU308" s="256"/>
      <c r="CV308" s="333">
        <v>8617293.5380410012</v>
      </c>
      <c r="CW308" s="333">
        <f>SUM(CW307:CW307)</f>
        <v>5436689.8859160086</v>
      </c>
      <c r="CX308" s="256"/>
      <c r="CY308" s="333"/>
      <c r="CZ308" s="333"/>
    </row>
    <row r="309" spans="1:104">
      <c r="A309" s="260">
        <f t="shared" si="38"/>
        <v>302</v>
      </c>
      <c r="B309" s="260"/>
      <c r="C309" s="255"/>
      <c r="D309" s="266"/>
      <c r="E309" s="265"/>
      <c r="F309" s="264"/>
      <c r="G309" s="361"/>
      <c r="H309" s="29"/>
      <c r="I309" s="1229"/>
      <c r="J309" s="29"/>
      <c r="K309" s="54"/>
      <c r="M309" s="1624"/>
      <c r="N309" s="1614"/>
      <c r="O309" s="1614"/>
      <c r="Q309" s="54"/>
      <c r="R309" s="256"/>
      <c r="S309" s="54"/>
      <c r="T309" s="256"/>
      <c r="U309" s="256"/>
      <c r="V309" s="54"/>
      <c r="W309" s="256"/>
      <c r="X309" s="256"/>
      <c r="Y309" s="54"/>
      <c r="Z309" s="256"/>
      <c r="AA309" s="256"/>
      <c r="AB309" s="54"/>
      <c r="AC309" s="256"/>
      <c r="AD309" s="256"/>
      <c r="AE309" s="54"/>
      <c r="AF309" s="256"/>
      <c r="AG309" s="256"/>
      <c r="AH309" s="54"/>
      <c r="AI309" s="256"/>
      <c r="AJ309" s="256"/>
      <c r="AK309" s="54"/>
      <c r="AL309" s="256"/>
      <c r="AM309" s="256"/>
      <c r="AN309" s="54"/>
      <c r="AO309" s="256"/>
      <c r="AP309" s="256"/>
      <c r="AQ309" s="54"/>
      <c r="AR309" s="256"/>
      <c r="AS309" s="256"/>
      <c r="AT309" s="54"/>
      <c r="AU309" s="256"/>
      <c r="AV309" s="256"/>
      <c r="AW309" s="54"/>
      <c r="AX309" s="256"/>
      <c r="AY309" s="256"/>
      <c r="AZ309" s="54"/>
      <c r="BA309" s="256"/>
      <c r="BB309" s="256"/>
      <c r="BC309" s="54"/>
      <c r="BD309" s="256"/>
      <c r="BE309" s="256"/>
      <c r="BF309" s="54"/>
      <c r="BG309" s="256"/>
      <c r="BH309" s="256"/>
      <c r="BI309" s="54"/>
      <c r="BJ309" s="256"/>
      <c r="BK309" s="256"/>
      <c r="BL309" s="54"/>
      <c r="BM309" s="256"/>
      <c r="BN309" s="256"/>
      <c r="BO309" s="54"/>
      <c r="BP309" s="256"/>
      <c r="BQ309" s="256"/>
      <c r="BR309" s="54"/>
      <c r="BS309" s="256"/>
      <c r="BT309" s="256"/>
      <c r="BU309" s="54"/>
      <c r="BV309" s="256"/>
      <c r="BW309" s="256"/>
      <c r="BX309" s="54"/>
      <c r="BY309" s="256"/>
      <c r="BZ309" s="256"/>
      <c r="CA309" s="54"/>
      <c r="CB309" s="256"/>
      <c r="CC309" s="256"/>
      <c r="CD309" s="54"/>
      <c r="CE309" s="256"/>
      <c r="CF309" s="256"/>
      <c r="CG309" s="54"/>
      <c r="CH309" s="256"/>
      <c r="CI309" s="1684">
        <f t="shared" si="35"/>
        <v>0</v>
      </c>
      <c r="CJ309" s="54"/>
      <c r="CK309" s="256"/>
      <c r="CL309" s="256"/>
      <c r="CM309" s="54"/>
      <c r="CN309" s="256"/>
      <c r="CO309" s="256"/>
      <c r="CP309" s="54"/>
      <c r="CQ309" s="256"/>
      <c r="CR309" s="256"/>
      <c r="CS309" s="54"/>
      <c r="CT309" s="256"/>
      <c r="CU309" s="256"/>
      <c r="CV309" s="54"/>
      <c r="CW309" s="256"/>
      <c r="CX309" s="256"/>
      <c r="CY309" s="54"/>
      <c r="CZ309" s="256"/>
    </row>
    <row r="310" spans="1:104">
      <c r="A310" s="260">
        <f t="shared" si="38"/>
        <v>303</v>
      </c>
      <c r="B310" s="260"/>
      <c r="C310" s="256" t="s">
        <v>265</v>
      </c>
      <c r="D310" s="266"/>
      <c r="E310" s="265"/>
      <c r="F310" s="264"/>
      <c r="G310" s="361">
        <f ca="1">+G286+G308</f>
        <v>182554381.16953</v>
      </c>
      <c r="H310" s="29"/>
      <c r="I310" s="1229"/>
      <c r="J310" s="29"/>
      <c r="K310" s="49">
        <f ca="1">+K286+K308</f>
        <v>110609712.02691969</v>
      </c>
      <c r="M310" s="1624"/>
      <c r="N310" s="1114">
        <f ca="1">+N286+N308</f>
        <v>90891517.264446616</v>
      </c>
      <c r="O310" s="1114">
        <v>94315127.856497437</v>
      </c>
      <c r="Q310" s="49">
        <v>113777360.32208888</v>
      </c>
      <c r="R310" s="256"/>
      <c r="S310" s="49">
        <v>113900705.85676576</v>
      </c>
      <c r="T310" s="49">
        <f>+T286+T308</f>
        <v>97107430.005705997</v>
      </c>
      <c r="U310" s="256"/>
      <c r="V310" s="49">
        <v>113901611.94324596</v>
      </c>
      <c r="W310" s="49">
        <f>+W286+W308</f>
        <v>97108219.732866094</v>
      </c>
      <c r="X310" s="256"/>
      <c r="Y310" s="49">
        <v>113931455.60480896</v>
      </c>
      <c r="Z310" s="49">
        <f>+Z286+Z308</f>
        <v>97135291.609153956</v>
      </c>
      <c r="AA310" s="256"/>
      <c r="AB310" s="49">
        <v>113906548.75696148</v>
      </c>
      <c r="AC310" s="49">
        <f>+AC286+AC308</f>
        <v>97109340.588008329</v>
      </c>
      <c r="AD310" s="256"/>
      <c r="AE310" s="49">
        <v>113883492.50011554</v>
      </c>
      <c r="AF310" s="49">
        <f>+AF286+AF308</f>
        <v>97089246.669190302</v>
      </c>
      <c r="AG310" s="256"/>
      <c r="AH310" s="49">
        <v>114039251.30415261</v>
      </c>
      <c r="AI310" s="49">
        <f>+AI286+AI308</f>
        <v>97222901.609364182</v>
      </c>
      <c r="AJ310" s="256"/>
      <c r="AK310" s="49">
        <v>113931087.31182811</v>
      </c>
      <c r="AL310" s="49">
        <f>+AL286+AL308</f>
        <v>97128050.813187853</v>
      </c>
      <c r="AM310" s="256"/>
      <c r="AN310" s="49">
        <v>113890060.36880383</v>
      </c>
      <c r="AO310" s="49">
        <f>+AO286+AO308</f>
        <v>97092629.667051584</v>
      </c>
      <c r="AP310" s="256"/>
      <c r="AQ310" s="49">
        <v>113453273.57668431</v>
      </c>
      <c r="AR310" s="49">
        <f>+AR286+AR308</f>
        <v>96711964.438201576</v>
      </c>
      <c r="AS310" s="256"/>
      <c r="AT310" s="49">
        <v>113452364.73688373</v>
      </c>
      <c r="AU310" s="49">
        <f>+AU286+AU308</f>
        <v>96711184.602618039</v>
      </c>
      <c r="AV310" s="256"/>
      <c r="AW310" s="49">
        <v>113395744.46459216</v>
      </c>
      <c r="AX310" s="49">
        <f>+AX286+AX308</f>
        <v>96661839.317699507</v>
      </c>
      <c r="AY310" s="256"/>
      <c r="AZ310" s="49">
        <v>112867695.8775876</v>
      </c>
      <c r="BA310" s="49">
        <f>+BA286+BA308</f>
        <v>96209738.795340344</v>
      </c>
      <c r="BB310" s="256"/>
      <c r="BC310" s="49">
        <v>112867695.8775876</v>
      </c>
      <c r="BD310" s="49">
        <f>+BD286+BD308</f>
        <v>96209738.795340344</v>
      </c>
      <c r="BE310" s="256"/>
      <c r="BF310" s="49">
        <v>112668143.69437623</v>
      </c>
      <c r="BG310" s="49">
        <f>+BG286+BG308</f>
        <v>96035826.467954829</v>
      </c>
      <c r="BH310" s="256"/>
      <c r="BI310" s="49">
        <v>112473390.44220427</v>
      </c>
      <c r="BJ310" s="49">
        <f>+BJ286+BJ308</f>
        <v>95866096.477489889</v>
      </c>
      <c r="BK310" s="256"/>
      <c r="BL310" s="49">
        <v>112308775.56754215</v>
      </c>
      <c r="BM310" s="49">
        <f>+BM286+BM308</f>
        <v>95722632.471104577</v>
      </c>
      <c r="BN310" s="256"/>
      <c r="BO310" s="49">
        <v>110565655.2078153</v>
      </c>
      <c r="BP310" s="49">
        <f>+BP286+BP308</f>
        <v>94219743.267095193</v>
      </c>
      <c r="BQ310" s="256"/>
      <c r="BR310" s="49">
        <v>110748811.5753455</v>
      </c>
      <c r="BS310" s="49">
        <f>+BS286+BS308</f>
        <v>94378920.536453083</v>
      </c>
      <c r="BT310" s="256"/>
      <c r="BU310" s="49">
        <v>110788823.52007452</v>
      </c>
      <c r="BV310" s="49">
        <f>+BV286+BV308</f>
        <v>94413292.046153843</v>
      </c>
      <c r="BW310" s="256"/>
      <c r="BX310" s="49">
        <v>110868287.76304872</v>
      </c>
      <c r="BY310" s="49">
        <f>+BY286+BY308</f>
        <v>94481552.605108351</v>
      </c>
      <c r="BZ310" s="256"/>
      <c r="CA310" s="49">
        <v>111079059.967867</v>
      </c>
      <c r="CB310" s="49">
        <f>+CB286+CB308</f>
        <v>94714325.573041797</v>
      </c>
      <c r="CC310" s="256"/>
      <c r="CD310" s="49">
        <v>111079059.967867</v>
      </c>
      <c r="CE310" s="49">
        <f>+CE286+CE308</f>
        <v>94714325.573041797</v>
      </c>
      <c r="CF310" s="256"/>
      <c r="CG310" s="49">
        <v>111054701.25575176</v>
      </c>
      <c r="CH310" s="49">
        <f>+CH286+CH308</f>
        <v>94693082.111737311</v>
      </c>
      <c r="CI310" s="1684">
        <f t="shared" si="35"/>
        <v>-21243.461304485798</v>
      </c>
      <c r="CJ310" s="49">
        <v>111054701.25575176</v>
      </c>
      <c r="CK310" s="49">
        <f>+CK286+CK308</f>
        <v>94693082.111737311</v>
      </c>
      <c r="CL310" s="256"/>
      <c r="CM310" s="49">
        <v>110624192.28020467</v>
      </c>
      <c r="CN310" s="49">
        <f>+CN286+CN308</f>
        <v>94321894.957858562</v>
      </c>
      <c r="CO310" s="256"/>
      <c r="CP310" s="49">
        <v>110851197.54185365</v>
      </c>
      <c r="CQ310" s="49">
        <f>+CQ286+CQ308</f>
        <v>94519884.857968733</v>
      </c>
      <c r="CR310" s="256"/>
      <c r="CS310" s="49">
        <v>110752812.18218337</v>
      </c>
      <c r="CT310" s="49">
        <f>+CT286+CT308</f>
        <v>94439906.18764922</v>
      </c>
      <c r="CU310" s="256"/>
      <c r="CV310" s="49">
        <v>110609712.02691969</v>
      </c>
      <c r="CW310" s="49">
        <f>+CW286+CW308</f>
        <v>94315127.856497437</v>
      </c>
      <c r="CX310" s="256"/>
      <c r="CY310" s="49"/>
      <c r="CZ310" s="49"/>
    </row>
    <row r="311" spans="1:104">
      <c r="A311" s="260">
        <f t="shared" si="38"/>
        <v>304</v>
      </c>
      <c r="B311" s="260"/>
      <c r="D311" s="284"/>
      <c r="E311" s="283"/>
      <c r="F311" s="273"/>
      <c r="G311" s="353"/>
      <c r="H311" s="29"/>
      <c r="I311" s="1229"/>
      <c r="J311" s="29"/>
      <c r="K311" s="259"/>
      <c r="M311" s="1624"/>
      <c r="N311" s="1614"/>
      <c r="O311" s="1614"/>
      <c r="Q311" s="1732"/>
      <c r="R311" s="256"/>
      <c r="S311" s="1732"/>
      <c r="T311" s="256"/>
      <c r="U311" s="256"/>
      <c r="V311" s="1732"/>
      <c r="W311" s="256"/>
      <c r="X311" s="256"/>
      <c r="Y311" s="1732"/>
      <c r="Z311" s="256"/>
      <c r="AA311" s="256"/>
      <c r="AB311" s="1732"/>
      <c r="AC311" s="256"/>
      <c r="AD311" s="256"/>
      <c r="AE311" s="1732"/>
      <c r="AF311" s="256"/>
      <c r="AG311" s="256"/>
      <c r="AH311" s="1732"/>
      <c r="AI311" s="256"/>
      <c r="AJ311" s="256"/>
      <c r="AK311" s="1732"/>
      <c r="AL311" s="256"/>
      <c r="AM311" s="256"/>
      <c r="AN311" s="1732"/>
      <c r="AO311" s="256"/>
      <c r="AP311" s="256"/>
      <c r="AQ311" s="1732"/>
      <c r="AR311" s="256"/>
      <c r="AS311" s="256"/>
      <c r="AT311" s="1732"/>
      <c r="AU311" s="256"/>
      <c r="AV311" s="256"/>
      <c r="AW311" s="1732"/>
      <c r="AX311" s="256"/>
      <c r="AY311" s="256"/>
      <c r="AZ311" s="1732"/>
      <c r="BA311" s="256"/>
      <c r="BB311" s="256"/>
      <c r="BC311" s="1732"/>
      <c r="BD311" s="256"/>
      <c r="BE311" s="256"/>
      <c r="BF311" s="1732"/>
      <c r="BG311" s="256"/>
      <c r="BH311" s="256"/>
      <c r="BI311" s="1732"/>
      <c r="BJ311" s="256"/>
      <c r="BK311" s="256"/>
      <c r="BL311" s="1732"/>
      <c r="BM311" s="256"/>
      <c r="BN311" s="256"/>
      <c r="BO311" s="1732"/>
      <c r="BP311" s="256"/>
      <c r="BQ311" s="256"/>
      <c r="BR311" s="1732"/>
      <c r="BS311" s="256"/>
      <c r="BT311" s="256"/>
      <c r="BU311" s="1732"/>
      <c r="BV311" s="256"/>
      <c r="BW311" s="256"/>
      <c r="BX311" s="1732"/>
      <c r="BY311" s="256"/>
      <c r="BZ311" s="256"/>
      <c r="CA311" s="1732"/>
      <c r="CB311" s="256"/>
      <c r="CC311" s="256"/>
      <c r="CD311" s="1732"/>
      <c r="CE311" s="256"/>
      <c r="CF311" s="256"/>
      <c r="CG311" s="1732"/>
      <c r="CH311" s="256"/>
      <c r="CI311" s="1684">
        <f t="shared" ref="CI311:CI352" si="39">CH311-CE311</f>
        <v>0</v>
      </c>
      <c r="CJ311" s="1732"/>
      <c r="CK311" s="256"/>
      <c r="CL311" s="256"/>
      <c r="CM311" s="1732"/>
      <c r="CN311" s="256"/>
      <c r="CO311" s="256"/>
      <c r="CP311" s="259"/>
      <c r="CQ311" s="256"/>
      <c r="CR311" s="256"/>
      <c r="CS311" s="259"/>
      <c r="CT311" s="256"/>
      <c r="CU311" s="256"/>
      <c r="CV311" s="1732"/>
      <c r="CW311" s="256"/>
      <c r="CX311" s="256"/>
      <c r="CY311" s="1732"/>
      <c r="CZ311" s="256"/>
    </row>
    <row r="312" spans="1:104">
      <c r="A312" s="260">
        <f t="shared" si="38"/>
        <v>305</v>
      </c>
      <c r="B312" s="260"/>
      <c r="C312" s="256" t="s">
        <v>266</v>
      </c>
      <c r="D312" s="266"/>
      <c r="E312" s="265"/>
      <c r="F312" s="264"/>
      <c r="G312" s="361">
        <f ca="1">+G299+G294-G310</f>
        <v>36349832.060470015</v>
      </c>
      <c r="H312" s="29"/>
      <c r="I312" s="1229"/>
      <c r="J312" s="29"/>
      <c r="K312" s="361">
        <f ca="1">+K299+K294-K310</f>
        <v>36434235.255422771</v>
      </c>
      <c r="M312" s="1630" t="s">
        <v>1528</v>
      </c>
      <c r="N312" s="1113">
        <f ca="1">+N299+N294-N310</f>
        <v>88067425.023267806</v>
      </c>
      <c r="O312" s="1113">
        <v>26046482.153147265</v>
      </c>
      <c r="Q312" s="333">
        <v>32837508.034698591</v>
      </c>
      <c r="R312" s="256"/>
      <c r="S312" s="333">
        <v>33168135.500021711</v>
      </c>
      <c r="T312" s="333">
        <f>+T299+T294-T310</f>
        <v>23271627.526126087</v>
      </c>
      <c r="U312" s="256"/>
      <c r="V312" s="333">
        <v>33167229.413541511</v>
      </c>
      <c r="W312" s="333">
        <f>+W299+W294-W310</f>
        <v>23270837.798965991</v>
      </c>
      <c r="X312" s="256"/>
      <c r="Y312" s="333">
        <v>33137385.751978517</v>
      </c>
      <c r="Z312" s="333">
        <f>+Z299+Z294-Z310</f>
        <v>23243801.865570351</v>
      </c>
      <c r="AA312" s="256"/>
      <c r="AB312" s="333">
        <v>33162292.599825993</v>
      </c>
      <c r="AC312" s="333">
        <f>+AC299+AC294-AC310</f>
        <v>23269450.009356335</v>
      </c>
      <c r="AD312" s="256"/>
      <c r="AE312" s="333">
        <v>33185348.856671929</v>
      </c>
      <c r="AF312" s="333">
        <f>+AF299+AF294-AF310</f>
        <v>23289543.928174362</v>
      </c>
      <c r="AG312" s="256"/>
      <c r="AH312" s="333">
        <v>33023633.460103542</v>
      </c>
      <c r="AI312" s="333">
        <f>+AI299+AI294-AI310</f>
        <v>23150759.470191076</v>
      </c>
      <c r="AJ312" s="256"/>
      <c r="AK312" s="333">
        <v>33131797.452428043</v>
      </c>
      <c r="AL312" s="333">
        <f>+AL299+AL294-AL310</f>
        <v>23245568.504739046</v>
      </c>
      <c r="AM312" s="256"/>
      <c r="AN312" s="333">
        <v>33172824.395452321</v>
      </c>
      <c r="AO312" s="333">
        <f>+AO299+AO294-AO310</f>
        <v>23281013.569202021</v>
      </c>
      <c r="AP312" s="256"/>
      <c r="AQ312" s="333">
        <v>33609611.187571838</v>
      </c>
      <c r="AR312" s="333">
        <f>+AR299+AR294-AR310</f>
        <v>23661678.798052028</v>
      </c>
      <c r="AS312" s="256"/>
      <c r="AT312" s="333">
        <v>33610520.02737242</v>
      </c>
      <c r="AU312" s="333">
        <f>+AU299+AU294-AU310</f>
        <v>23662458.633635566</v>
      </c>
      <c r="AV312" s="256"/>
      <c r="AW312" s="333">
        <v>33667140.299663991</v>
      </c>
      <c r="AX312" s="333">
        <f>+AX299+AX294-AX310</f>
        <v>23711803.918554097</v>
      </c>
      <c r="AY312" s="256"/>
      <c r="AZ312" s="333">
        <v>34195188.886668548</v>
      </c>
      <c r="BA312" s="333">
        <f>+BA299+BA294-BA310</f>
        <v>24163904.44091326</v>
      </c>
      <c r="BB312" s="256"/>
      <c r="BC312" s="333">
        <v>34195188.886668548</v>
      </c>
      <c r="BD312" s="333">
        <f>+BD299+BD294-BD310</f>
        <v>24163904.44091326</v>
      </c>
      <c r="BE312" s="256"/>
      <c r="BF312" s="333">
        <v>34394741.069879919</v>
      </c>
      <c r="BG312" s="333">
        <f>+BG299+BG294-BG310</f>
        <v>24337816.768298775</v>
      </c>
      <c r="BH312" s="256"/>
      <c r="BI312" s="333">
        <v>34589494.322051883</v>
      </c>
      <c r="BJ312" s="333">
        <f>+BJ299+BJ294-BJ310</f>
        <v>24507546.758763716</v>
      </c>
      <c r="BK312" s="256"/>
      <c r="BL312" s="333">
        <v>34754109.196713999</v>
      </c>
      <c r="BM312" s="333">
        <f>+BM299+BM294-BM310</f>
        <v>24651010.765149027</v>
      </c>
      <c r="BN312" s="256"/>
      <c r="BO312" s="333">
        <v>36497229.556440845</v>
      </c>
      <c r="BP312" s="333">
        <f>+BP299+BP294-BP310</f>
        <v>26153899.969158411</v>
      </c>
      <c r="BQ312" s="256"/>
      <c r="BR312" s="333">
        <v>36295135.706996962</v>
      </c>
      <c r="BS312" s="333">
        <f>+BS299+BS294-BS310</f>
        <v>25978414.70322971</v>
      </c>
      <c r="BT312" s="256"/>
      <c r="BU312" s="333">
        <v>36255123.762267947</v>
      </c>
      <c r="BV312" s="333">
        <f>+BV299+BV294-BV310</f>
        <v>25944043.19352895</v>
      </c>
      <c r="BW312" s="256"/>
      <c r="BX312" s="333">
        <v>36175659.51929374</v>
      </c>
      <c r="BY312" s="333">
        <f>+BY299+BY294-BY310</f>
        <v>25875782.634574443</v>
      </c>
      <c r="BZ312" s="256"/>
      <c r="CA312" s="333">
        <v>35964887.314475462</v>
      </c>
      <c r="CB312" s="333">
        <f>+CB299+CB294-CB310</f>
        <v>25646544.204828978</v>
      </c>
      <c r="CC312" s="256"/>
      <c r="CD312" s="333">
        <v>35964887.314475462</v>
      </c>
      <c r="CE312" s="333">
        <f>+CE299+CE294-CE310</f>
        <v>25646544.204828978</v>
      </c>
      <c r="CF312" s="256"/>
      <c r="CG312" s="333">
        <v>35989246.026590705</v>
      </c>
      <c r="CH312" s="333">
        <f>+CH299+CH294-CH310</f>
        <v>25667787.666133463</v>
      </c>
      <c r="CI312" s="1684">
        <f t="shared" si="39"/>
        <v>21243.461304485798</v>
      </c>
      <c r="CJ312" s="333">
        <v>35989246.026590705</v>
      </c>
      <c r="CK312" s="333">
        <f>+CK299+CK294-CK310</f>
        <v>25667787.666133463</v>
      </c>
      <c r="CL312" s="256"/>
      <c r="CM312" s="333">
        <v>36419755.002137795</v>
      </c>
      <c r="CN312" s="333">
        <f>+CN299+CN294-CN310</f>
        <v>26039287.734180108</v>
      </c>
      <c r="CO312" s="256"/>
      <c r="CP312" s="361">
        <v>36192749.740488812</v>
      </c>
      <c r="CQ312" s="333">
        <f>+CQ299+CQ294-CQ310</f>
        <v>25841297.834069937</v>
      </c>
      <c r="CR312" s="256"/>
      <c r="CS312" s="361">
        <v>36291135.100159094</v>
      </c>
      <c r="CT312" s="333">
        <f>+CT299+CT294-CT310</f>
        <v>25921703.821995482</v>
      </c>
      <c r="CU312" s="256"/>
      <c r="CV312" s="333">
        <v>36434235.255422771</v>
      </c>
      <c r="CW312" s="333">
        <f>+CW299+CW294-CW310</f>
        <v>26046482.153147265</v>
      </c>
      <c r="CX312" s="256"/>
      <c r="CY312" s="333"/>
      <c r="CZ312" s="333"/>
    </row>
    <row r="313" spans="1:104">
      <c r="A313" s="260">
        <f t="shared" si="38"/>
        <v>306</v>
      </c>
      <c r="B313" s="260"/>
      <c r="C313" s="256" t="s">
        <v>253</v>
      </c>
      <c r="D313" s="266"/>
      <c r="E313" s="322"/>
      <c r="F313" s="264"/>
      <c r="G313" s="361">
        <f ca="1">+G98</f>
        <v>525867609.38193923</v>
      </c>
      <c r="H313" s="29"/>
      <c r="I313" s="1513"/>
      <c r="J313" s="29"/>
      <c r="K313" s="361">
        <f ca="1">+K98</f>
        <v>586098201.85827959</v>
      </c>
      <c r="M313" s="1630" t="s">
        <v>1528</v>
      </c>
      <c r="N313" s="1113">
        <f ca="1">+N98</f>
        <v>450132278.01487595</v>
      </c>
      <c r="O313" s="1113">
        <v>504184926.92369127</v>
      </c>
      <c r="Q313" s="333">
        <v>586160478.06823134</v>
      </c>
      <c r="R313" s="256"/>
      <c r="S313" s="333">
        <v>586160207.5636133</v>
      </c>
      <c r="T313" s="333">
        <f>+T98</f>
        <v>503631545.76956171</v>
      </c>
      <c r="U313" s="256"/>
      <c r="V313" s="333">
        <v>586160290.12826955</v>
      </c>
      <c r="W313" s="333">
        <f>+W98</f>
        <v>503631617.69074732</v>
      </c>
      <c r="X313" s="256"/>
      <c r="Y313" s="333">
        <v>586161707.9501158</v>
      </c>
      <c r="Z313" s="333">
        <f>+Z98</f>
        <v>503633659.06337595</v>
      </c>
      <c r="AA313" s="256"/>
      <c r="AB313" s="333">
        <v>586162389.23162031</v>
      </c>
      <c r="AC313" s="333">
        <f>+AC98</f>
        <v>503627456.70066857</v>
      </c>
      <c r="AD313" s="256"/>
      <c r="AE313" s="333">
        <v>586163019.88454056</v>
      </c>
      <c r="AF313" s="333">
        <f>+AF98</f>
        <v>503628006.4191317</v>
      </c>
      <c r="AG313" s="256"/>
      <c r="AH313" s="333">
        <v>586162024.68772686</v>
      </c>
      <c r="AI313" s="333">
        <f>+AI98</f>
        <v>503627145.18099606</v>
      </c>
      <c r="AJ313" s="256"/>
      <c r="AK313" s="333">
        <v>586164983.25441694</v>
      </c>
      <c r="AL313" s="333">
        <f>+AL98</f>
        <v>503628786.77336246</v>
      </c>
      <c r="AM313" s="256"/>
      <c r="AN313" s="333">
        <v>586161243.99603462</v>
      </c>
      <c r="AO313" s="333">
        <f>+AO98</f>
        <v>503626066.60765743</v>
      </c>
      <c r="AP313" s="256"/>
      <c r="AQ313" s="333">
        <v>586173191.31177068</v>
      </c>
      <c r="AR313" s="333">
        <f>+AR98</f>
        <v>503636480.6198228</v>
      </c>
      <c r="AS313" s="256"/>
      <c r="AT313" s="333">
        <v>586353527.01501048</v>
      </c>
      <c r="AU313" s="333">
        <f>+AU98</f>
        <v>503792111.34792829</v>
      </c>
      <c r="AV313" s="256"/>
      <c r="AW313" s="333">
        <v>586355075.74529672</v>
      </c>
      <c r="AX313" s="333">
        <f>+AX98</f>
        <v>503793461.31609082</v>
      </c>
      <c r="AY313" s="256"/>
      <c r="AZ313" s="333">
        <v>584180936.75151372</v>
      </c>
      <c r="BA313" s="333">
        <f>+BA98</f>
        <v>501619315.65777957</v>
      </c>
      <c r="BB313" s="256"/>
      <c r="BC313" s="333">
        <v>584180936.75151372</v>
      </c>
      <c r="BD313" s="333">
        <f>+BD98</f>
        <v>501619315.65777957</v>
      </c>
      <c r="BE313" s="256"/>
      <c r="BF313" s="333">
        <v>584186395.05508983</v>
      </c>
      <c r="BG313" s="333">
        <f>+BG98</f>
        <v>501624073.44950211</v>
      </c>
      <c r="BH313" s="256"/>
      <c r="BI313" s="333">
        <v>584191722.1031239</v>
      </c>
      <c r="BJ313" s="333">
        <f>+BJ98</f>
        <v>501628716.83083779</v>
      </c>
      <c r="BK313" s="256"/>
      <c r="BL313" s="333">
        <v>584196224.77529871</v>
      </c>
      <c r="BM313" s="333">
        <f>+BM98</f>
        <v>501632641.6356951</v>
      </c>
      <c r="BN313" s="256"/>
      <c r="BO313" s="333">
        <v>584708958.58516836</v>
      </c>
      <c r="BP313" s="333">
        <f>+BP98</f>
        <v>502073518.42919606</v>
      </c>
      <c r="BQ313" s="256"/>
      <c r="BR313" s="333">
        <v>584701418.97837627</v>
      </c>
      <c r="BS313" s="333">
        <f>+BS98</f>
        <v>502066967.22563922</v>
      </c>
      <c r="BT313" s="256"/>
      <c r="BU313" s="333">
        <v>576781704.38418067</v>
      </c>
      <c r="BV313" s="333">
        <f>+BV98</f>
        <v>495232230.72937334</v>
      </c>
      <c r="BW313" s="256"/>
      <c r="BX313" s="333">
        <v>576781651.25146985</v>
      </c>
      <c r="BY313" s="333">
        <f>+BY98</f>
        <v>495232183.37568259</v>
      </c>
      <c r="BZ313" s="256"/>
      <c r="CA313" s="333">
        <v>584659956.56479096</v>
      </c>
      <c r="CB313" s="333">
        <f>+CB98</f>
        <v>502652422.48278922</v>
      </c>
      <c r="CC313" s="256"/>
      <c r="CD313" s="333">
        <v>584659956.56479096</v>
      </c>
      <c r="CE313" s="333">
        <f>+CE98</f>
        <v>502652422.48278922</v>
      </c>
      <c r="CF313" s="256"/>
      <c r="CG313" s="333">
        <v>584660622.83814991</v>
      </c>
      <c r="CH313" s="333">
        <f>+CH98</f>
        <v>502653003.62958616</v>
      </c>
      <c r="CI313" s="1684">
        <f t="shared" si="39"/>
        <v>581.1467969417572</v>
      </c>
      <c r="CJ313" s="333">
        <v>584660622.83814991</v>
      </c>
      <c r="CK313" s="333">
        <f>+CK98</f>
        <v>502653003.62958616</v>
      </c>
      <c r="CL313" s="256"/>
      <c r="CM313" s="333">
        <v>584621385.59830976</v>
      </c>
      <c r="CN313" s="333">
        <f>+CN98</f>
        <v>502625887.51786774</v>
      </c>
      <c r="CO313" s="256"/>
      <c r="CP313" s="361">
        <v>584615176.38402021</v>
      </c>
      <c r="CQ313" s="333">
        <f>+CQ98</f>
        <v>502620471.1496129</v>
      </c>
      <c r="CR313" s="256"/>
      <c r="CS313" s="361">
        <v>584617867.50225306</v>
      </c>
      <c r="CT313" s="333">
        <f>+CT98</f>
        <v>502632492.59738082</v>
      </c>
      <c r="CU313" s="256"/>
      <c r="CV313" s="333">
        <v>586098201.85827959</v>
      </c>
      <c r="CW313" s="333">
        <f>+CW98</f>
        <v>504184926.92369127</v>
      </c>
      <c r="CX313" s="256"/>
      <c r="CY313" s="333"/>
      <c r="CZ313" s="333"/>
    </row>
    <row r="314" spans="1:104">
      <c r="A314" s="260">
        <f t="shared" si="38"/>
        <v>307</v>
      </c>
      <c r="B314" s="260"/>
      <c r="C314" s="256" t="s">
        <v>267</v>
      </c>
      <c r="D314" s="266"/>
      <c r="E314" s="265"/>
      <c r="F314" s="264"/>
      <c r="G314" s="471">
        <f ca="1">G312/G313</f>
        <v>6.9123542526592516E-2</v>
      </c>
      <c r="H314" s="270"/>
      <c r="I314" s="271"/>
      <c r="J314" s="270"/>
      <c r="K314" s="360">
        <f ca="1">K312/K313</f>
        <v>6.2164045444781428E-2</v>
      </c>
      <c r="M314" s="1630" t="s">
        <v>1528</v>
      </c>
      <c r="N314" s="1116">
        <f ca="1">N312/N313</f>
        <v>0.19564787802299607</v>
      </c>
      <c r="O314" s="1116">
        <v>5.1660572861769463E-2</v>
      </c>
      <c r="Q314" s="360">
        <v>5.6021361492878029E-2</v>
      </c>
      <c r="R314" s="256"/>
      <c r="S314" s="360">
        <v>5.6585443829231828E-2</v>
      </c>
      <c r="T314" s="360">
        <f>T312/T313</f>
        <v>4.6207644698996075E-2</v>
      </c>
      <c r="U314" s="256"/>
      <c r="V314" s="360">
        <v>5.6583890058952167E-2</v>
      </c>
      <c r="W314" s="360">
        <f>W312/W313</f>
        <v>4.6206070035212404E-2</v>
      </c>
      <c r="X314" s="256"/>
      <c r="Y314" s="360">
        <v>5.6532839492133134E-2</v>
      </c>
      <c r="Z314" s="360">
        <f>Z312/Z313</f>
        <v>4.6152201004193434E-2</v>
      </c>
      <c r="AA314" s="256"/>
      <c r="AB314" s="360">
        <v>5.6575265163800903E-2</v>
      </c>
      <c r="AC314" s="360">
        <f>AC312/AC313</f>
        <v>4.6203696203931457E-2</v>
      </c>
      <c r="AD314" s="256"/>
      <c r="AE314" s="360">
        <v>5.6614538500242839E-2</v>
      </c>
      <c r="AF314" s="360">
        <f>AF312/AF313</f>
        <v>4.6243544106624256E-2</v>
      </c>
      <c r="AG314" s="256"/>
      <c r="AH314" s="360">
        <v>5.6338746062057875E-2</v>
      </c>
      <c r="AI314" s="360">
        <f>AI312/AI313</f>
        <v>4.5968053334120899E-2</v>
      </c>
      <c r="AJ314" s="256"/>
      <c r="AK314" s="360">
        <v>5.6522989941293775E-2</v>
      </c>
      <c r="AL314" s="360">
        <f>AL312/AL313</f>
        <v>4.615615531762636E-2</v>
      </c>
      <c r="AM314" s="256"/>
      <c r="AN314" s="360">
        <v>5.6593343103517664E-2</v>
      </c>
      <c r="AO314" s="360">
        <f>AO312/AO313</f>
        <v>4.6226784340252895E-2</v>
      </c>
      <c r="AP314" s="256"/>
      <c r="AQ314" s="360">
        <v>5.7337339349072577E-2</v>
      </c>
      <c r="AR314" s="360">
        <f>AR312/AR313</f>
        <v>4.6981661790924521E-2</v>
      </c>
      <c r="AS314" s="256"/>
      <c r="AT314" s="360">
        <v>5.7321254974751774E-2</v>
      </c>
      <c r="AU314" s="360">
        <f>AU312/AU313</f>
        <v>4.6968696215439205E-2</v>
      </c>
      <c r="AV314" s="256"/>
      <c r="AW314" s="360">
        <v>5.7417666687494422E-2</v>
      </c>
      <c r="AX314" s="360">
        <f>AX312/AX313</f>
        <v>4.7066517807933209E-2</v>
      </c>
      <c r="AY314" s="256"/>
      <c r="AZ314" s="360">
        <v>5.8535270042907546E-2</v>
      </c>
      <c r="BA314" s="360">
        <f>BA312/BA313</f>
        <v>4.8171798187689074E-2</v>
      </c>
      <c r="BB314" s="256"/>
      <c r="BC314" s="360">
        <v>5.8535270042907546E-2</v>
      </c>
      <c r="BD314" s="360">
        <f>BD312/BD313</f>
        <v>4.8171798187689074E-2</v>
      </c>
      <c r="BE314" s="256"/>
      <c r="BF314" s="360">
        <v>5.887631304155317E-2</v>
      </c>
      <c r="BG314" s="360">
        <f>BG312/BG313</f>
        <v>4.8518039816023373E-2</v>
      </c>
      <c r="BH314" s="256"/>
      <c r="BI314" s="360">
        <v>5.9209148321252666E-2</v>
      </c>
      <c r="BJ314" s="360">
        <f>BJ312/BJ313</f>
        <v>4.8855948506289951E-2</v>
      </c>
      <c r="BK314" s="256"/>
      <c r="BL314" s="360">
        <v>5.9490472075682421E-2</v>
      </c>
      <c r="BM314" s="360">
        <f>BM312/BM313</f>
        <v>4.9141560415144475E-2</v>
      </c>
      <c r="BN314" s="256"/>
      <c r="BO314" s="360">
        <v>6.2419480701568011E-2</v>
      </c>
      <c r="BP314" s="360">
        <f>BP312/BP313</f>
        <v>5.2091773433867561E-2</v>
      </c>
      <c r="BQ314" s="256"/>
      <c r="BR314" s="360">
        <v>6.2074649605629313E-2</v>
      </c>
      <c r="BS314" s="360">
        <f>BS312/BS313</f>
        <v>5.1742927535709547E-2</v>
      </c>
      <c r="BT314" s="256"/>
      <c r="BU314" s="360">
        <v>6.2857617512290687E-2</v>
      </c>
      <c r="BV314" s="360">
        <f>BV312/BV313</f>
        <v>5.2387630658284924E-2</v>
      </c>
      <c r="BW314" s="256"/>
      <c r="BX314" s="360">
        <v>6.2719851508455132E-2</v>
      </c>
      <c r="BY314" s="360">
        <f>BY312/BY313</f>
        <v>5.2249800201181799E-2</v>
      </c>
      <c r="BZ314" s="256"/>
      <c r="CA314" s="360">
        <v>6.1514196261686166E-2</v>
      </c>
      <c r="CB314" s="360">
        <f>CB312/CB313</f>
        <v>5.1022422369220978E-2</v>
      </c>
      <c r="CC314" s="256"/>
      <c r="CD314" s="360">
        <v>6.1514196261686166E-2</v>
      </c>
      <c r="CE314" s="360">
        <f>CE312/CE313</f>
        <v>5.1022422369220978E-2</v>
      </c>
      <c r="CF314" s="256"/>
      <c r="CG314" s="360">
        <v>6.1555789154888095E-2</v>
      </c>
      <c r="CH314" s="360">
        <f>CH312/CH313</f>
        <v>5.1064626055728313E-2</v>
      </c>
      <c r="CI314" s="1684">
        <f t="shared" si="39"/>
        <v>4.2203686507334692E-5</v>
      </c>
      <c r="CJ314" s="360">
        <v>6.1555789154888095E-2</v>
      </c>
      <c r="CK314" s="360">
        <f>CK312/CK313</f>
        <v>5.1064626055728313E-2</v>
      </c>
      <c r="CL314" s="256"/>
      <c r="CM314" s="360">
        <v>6.2296309884157429E-2</v>
      </c>
      <c r="CN314" s="360">
        <f>CN312/CN313</f>
        <v>5.1806499388184504E-2</v>
      </c>
      <c r="CO314" s="256"/>
      <c r="CP314" s="360">
        <v>6.1908672922843577E-2</v>
      </c>
      <c r="CQ314" s="360">
        <f>CQ312/CQ313</f>
        <v>5.1413142355632123E-2</v>
      </c>
      <c r="CR314" s="256"/>
      <c r="CS314" s="360">
        <v>6.207667797635219E-2</v>
      </c>
      <c r="CT314" s="360">
        <f>CT312/CT313</f>
        <v>5.1571882446444443E-2</v>
      </c>
      <c r="CU314" s="256"/>
      <c r="CV314" s="360">
        <v>6.2164045444781428E-2</v>
      </c>
      <c r="CW314" s="360">
        <f>CW312/CW313</f>
        <v>5.1660572861769463E-2</v>
      </c>
      <c r="CX314" s="256"/>
      <c r="CY314" s="360"/>
      <c r="CZ314" s="360"/>
    </row>
    <row r="315" spans="1:104">
      <c r="A315" s="260">
        <f t="shared" si="38"/>
        <v>308</v>
      </c>
      <c r="B315" s="260"/>
      <c r="D315" s="266"/>
      <c r="E315" s="265"/>
      <c r="F315" s="264"/>
      <c r="G315" s="454"/>
      <c r="H315" s="267"/>
      <c r="I315" s="268"/>
      <c r="J315" s="267"/>
      <c r="K315" s="29"/>
      <c r="M315" s="1624"/>
      <c r="N315" s="1640"/>
      <c r="O315" s="1640"/>
      <c r="Q315" s="29"/>
      <c r="R315" s="256"/>
      <c r="S315" s="29"/>
      <c r="T315" s="256"/>
      <c r="U315" s="256"/>
      <c r="V315" s="29"/>
      <c r="W315" s="256"/>
      <c r="X315" s="256"/>
      <c r="Y315" s="29"/>
      <c r="Z315" s="256"/>
      <c r="AA315" s="256"/>
      <c r="AB315" s="29"/>
      <c r="AC315" s="256"/>
      <c r="AD315" s="256"/>
      <c r="AE315" s="29"/>
      <c r="AF315" s="256"/>
      <c r="AG315" s="256"/>
      <c r="AH315" s="29"/>
      <c r="AI315" s="256"/>
      <c r="AJ315" s="256"/>
      <c r="AK315" s="29"/>
      <c r="AL315" s="256"/>
      <c r="AM315" s="256"/>
      <c r="AN315" s="29"/>
      <c r="AO315" s="256"/>
      <c r="AP315" s="256"/>
      <c r="AQ315" s="29"/>
      <c r="AR315" s="256"/>
      <c r="AS315" s="256"/>
      <c r="AT315" s="29"/>
      <c r="AU315" s="256"/>
      <c r="AV315" s="256"/>
      <c r="AW315" s="29"/>
      <c r="AX315" s="256"/>
      <c r="AY315" s="256"/>
      <c r="AZ315" s="29"/>
      <c r="BA315" s="256"/>
      <c r="BB315" s="256"/>
      <c r="BC315" s="29"/>
      <c r="BD315" s="256"/>
      <c r="BE315" s="256"/>
      <c r="BF315" s="29"/>
      <c r="BG315" s="256"/>
      <c r="BH315" s="256"/>
      <c r="BI315" s="29"/>
      <c r="BJ315" s="256"/>
      <c r="BK315" s="256"/>
      <c r="BL315" s="29"/>
      <c r="BM315" s="256"/>
      <c r="BN315" s="256"/>
      <c r="BO315" s="29"/>
      <c r="BP315" s="256"/>
      <c r="BQ315" s="256"/>
      <c r="BR315" s="29"/>
      <c r="BS315" s="256"/>
      <c r="BT315" s="256"/>
      <c r="BU315" s="29"/>
      <c r="BV315" s="256"/>
      <c r="BW315" s="256"/>
      <c r="BX315" s="29"/>
      <c r="BY315" s="256"/>
      <c r="BZ315" s="256"/>
      <c r="CA315" s="29"/>
      <c r="CB315" s="256"/>
      <c r="CC315" s="256"/>
      <c r="CD315" s="29"/>
      <c r="CE315" s="256"/>
      <c r="CF315" s="256"/>
      <c r="CG315" s="29"/>
      <c r="CH315" s="256"/>
      <c r="CI315" s="1684">
        <f t="shared" si="39"/>
        <v>0</v>
      </c>
      <c r="CJ315" s="29"/>
      <c r="CK315" s="256"/>
      <c r="CL315" s="256"/>
      <c r="CM315" s="29"/>
      <c r="CN315" s="256"/>
      <c r="CO315" s="256"/>
      <c r="CP315" s="29"/>
      <c r="CQ315" s="256"/>
      <c r="CR315" s="256"/>
      <c r="CS315" s="29"/>
      <c r="CT315" s="256"/>
      <c r="CU315" s="256"/>
      <c r="CV315" s="29"/>
      <c r="CW315" s="256"/>
      <c r="CX315" s="256"/>
      <c r="CY315" s="29"/>
      <c r="CZ315" s="256"/>
    </row>
    <row r="316" spans="1:104">
      <c r="A316" s="260">
        <f t="shared" si="38"/>
        <v>309</v>
      </c>
      <c r="B316" s="260"/>
      <c r="C316" s="275" t="s">
        <v>227</v>
      </c>
      <c r="D316" s="266"/>
      <c r="E316" s="265"/>
      <c r="F316" s="264"/>
      <c r="G316" s="454"/>
      <c r="H316" s="267"/>
      <c r="I316" s="268"/>
      <c r="J316" s="267"/>
      <c r="K316" s="29"/>
      <c r="M316" s="1624"/>
      <c r="N316" s="1120"/>
      <c r="O316" s="1120"/>
      <c r="Q316" s="29"/>
      <c r="R316" s="256"/>
      <c r="S316" s="29"/>
      <c r="T316" s="256"/>
      <c r="U316" s="256"/>
      <c r="V316" s="29"/>
      <c r="W316" s="256"/>
      <c r="X316" s="256"/>
      <c r="Y316" s="29"/>
      <c r="Z316" s="256"/>
      <c r="AA316" s="256"/>
      <c r="AB316" s="29"/>
      <c r="AC316" s="256"/>
      <c r="AD316" s="256"/>
      <c r="AE316" s="29"/>
      <c r="AF316" s="256"/>
      <c r="AG316" s="256"/>
      <c r="AH316" s="29"/>
      <c r="AI316" s="256"/>
      <c r="AJ316" s="256"/>
      <c r="AK316" s="29"/>
      <c r="AL316" s="256"/>
      <c r="AM316" s="256"/>
      <c r="AN316" s="29"/>
      <c r="AO316" s="256"/>
      <c r="AP316" s="256"/>
      <c r="AQ316" s="29"/>
      <c r="AR316" s="256"/>
      <c r="AS316" s="256"/>
      <c r="AT316" s="29"/>
      <c r="AU316" s="256"/>
      <c r="AV316" s="256"/>
      <c r="AW316" s="29"/>
      <c r="AX316" s="256"/>
      <c r="AY316" s="256"/>
      <c r="AZ316" s="29"/>
      <c r="BA316" s="256"/>
      <c r="BB316" s="256"/>
      <c r="BC316" s="29"/>
      <c r="BD316" s="256"/>
      <c r="BE316" s="256"/>
      <c r="BF316" s="29"/>
      <c r="BG316" s="256"/>
      <c r="BH316" s="256"/>
      <c r="BI316" s="29"/>
      <c r="BJ316" s="256"/>
      <c r="BK316" s="256"/>
      <c r="BL316" s="29"/>
      <c r="BM316" s="256"/>
      <c r="BN316" s="256"/>
      <c r="BO316" s="29"/>
      <c r="BP316" s="256"/>
      <c r="BQ316" s="256"/>
      <c r="BR316" s="29"/>
      <c r="BS316" s="256"/>
      <c r="BT316" s="256"/>
      <c r="BU316" s="29"/>
      <c r="BV316" s="256"/>
      <c r="BW316" s="256"/>
      <c r="BX316" s="29"/>
      <c r="BY316" s="256"/>
      <c r="BZ316" s="256"/>
      <c r="CA316" s="29"/>
      <c r="CB316" s="256"/>
      <c r="CC316" s="256"/>
      <c r="CD316" s="29"/>
      <c r="CE316" s="256"/>
      <c r="CF316" s="256"/>
      <c r="CG316" s="29"/>
      <c r="CH316" s="256"/>
      <c r="CI316" s="1684">
        <f t="shared" si="39"/>
        <v>0</v>
      </c>
      <c r="CJ316" s="29"/>
      <c r="CK316" s="256"/>
      <c r="CL316" s="256"/>
      <c r="CM316" s="29"/>
      <c r="CN316" s="256"/>
      <c r="CO316" s="256"/>
      <c r="CP316" s="29"/>
      <c r="CQ316" s="256"/>
      <c r="CR316" s="256"/>
      <c r="CS316" s="29"/>
      <c r="CT316" s="256"/>
      <c r="CU316" s="256"/>
      <c r="CV316" s="29"/>
      <c r="CW316" s="256"/>
      <c r="CX316" s="256"/>
      <c r="CY316" s="29"/>
      <c r="CZ316" s="256"/>
    </row>
    <row r="317" spans="1:104">
      <c r="A317" s="260">
        <f t="shared" si="38"/>
        <v>310</v>
      </c>
      <c r="B317" s="260"/>
      <c r="D317" s="266"/>
      <c r="E317" s="265"/>
      <c r="F317" s="264"/>
      <c r="G317" s="454"/>
      <c r="H317" s="267"/>
      <c r="I317" s="268"/>
      <c r="J317" s="267"/>
      <c r="K317" s="29"/>
      <c r="M317" s="1624"/>
      <c r="N317" s="1120"/>
      <c r="O317" s="1120"/>
      <c r="Q317" s="29"/>
      <c r="R317" s="256"/>
      <c r="S317" s="29"/>
      <c r="T317" s="256"/>
      <c r="U317" s="256"/>
      <c r="V317" s="29"/>
      <c r="W317" s="256"/>
      <c r="X317" s="256"/>
      <c r="Y317" s="29"/>
      <c r="Z317" s="256"/>
      <c r="AA317" s="256"/>
      <c r="AB317" s="29"/>
      <c r="AC317" s="256"/>
      <c r="AD317" s="256"/>
      <c r="AE317" s="29"/>
      <c r="AF317" s="256"/>
      <c r="AG317" s="256"/>
      <c r="AH317" s="29"/>
      <c r="AI317" s="256"/>
      <c r="AJ317" s="256"/>
      <c r="AK317" s="29"/>
      <c r="AL317" s="256"/>
      <c r="AM317" s="256"/>
      <c r="AN317" s="29"/>
      <c r="AO317" s="256"/>
      <c r="AP317" s="256"/>
      <c r="AQ317" s="29"/>
      <c r="AR317" s="256"/>
      <c r="AS317" s="256"/>
      <c r="AT317" s="29"/>
      <c r="AU317" s="256"/>
      <c r="AV317" s="256"/>
      <c r="AW317" s="29"/>
      <c r="AX317" s="256"/>
      <c r="AY317" s="256"/>
      <c r="AZ317" s="29"/>
      <c r="BA317" s="256"/>
      <c r="BB317" s="256"/>
      <c r="BC317" s="29"/>
      <c r="BD317" s="256"/>
      <c r="BE317" s="256"/>
      <c r="BF317" s="29"/>
      <c r="BG317" s="256"/>
      <c r="BH317" s="256"/>
      <c r="BI317" s="29"/>
      <c r="BJ317" s="256"/>
      <c r="BK317" s="256"/>
      <c r="BL317" s="29"/>
      <c r="BM317" s="256"/>
      <c r="BN317" s="256"/>
      <c r="BO317" s="29"/>
      <c r="BP317" s="256"/>
      <c r="BQ317" s="256"/>
      <c r="BR317" s="29"/>
      <c r="BS317" s="256"/>
      <c r="BT317" s="256"/>
      <c r="BU317" s="29"/>
      <c r="BV317" s="256"/>
      <c r="BW317" s="256"/>
      <c r="BX317" s="29"/>
      <c r="BY317" s="256"/>
      <c r="BZ317" s="256"/>
      <c r="CA317" s="29"/>
      <c r="CB317" s="256"/>
      <c r="CC317" s="256"/>
      <c r="CD317" s="29"/>
      <c r="CE317" s="256"/>
      <c r="CF317" s="256"/>
      <c r="CG317" s="29"/>
      <c r="CH317" s="256"/>
      <c r="CI317" s="1684">
        <f t="shared" si="39"/>
        <v>0</v>
      </c>
      <c r="CJ317" s="29"/>
      <c r="CK317" s="256"/>
      <c r="CL317" s="256"/>
      <c r="CM317" s="29"/>
      <c r="CN317" s="256"/>
      <c r="CO317" s="256"/>
      <c r="CP317" s="29"/>
      <c r="CQ317" s="256"/>
      <c r="CR317" s="256"/>
      <c r="CS317" s="29"/>
      <c r="CT317" s="256"/>
      <c r="CU317" s="256"/>
      <c r="CV317" s="29"/>
      <c r="CW317" s="256"/>
      <c r="CX317" s="256"/>
      <c r="CY317" s="29"/>
      <c r="CZ317" s="256"/>
    </row>
    <row r="318" spans="1:104">
      <c r="A318" s="260">
        <f t="shared" si="38"/>
        <v>311</v>
      </c>
      <c r="B318" s="260"/>
      <c r="C318" s="256" t="s">
        <v>681</v>
      </c>
      <c r="D318" s="266"/>
      <c r="E318" s="265"/>
      <c r="F318" s="264"/>
      <c r="G318" s="353">
        <f>G297</f>
        <v>214623486.08000001</v>
      </c>
      <c r="H318" s="311"/>
      <c r="I318" s="312"/>
      <c r="J318" s="311"/>
      <c r="K318" s="310">
        <f>K297</f>
        <v>141375984.50891411</v>
      </c>
      <c r="M318" s="1630" t="s">
        <v>1528</v>
      </c>
      <c r="N318" s="1117">
        <f>N297</f>
        <v>175134759.7986469</v>
      </c>
      <c r="O318" s="1117">
        <v>115364117.60191412</v>
      </c>
      <c r="Q318" s="310">
        <v>141311437.50891411</v>
      </c>
      <c r="R318" s="256"/>
      <c r="S318" s="310">
        <v>141375984.50891411</v>
      </c>
      <c r="T318" s="310">
        <f>T297</f>
        <v>115364117.60191412</v>
      </c>
      <c r="U318" s="256"/>
      <c r="V318" s="310">
        <v>141375984.50891411</v>
      </c>
      <c r="W318" s="310">
        <f>W297</f>
        <v>115364117.60191412</v>
      </c>
      <c r="X318" s="256"/>
      <c r="Y318" s="310">
        <v>141375984.50891411</v>
      </c>
      <c r="Z318" s="310">
        <f>Z297</f>
        <v>115364117.60191412</v>
      </c>
      <c r="AA318" s="256"/>
      <c r="AB318" s="310">
        <v>141375984.50891411</v>
      </c>
      <c r="AC318" s="310">
        <f>AC297</f>
        <v>115364117.60191412</v>
      </c>
      <c r="AD318" s="256"/>
      <c r="AE318" s="310">
        <v>141375984.50891411</v>
      </c>
      <c r="AF318" s="310">
        <f>AF297</f>
        <v>115364117.60191412</v>
      </c>
      <c r="AG318" s="256"/>
      <c r="AH318" s="310">
        <v>141375984.50891411</v>
      </c>
      <c r="AI318" s="310">
        <f>AI297</f>
        <v>115364117.60191412</v>
      </c>
      <c r="AJ318" s="256"/>
      <c r="AK318" s="310">
        <v>141375984.50891411</v>
      </c>
      <c r="AL318" s="310">
        <f>AL297</f>
        <v>115364117.60191412</v>
      </c>
      <c r="AM318" s="256"/>
      <c r="AN318" s="310">
        <v>141375984.50891411</v>
      </c>
      <c r="AO318" s="310">
        <f>AO297</f>
        <v>115364117.60191412</v>
      </c>
      <c r="AP318" s="256"/>
      <c r="AQ318" s="310">
        <v>141375984.50891411</v>
      </c>
      <c r="AR318" s="310">
        <f>AR297</f>
        <v>115364117.60191412</v>
      </c>
      <c r="AS318" s="256"/>
      <c r="AT318" s="310">
        <v>141375984.50891411</v>
      </c>
      <c r="AU318" s="310">
        <f>AU297</f>
        <v>115364117.60191412</v>
      </c>
      <c r="AV318" s="256"/>
      <c r="AW318" s="310">
        <v>141375984.50891411</v>
      </c>
      <c r="AX318" s="310">
        <f>AX297</f>
        <v>115364117.60191412</v>
      </c>
      <c r="AY318" s="256"/>
      <c r="AZ318" s="310">
        <v>141375984.50891411</v>
      </c>
      <c r="BA318" s="310">
        <f>BA297</f>
        <v>115364117.60191412</v>
      </c>
      <c r="BB318" s="256"/>
      <c r="BC318" s="310">
        <v>141375984.50891411</v>
      </c>
      <c r="BD318" s="310">
        <f>BD297</f>
        <v>115364117.60191412</v>
      </c>
      <c r="BE318" s="256"/>
      <c r="BF318" s="310">
        <v>141375984.50891411</v>
      </c>
      <c r="BG318" s="310">
        <f>BG297</f>
        <v>115364117.60191412</v>
      </c>
      <c r="BH318" s="256"/>
      <c r="BI318" s="310">
        <v>141375984.50891411</v>
      </c>
      <c r="BJ318" s="310">
        <f>BJ297</f>
        <v>115364117.60191412</v>
      </c>
      <c r="BK318" s="256"/>
      <c r="BL318" s="310">
        <v>141375984.50891411</v>
      </c>
      <c r="BM318" s="310">
        <f>BM297</f>
        <v>115364117.60191412</v>
      </c>
      <c r="BN318" s="256"/>
      <c r="BO318" s="310">
        <v>141375984.50891411</v>
      </c>
      <c r="BP318" s="310">
        <f>BP297</f>
        <v>115364117.60191412</v>
      </c>
      <c r="BQ318" s="256"/>
      <c r="BR318" s="310">
        <v>141375984.50891411</v>
      </c>
      <c r="BS318" s="310">
        <f>BS297</f>
        <v>115364117.60191412</v>
      </c>
      <c r="BT318" s="256"/>
      <c r="BU318" s="310">
        <v>141375984.50891411</v>
      </c>
      <c r="BV318" s="310">
        <f>BV297</f>
        <v>115364117.60191412</v>
      </c>
      <c r="BW318" s="256"/>
      <c r="BX318" s="310">
        <v>141375984.50891411</v>
      </c>
      <c r="BY318" s="310">
        <f>BY297</f>
        <v>115364117.60191412</v>
      </c>
      <c r="BZ318" s="256"/>
      <c r="CA318" s="310">
        <v>141375984.50891411</v>
      </c>
      <c r="CB318" s="310">
        <f>CB297</f>
        <v>115364117.60191412</v>
      </c>
      <c r="CC318" s="256"/>
      <c r="CD318" s="310">
        <v>141375984.50891411</v>
      </c>
      <c r="CE318" s="310">
        <f>CE297</f>
        <v>115364117.60191412</v>
      </c>
      <c r="CF318" s="256"/>
      <c r="CG318" s="310">
        <v>141375984.50891411</v>
      </c>
      <c r="CH318" s="310">
        <f>CH297</f>
        <v>115364117.60191412</v>
      </c>
      <c r="CI318" s="1684">
        <f t="shared" si="39"/>
        <v>0</v>
      </c>
      <c r="CJ318" s="310">
        <v>141375984.50891411</v>
      </c>
      <c r="CK318" s="310">
        <f>CK297</f>
        <v>115364117.60191412</v>
      </c>
      <c r="CL318" s="256"/>
      <c r="CM318" s="310">
        <v>141375984.50891411</v>
      </c>
      <c r="CN318" s="310">
        <f>CN297</f>
        <v>115364117.60191412</v>
      </c>
      <c r="CO318" s="256"/>
      <c r="CP318" s="310">
        <v>141375984.50891411</v>
      </c>
      <c r="CQ318" s="310">
        <f>CQ297</f>
        <v>115364117.60191412</v>
      </c>
      <c r="CR318" s="256"/>
      <c r="CS318" s="310">
        <v>141375984.50891411</v>
      </c>
      <c r="CT318" s="310">
        <f>CT297</f>
        <v>115364117.60191412</v>
      </c>
      <c r="CU318" s="256"/>
      <c r="CV318" s="310">
        <v>141375984.50891411</v>
      </c>
      <c r="CW318" s="310">
        <f>CW297</f>
        <v>115364117.60191412</v>
      </c>
      <c r="CX318" s="256"/>
      <c r="CY318" s="310"/>
      <c r="CZ318" s="310"/>
    </row>
    <row r="319" spans="1:104">
      <c r="A319" s="260">
        <f t="shared" si="38"/>
        <v>312</v>
      </c>
      <c r="B319" s="260"/>
      <c r="C319" s="256" t="s">
        <v>316</v>
      </c>
      <c r="D319" s="266"/>
      <c r="E319" s="265"/>
      <c r="F319" s="264"/>
      <c r="G319" s="454">
        <f>+G294</f>
        <v>4280727.1499999994</v>
      </c>
      <c r="H319" s="276"/>
      <c r="I319" s="277"/>
      <c r="J319" s="276"/>
      <c r="K319" s="693">
        <f>+K294</f>
        <v>5667962.7734283386</v>
      </c>
      <c r="M319" s="1630" t="s">
        <v>1528</v>
      </c>
      <c r="N319" s="1118">
        <f>+N294</f>
        <v>3824182.4890675289</v>
      </c>
      <c r="O319" s="1118">
        <v>4997492.4077305757</v>
      </c>
      <c r="Q319" s="1733">
        <v>5303430.8478733655</v>
      </c>
      <c r="R319" s="256"/>
      <c r="S319" s="1733">
        <v>5692856.8478733655</v>
      </c>
      <c r="T319" s="1733">
        <f>+T294</f>
        <v>5014939.9299179614</v>
      </c>
      <c r="U319" s="256"/>
      <c r="V319" s="1733">
        <v>5692856.8478733655</v>
      </c>
      <c r="W319" s="1733">
        <f>+W294</f>
        <v>5014939.9299179614</v>
      </c>
      <c r="X319" s="256"/>
      <c r="Y319" s="1733">
        <v>5692856.8478733655</v>
      </c>
      <c r="Z319" s="1733">
        <f>+Z294</f>
        <v>5014975.8728101812</v>
      </c>
      <c r="AA319" s="256"/>
      <c r="AB319" s="1733">
        <v>5692856.8478733655</v>
      </c>
      <c r="AC319" s="1733">
        <f>+AC294</f>
        <v>5014672.9954505404</v>
      </c>
      <c r="AD319" s="256"/>
      <c r="AE319" s="1733">
        <v>5692856.8478733655</v>
      </c>
      <c r="AF319" s="1733">
        <f>+AF294</f>
        <v>5014672.9954505404</v>
      </c>
      <c r="AG319" s="256"/>
      <c r="AH319" s="1733">
        <v>5686900.2553420486</v>
      </c>
      <c r="AI319" s="1733">
        <f>+AI294</f>
        <v>5009543.4776411289</v>
      </c>
      <c r="AJ319" s="256"/>
      <c r="AK319" s="1733">
        <v>5686900.2553420486</v>
      </c>
      <c r="AL319" s="1733">
        <f>+AL294</f>
        <v>5009501.716012774</v>
      </c>
      <c r="AM319" s="256"/>
      <c r="AN319" s="1733">
        <v>5686900.2553420486</v>
      </c>
      <c r="AO319" s="1733">
        <f>+AO294</f>
        <v>5009525.6343394816</v>
      </c>
      <c r="AP319" s="256"/>
      <c r="AQ319" s="1733">
        <v>5686900.2553420486</v>
      </c>
      <c r="AR319" s="1733">
        <f>+AR294</f>
        <v>5009525.6343394816</v>
      </c>
      <c r="AS319" s="256"/>
      <c r="AT319" s="1733">
        <v>5686900.2553420486</v>
      </c>
      <c r="AU319" s="1733">
        <f>+AU294</f>
        <v>5009525.6343394816</v>
      </c>
      <c r="AV319" s="256"/>
      <c r="AW319" s="1733">
        <v>5686900.2553420486</v>
      </c>
      <c r="AX319" s="1733">
        <f>+AX294</f>
        <v>5009525.6343394816</v>
      </c>
      <c r="AY319" s="256"/>
      <c r="AZ319" s="1733">
        <v>5686900.2553420486</v>
      </c>
      <c r="BA319" s="1733">
        <f>+BA294</f>
        <v>5009525.6343394816</v>
      </c>
      <c r="BB319" s="256"/>
      <c r="BC319" s="1733">
        <v>5686900.2553420486</v>
      </c>
      <c r="BD319" s="1733">
        <f>+BD294</f>
        <v>5009525.6343394816</v>
      </c>
      <c r="BE319" s="256"/>
      <c r="BF319" s="1733">
        <v>5686900.2553420486</v>
      </c>
      <c r="BG319" s="1733">
        <f>+BG294</f>
        <v>5009525.6343394816</v>
      </c>
      <c r="BH319" s="256"/>
      <c r="BI319" s="1733">
        <v>5686900.2553420486</v>
      </c>
      <c r="BJ319" s="1733">
        <f>+BJ294</f>
        <v>5009525.6343394816</v>
      </c>
      <c r="BK319" s="256"/>
      <c r="BL319" s="1733">
        <v>5686900.2553420486</v>
      </c>
      <c r="BM319" s="1733">
        <f>+BM294</f>
        <v>5009525.6343394816</v>
      </c>
      <c r="BN319" s="256"/>
      <c r="BO319" s="1733">
        <v>5686900.2553420486</v>
      </c>
      <c r="BP319" s="1733">
        <f>+BP294</f>
        <v>5009525.6343394816</v>
      </c>
      <c r="BQ319" s="256"/>
      <c r="BR319" s="1733">
        <v>5667962.7734283386</v>
      </c>
      <c r="BS319" s="1733">
        <f>+BS294</f>
        <v>4993217.6377686774</v>
      </c>
      <c r="BT319" s="256"/>
      <c r="BU319" s="1733">
        <v>5667962.7734283386</v>
      </c>
      <c r="BV319" s="1733">
        <f>+BV294</f>
        <v>4993217.6377686774</v>
      </c>
      <c r="BW319" s="256"/>
      <c r="BX319" s="1733">
        <v>5667962.7734283386</v>
      </c>
      <c r="BY319" s="1733">
        <f>+BY294</f>
        <v>4993217.6377686774</v>
      </c>
      <c r="BZ319" s="256"/>
      <c r="CA319" s="1733">
        <v>5667962.7734283386</v>
      </c>
      <c r="CB319" s="1733">
        <f>+CB294</f>
        <v>4996752.1759566525</v>
      </c>
      <c r="CC319" s="256"/>
      <c r="CD319" s="1733">
        <v>5667962.7734283386</v>
      </c>
      <c r="CE319" s="1733">
        <f>+CE294</f>
        <v>4996752.1759566525</v>
      </c>
      <c r="CF319" s="256"/>
      <c r="CG319" s="1733">
        <v>5667962.7734283386</v>
      </c>
      <c r="CH319" s="1733">
        <f>+CH294</f>
        <v>4996752.1759566525</v>
      </c>
      <c r="CI319" s="1684">
        <f t="shared" si="39"/>
        <v>0</v>
      </c>
      <c r="CJ319" s="1733">
        <v>5667962.7734283386</v>
      </c>
      <c r="CK319" s="1733">
        <f>+CK294</f>
        <v>4996752.1759566525</v>
      </c>
      <c r="CL319" s="256"/>
      <c r="CM319" s="1733">
        <v>5667962.7734283386</v>
      </c>
      <c r="CN319" s="1733">
        <f>+CN294</f>
        <v>4997065.0901245438</v>
      </c>
      <c r="CO319" s="256"/>
      <c r="CP319" s="693">
        <v>5667962.7734283386</v>
      </c>
      <c r="CQ319" s="1733">
        <f>+CQ294</f>
        <v>4997065.0901245438</v>
      </c>
      <c r="CR319" s="256"/>
      <c r="CS319" s="693">
        <v>5667962.7734283386</v>
      </c>
      <c r="CT319" s="1733">
        <f>+CT294</f>
        <v>4997492.4077305757</v>
      </c>
      <c r="CU319" s="256"/>
      <c r="CV319" s="1733">
        <v>5667962.7734283386</v>
      </c>
      <c r="CW319" s="1733">
        <f>+CW294</f>
        <v>4997492.4077305757</v>
      </c>
      <c r="CX319" s="256"/>
      <c r="CY319" s="1733"/>
      <c r="CZ319" s="1733"/>
    </row>
    <row r="320" spans="1:104">
      <c r="A320" s="260">
        <f t="shared" si="38"/>
        <v>313</v>
      </c>
      <c r="B320" s="260"/>
      <c r="D320" s="266"/>
      <c r="E320" s="265"/>
      <c r="F320" s="264"/>
      <c r="G320" s="454"/>
      <c r="H320" s="267"/>
      <c r="I320" s="268"/>
      <c r="J320" s="267"/>
      <c r="K320" s="269"/>
      <c r="M320" s="1624"/>
      <c r="N320" s="1640"/>
      <c r="O320" s="1640"/>
      <c r="Q320" s="269"/>
      <c r="R320" s="256"/>
      <c r="S320" s="269"/>
      <c r="T320" s="269"/>
      <c r="U320" s="256"/>
      <c r="V320" s="269"/>
      <c r="W320" s="269"/>
      <c r="X320" s="256"/>
      <c r="Y320" s="269"/>
      <c r="Z320" s="269"/>
      <c r="AA320" s="256"/>
      <c r="AB320" s="269"/>
      <c r="AC320" s="269"/>
      <c r="AD320" s="256"/>
      <c r="AE320" s="269"/>
      <c r="AF320" s="269"/>
      <c r="AG320" s="256"/>
      <c r="AH320" s="269"/>
      <c r="AI320" s="269"/>
      <c r="AJ320" s="256"/>
      <c r="AK320" s="269"/>
      <c r="AL320" s="269"/>
      <c r="AM320" s="256"/>
      <c r="AN320" s="269"/>
      <c r="AO320" s="269"/>
      <c r="AP320" s="256"/>
      <c r="AQ320" s="269"/>
      <c r="AR320" s="269"/>
      <c r="AS320" s="256"/>
      <c r="AT320" s="269"/>
      <c r="AU320" s="269"/>
      <c r="AV320" s="256"/>
      <c r="AW320" s="269"/>
      <c r="AX320" s="269"/>
      <c r="AY320" s="256"/>
      <c r="AZ320" s="269"/>
      <c r="BA320" s="269"/>
      <c r="BB320" s="256"/>
      <c r="BC320" s="269"/>
      <c r="BD320" s="269"/>
      <c r="BE320" s="256"/>
      <c r="BF320" s="269"/>
      <c r="BG320" s="269"/>
      <c r="BH320" s="256"/>
      <c r="BI320" s="269"/>
      <c r="BJ320" s="269"/>
      <c r="BK320" s="256"/>
      <c r="BL320" s="269"/>
      <c r="BM320" s="269"/>
      <c r="BN320" s="256"/>
      <c r="BO320" s="269"/>
      <c r="BP320" s="269"/>
      <c r="BQ320" s="256"/>
      <c r="BR320" s="269"/>
      <c r="BS320" s="269"/>
      <c r="BT320" s="256"/>
      <c r="BU320" s="269"/>
      <c r="BV320" s="269"/>
      <c r="BW320" s="256"/>
      <c r="BX320" s="269"/>
      <c r="BY320" s="269"/>
      <c r="BZ320" s="256"/>
      <c r="CA320" s="269"/>
      <c r="CB320" s="269"/>
      <c r="CC320" s="256"/>
      <c r="CD320" s="269"/>
      <c r="CE320" s="269"/>
      <c r="CF320" s="256"/>
      <c r="CG320" s="269"/>
      <c r="CH320" s="269"/>
      <c r="CI320" s="1684">
        <f t="shared" si="39"/>
        <v>0</v>
      </c>
      <c r="CJ320" s="269"/>
      <c r="CK320" s="269"/>
      <c r="CL320" s="256"/>
      <c r="CM320" s="269"/>
      <c r="CN320" s="269"/>
      <c r="CO320" s="256"/>
      <c r="CP320" s="269"/>
      <c r="CQ320" s="269"/>
      <c r="CR320" s="256"/>
      <c r="CS320" s="269"/>
      <c r="CT320" s="269"/>
      <c r="CU320" s="256"/>
      <c r="CV320" s="269"/>
      <c r="CW320" s="269"/>
      <c r="CX320" s="256"/>
      <c r="CY320" s="269"/>
      <c r="CZ320" s="269"/>
    </row>
    <row r="321" spans="1:105">
      <c r="A321" s="260">
        <f t="shared" si="38"/>
        <v>314</v>
      </c>
      <c r="B321" s="260"/>
      <c r="C321" s="272" t="s">
        <v>259</v>
      </c>
      <c r="D321" s="266"/>
      <c r="E321" s="265"/>
      <c r="F321" s="264"/>
      <c r="G321" s="747">
        <f>SUM(G318:G320)</f>
        <v>218904213.23000002</v>
      </c>
      <c r="H321" s="276"/>
      <c r="I321" s="277"/>
      <c r="J321" s="276"/>
      <c r="K321" s="282">
        <f>SUM(K318:K320)</f>
        <v>147043947.28234246</v>
      </c>
      <c r="M321" s="1630" t="s">
        <v>1528</v>
      </c>
      <c r="N321" s="1119">
        <f>SUM(N318:N320)</f>
        <v>178958942.28771442</v>
      </c>
      <c r="O321" s="1119">
        <v>120361610.0096447</v>
      </c>
      <c r="Q321" s="282">
        <v>146614868.35678747</v>
      </c>
      <c r="R321" s="256"/>
      <c r="S321" s="282">
        <v>147068841.35678747</v>
      </c>
      <c r="T321" s="282">
        <f>SUM(T318:T320)</f>
        <v>120379057.53183208</v>
      </c>
      <c r="U321" s="256"/>
      <c r="V321" s="282">
        <v>147068841.35678747</v>
      </c>
      <c r="W321" s="282">
        <f>SUM(W318:W320)</f>
        <v>120379057.53183208</v>
      </c>
      <c r="X321" s="256"/>
      <c r="Y321" s="282">
        <v>147068841.35678747</v>
      </c>
      <c r="Z321" s="282">
        <f>SUM(Z318:Z320)</f>
        <v>120379093.47472431</v>
      </c>
      <c r="AA321" s="256"/>
      <c r="AB321" s="282">
        <v>147068841.35678747</v>
      </c>
      <c r="AC321" s="282">
        <f>SUM(AC318:AC320)</f>
        <v>120378790.59736466</v>
      </c>
      <c r="AD321" s="256"/>
      <c r="AE321" s="282">
        <v>147068841.35678747</v>
      </c>
      <c r="AF321" s="282">
        <f>SUM(AF318:AF320)</f>
        <v>120378790.59736466</v>
      </c>
      <c r="AG321" s="256"/>
      <c r="AH321" s="282">
        <v>147062884.76425615</v>
      </c>
      <c r="AI321" s="282">
        <f>SUM(AI318:AI320)</f>
        <v>120373661.07955526</v>
      </c>
      <c r="AJ321" s="256"/>
      <c r="AK321" s="282">
        <v>147062884.76425615</v>
      </c>
      <c r="AL321" s="282">
        <f>SUM(AL318:AL320)</f>
        <v>120373619.3179269</v>
      </c>
      <c r="AM321" s="256"/>
      <c r="AN321" s="282">
        <v>147062884.76425615</v>
      </c>
      <c r="AO321" s="282">
        <f>SUM(AO318:AO320)</f>
        <v>120373643.2362536</v>
      </c>
      <c r="AP321" s="256"/>
      <c r="AQ321" s="282">
        <v>147062884.76425615</v>
      </c>
      <c r="AR321" s="282">
        <f>SUM(AR318:AR320)</f>
        <v>120373643.2362536</v>
      </c>
      <c r="AS321" s="256"/>
      <c r="AT321" s="282">
        <v>147062884.76425615</v>
      </c>
      <c r="AU321" s="282">
        <f>SUM(AU318:AU320)</f>
        <v>120373643.2362536</v>
      </c>
      <c r="AV321" s="256"/>
      <c r="AW321" s="282">
        <v>147062884.76425615</v>
      </c>
      <c r="AX321" s="282">
        <f>SUM(AX318:AX320)</f>
        <v>120373643.2362536</v>
      </c>
      <c r="AY321" s="256"/>
      <c r="AZ321" s="282">
        <v>147062884.76425615</v>
      </c>
      <c r="BA321" s="282">
        <f>SUM(BA318:BA320)</f>
        <v>120373643.2362536</v>
      </c>
      <c r="BB321" s="256"/>
      <c r="BC321" s="282">
        <v>147062884.76425615</v>
      </c>
      <c r="BD321" s="282">
        <f>SUM(BD318:BD320)</f>
        <v>120373643.2362536</v>
      </c>
      <c r="BE321" s="256"/>
      <c r="BF321" s="282">
        <v>147062884.76425615</v>
      </c>
      <c r="BG321" s="282">
        <f>SUM(BG318:BG320)</f>
        <v>120373643.2362536</v>
      </c>
      <c r="BH321" s="256"/>
      <c r="BI321" s="282">
        <v>147062884.76425615</v>
      </c>
      <c r="BJ321" s="282">
        <f>SUM(BJ318:BJ320)</f>
        <v>120373643.2362536</v>
      </c>
      <c r="BK321" s="256"/>
      <c r="BL321" s="282">
        <v>147062884.76425615</v>
      </c>
      <c r="BM321" s="282">
        <f>SUM(BM318:BM320)</f>
        <v>120373643.2362536</v>
      </c>
      <c r="BN321" s="256"/>
      <c r="BO321" s="282">
        <v>147062884.76425615</v>
      </c>
      <c r="BP321" s="282">
        <f>SUM(BP318:BP320)</f>
        <v>120373643.2362536</v>
      </c>
      <c r="BQ321" s="256"/>
      <c r="BR321" s="282">
        <v>147043947.28234246</v>
      </c>
      <c r="BS321" s="282">
        <f>SUM(BS318:BS320)</f>
        <v>120357335.23968279</v>
      </c>
      <c r="BT321" s="256"/>
      <c r="BU321" s="282">
        <v>147043947.28234246</v>
      </c>
      <c r="BV321" s="282">
        <f>SUM(BV318:BV320)</f>
        <v>120357335.23968279</v>
      </c>
      <c r="BW321" s="256"/>
      <c r="BX321" s="282">
        <v>147043947.28234246</v>
      </c>
      <c r="BY321" s="282">
        <f>SUM(BY318:BY320)</f>
        <v>120357335.23968279</v>
      </c>
      <c r="BZ321" s="256"/>
      <c r="CA321" s="282">
        <v>147043947.28234246</v>
      </c>
      <c r="CB321" s="282">
        <f>SUM(CB318:CB320)</f>
        <v>120360869.77787077</v>
      </c>
      <c r="CC321" s="256"/>
      <c r="CD321" s="282">
        <v>147043947.28234246</v>
      </c>
      <c r="CE321" s="282">
        <f>SUM(CE318:CE320)</f>
        <v>120360869.77787077</v>
      </c>
      <c r="CF321" s="256"/>
      <c r="CG321" s="282">
        <v>147043947.28234246</v>
      </c>
      <c r="CH321" s="282">
        <f>SUM(CH318:CH320)</f>
        <v>120360869.77787077</v>
      </c>
      <c r="CI321" s="1684">
        <f t="shared" si="39"/>
        <v>0</v>
      </c>
      <c r="CJ321" s="282">
        <v>147043947.28234246</v>
      </c>
      <c r="CK321" s="282">
        <f>SUM(CK318:CK320)</f>
        <v>120360869.77787077</v>
      </c>
      <c r="CL321" s="256"/>
      <c r="CM321" s="282">
        <v>147043947.28234246</v>
      </c>
      <c r="CN321" s="282">
        <f>SUM(CN318:CN320)</f>
        <v>120361182.69203867</v>
      </c>
      <c r="CO321" s="256"/>
      <c r="CP321" s="282">
        <v>147043947.28234246</v>
      </c>
      <c r="CQ321" s="282">
        <f>SUM(CQ318:CQ320)</f>
        <v>120361182.69203867</v>
      </c>
      <c r="CR321" s="256"/>
      <c r="CS321" s="282">
        <v>147043947.28234246</v>
      </c>
      <c r="CT321" s="282">
        <f>SUM(CT318:CT320)</f>
        <v>120361610.0096447</v>
      </c>
      <c r="CU321" s="256"/>
      <c r="CV321" s="282">
        <v>147043947.28234246</v>
      </c>
      <c r="CW321" s="282">
        <f>SUM(CW318:CW320)</f>
        <v>120361610.0096447</v>
      </c>
      <c r="CX321" s="256"/>
      <c r="CY321" s="282"/>
      <c r="CZ321" s="282"/>
    </row>
    <row r="322" spans="1:105">
      <c r="A322" s="260">
        <f t="shared" si="38"/>
        <v>315</v>
      </c>
      <c r="B322" s="260"/>
      <c r="D322" s="266"/>
      <c r="E322" s="265"/>
      <c r="F322" s="264"/>
      <c r="G322" s="454"/>
      <c r="H322" s="267"/>
      <c r="I322" s="268"/>
      <c r="J322" s="267"/>
      <c r="K322" s="269"/>
      <c r="M322" s="1624"/>
      <c r="N322" s="1640"/>
      <c r="O322" s="1640"/>
      <c r="Q322" s="269"/>
      <c r="R322" s="256"/>
      <c r="S322" s="269"/>
      <c r="T322" s="269"/>
      <c r="U322" s="256"/>
      <c r="V322" s="269"/>
      <c r="W322" s="269"/>
      <c r="X322" s="256"/>
      <c r="Y322" s="269"/>
      <c r="Z322" s="269"/>
      <c r="AA322" s="256"/>
      <c r="AB322" s="269"/>
      <c r="AC322" s="269"/>
      <c r="AD322" s="256"/>
      <c r="AE322" s="269"/>
      <c r="AF322" s="269"/>
      <c r="AG322" s="256"/>
      <c r="AH322" s="269"/>
      <c r="AI322" s="269"/>
      <c r="AJ322" s="256"/>
      <c r="AK322" s="269"/>
      <c r="AL322" s="269"/>
      <c r="AM322" s="256"/>
      <c r="AN322" s="269"/>
      <c r="AO322" s="269"/>
      <c r="AP322" s="256"/>
      <c r="AQ322" s="269"/>
      <c r="AR322" s="269"/>
      <c r="AS322" s="256"/>
      <c r="AT322" s="269"/>
      <c r="AU322" s="269"/>
      <c r="AV322" s="256"/>
      <c r="AW322" s="269"/>
      <c r="AX322" s="269"/>
      <c r="AY322" s="256"/>
      <c r="AZ322" s="269"/>
      <c r="BA322" s="269"/>
      <c r="BB322" s="256"/>
      <c r="BC322" s="269"/>
      <c r="BD322" s="269"/>
      <c r="BE322" s="256"/>
      <c r="BF322" s="269"/>
      <c r="BG322" s="269"/>
      <c r="BH322" s="256"/>
      <c r="BI322" s="269"/>
      <c r="BJ322" s="269"/>
      <c r="BK322" s="256"/>
      <c r="BL322" s="269"/>
      <c r="BM322" s="269"/>
      <c r="BN322" s="256"/>
      <c r="BO322" s="269"/>
      <c r="BP322" s="269"/>
      <c r="BQ322" s="256"/>
      <c r="BR322" s="269"/>
      <c r="BS322" s="269"/>
      <c r="BT322" s="256"/>
      <c r="BU322" s="269"/>
      <c r="BV322" s="269"/>
      <c r="BW322" s="256"/>
      <c r="BX322" s="269"/>
      <c r="BY322" s="269"/>
      <c r="BZ322" s="256"/>
      <c r="CA322" s="269"/>
      <c r="CB322" s="269"/>
      <c r="CC322" s="256"/>
      <c r="CD322" s="269"/>
      <c r="CE322" s="269"/>
      <c r="CF322" s="256"/>
      <c r="CG322" s="269"/>
      <c r="CH322" s="269"/>
      <c r="CI322" s="1684">
        <f t="shared" si="39"/>
        <v>0</v>
      </c>
      <c r="CJ322" s="269"/>
      <c r="CK322" s="269"/>
      <c r="CL322" s="256"/>
      <c r="CM322" s="269"/>
      <c r="CN322" s="269"/>
      <c r="CO322" s="256"/>
      <c r="CP322" s="269"/>
      <c r="CQ322" s="269"/>
      <c r="CR322" s="256"/>
      <c r="CS322" s="269"/>
      <c r="CT322" s="269"/>
      <c r="CU322" s="256"/>
      <c r="CV322" s="269"/>
      <c r="CW322" s="269"/>
      <c r="CX322" s="256"/>
      <c r="CY322" s="269"/>
      <c r="CZ322" s="269"/>
    </row>
    <row r="323" spans="1:105">
      <c r="A323" s="260">
        <f t="shared" si="38"/>
        <v>316</v>
      </c>
      <c r="B323" s="260"/>
      <c r="C323" s="256" t="s">
        <v>162</v>
      </c>
      <c r="D323" s="266"/>
      <c r="E323" s="265"/>
      <c r="F323" s="264"/>
      <c r="G323" s="454">
        <f>G265</f>
        <v>143067313.11999997</v>
      </c>
      <c r="H323" s="276"/>
      <c r="I323" s="277"/>
      <c r="J323" s="276"/>
      <c r="K323" s="454">
        <f ca="1">+K265</f>
        <v>73261868.646502465</v>
      </c>
      <c r="M323" s="1630" t="s">
        <v>1528</v>
      </c>
      <c r="N323" s="1120">
        <f ca="1">+N265</f>
        <v>58854459.748435229</v>
      </c>
      <c r="O323" s="1120">
        <v>63943406.506258681</v>
      </c>
      <c r="Q323" s="1734">
        <v>75451784.754911885</v>
      </c>
      <c r="R323" s="256"/>
      <c r="S323" s="1734">
        <v>75451784.649267763</v>
      </c>
      <c r="T323" s="1734">
        <f>+T265</f>
        <v>65802536.906990692</v>
      </c>
      <c r="U323" s="256"/>
      <c r="V323" s="1734">
        <v>75451790.155968264</v>
      </c>
      <c r="W323" s="1734">
        <f>+W265</f>
        <v>65802542.131375998</v>
      </c>
      <c r="X323" s="256"/>
      <c r="Y323" s="1734">
        <v>75389882.931978062</v>
      </c>
      <c r="Z323" s="1734">
        <f>+Z265</f>
        <v>65749243.750105545</v>
      </c>
      <c r="AA323" s="256"/>
      <c r="AB323" s="1734">
        <v>75355689.684009582</v>
      </c>
      <c r="AC323" s="1734">
        <f>+AC265</f>
        <v>65714189.336928762</v>
      </c>
      <c r="AD323" s="256"/>
      <c r="AE323" s="1734">
        <v>75324036.599104643</v>
      </c>
      <c r="AF323" s="1734">
        <f>+AF265</f>
        <v>65686603.139896452</v>
      </c>
      <c r="AG323" s="256"/>
      <c r="AH323" s="1734">
        <v>75321444.607058704</v>
      </c>
      <c r="AI323" s="1734">
        <f>+AI265</f>
        <v>65684144.033010498</v>
      </c>
      <c r="AJ323" s="256"/>
      <c r="AK323" s="1734">
        <v>75172950.973669201</v>
      </c>
      <c r="AL323" s="1734">
        <f>+AL265</f>
        <v>65554006.780442499</v>
      </c>
      <c r="AM323" s="256"/>
      <c r="AN323" s="1734">
        <v>75148020.252019629</v>
      </c>
      <c r="AO323" s="1734">
        <f>+AO265</f>
        <v>65532682.273700923</v>
      </c>
      <c r="AP323" s="256"/>
      <c r="AQ323" s="1734">
        <v>74548374.0906111</v>
      </c>
      <c r="AR323" s="1734">
        <f>+AR265</f>
        <v>65010083.015885681</v>
      </c>
      <c r="AS323" s="256"/>
      <c r="AT323" s="1734">
        <v>74548444.454006523</v>
      </c>
      <c r="AU323" s="1734">
        <f>+AU265</f>
        <v>65010149.7719201</v>
      </c>
      <c r="AV323" s="256"/>
      <c r="AW323" s="1734">
        <v>74470712.897715956</v>
      </c>
      <c r="AX323" s="1734">
        <f>+AX265</f>
        <v>64942405.732092835</v>
      </c>
      <c r="AY323" s="256"/>
      <c r="AZ323" s="1734">
        <v>74466606.805130392</v>
      </c>
      <c r="BA323" s="1734">
        <f>+BA265</f>
        <v>64938510.14893806</v>
      </c>
      <c r="BB323" s="256"/>
      <c r="BC323" s="1734">
        <v>74466606.805130392</v>
      </c>
      <c r="BD323" s="1734">
        <f>+BD265</f>
        <v>64938510.14893806</v>
      </c>
      <c r="BE323" s="256"/>
      <c r="BF323" s="1734">
        <v>74192649.579070032</v>
      </c>
      <c r="BG323" s="1734">
        <f>+BG265</f>
        <v>64699752.941263407</v>
      </c>
      <c r="BH323" s="256"/>
      <c r="BI323" s="1734">
        <v>73925281.237061068</v>
      </c>
      <c r="BJ323" s="1734">
        <f>+BJ265</f>
        <v>64466738.03009595</v>
      </c>
      <c r="BK323" s="256"/>
      <c r="BL323" s="1734">
        <v>73699288.199803948</v>
      </c>
      <c r="BM323" s="1734">
        <f>+BM265</f>
        <v>64269782.223164387</v>
      </c>
      <c r="BN323" s="256"/>
      <c r="BO323" s="1734">
        <v>73422774.997784093</v>
      </c>
      <c r="BP323" s="1734">
        <f>+BP265</f>
        <v>64028091.199042998</v>
      </c>
      <c r="BQ323" s="256"/>
      <c r="BR323" s="1734">
        <v>73681268.607432291</v>
      </c>
      <c r="BS323" s="1734">
        <f>+BS265</f>
        <v>64252686.363902412</v>
      </c>
      <c r="BT323" s="256"/>
      <c r="BU323" s="1734">
        <v>73678298.585458308</v>
      </c>
      <c r="BV323" s="1734">
        <f>+BV265</f>
        <v>64249868.607768074</v>
      </c>
      <c r="BW323" s="256"/>
      <c r="BX323" s="1734">
        <v>73678778.852497518</v>
      </c>
      <c r="BY323" s="1734">
        <f>+BY265</f>
        <v>64250324.25267835</v>
      </c>
      <c r="BZ323" s="256"/>
      <c r="CA323" s="1734">
        <v>73661096.890675962</v>
      </c>
      <c r="CB323" s="1734">
        <f>+CB265</f>
        <v>64279137.152439453</v>
      </c>
      <c r="CC323" s="256"/>
      <c r="CD323" s="1734">
        <v>73661096.890675962</v>
      </c>
      <c r="CE323" s="1734">
        <f>+CE265</f>
        <v>64279137.152439453</v>
      </c>
      <c r="CF323" s="256"/>
      <c r="CG323" s="1734">
        <v>73627655.824388728</v>
      </c>
      <c r="CH323" s="1734">
        <f>+CH265</f>
        <v>64249972.892630145</v>
      </c>
      <c r="CI323" s="1684">
        <f t="shared" si="39"/>
        <v>-29164.259809307754</v>
      </c>
      <c r="CJ323" s="1734">
        <v>73627655.824388728</v>
      </c>
      <c r="CK323" s="1734">
        <f>+CK265</f>
        <v>64249972.892630145</v>
      </c>
      <c r="CL323" s="256"/>
      <c r="CM323" s="1734">
        <v>73085556.234746441</v>
      </c>
      <c r="CN323" s="1734">
        <f>+CN265</f>
        <v>63782449.832658529</v>
      </c>
      <c r="CO323" s="256"/>
      <c r="CP323" s="454">
        <v>73397202.255671412</v>
      </c>
      <c r="CQ323" s="1734">
        <f>+CQ265</f>
        <v>64054261.806717977</v>
      </c>
      <c r="CR323" s="256"/>
      <c r="CS323" s="454">
        <v>73262133.183817133</v>
      </c>
      <c r="CT323" s="1734">
        <f>+CT265</f>
        <v>63943657.481385365</v>
      </c>
      <c r="CU323" s="256"/>
      <c r="CV323" s="1734">
        <v>73261868.646502465</v>
      </c>
      <c r="CW323" s="1734">
        <f>+CW265</f>
        <v>63943406.506258681</v>
      </c>
      <c r="CX323" s="256"/>
      <c r="CY323" s="1734"/>
      <c r="CZ323" s="1734"/>
    </row>
    <row r="324" spans="1:105">
      <c r="A324" s="260">
        <f t="shared" si="38"/>
        <v>317</v>
      </c>
      <c r="B324" s="260"/>
      <c r="C324" s="256" t="s">
        <v>13</v>
      </c>
      <c r="D324" s="266"/>
      <c r="E324" s="265"/>
      <c r="F324" s="264"/>
      <c r="G324" s="693">
        <f>+G276</f>
        <v>24036686.740000002</v>
      </c>
      <c r="H324" s="276"/>
      <c r="I324" s="277"/>
      <c r="J324" s="276"/>
      <c r="K324" s="693">
        <f>+K276</f>
        <v>21685113.424647357</v>
      </c>
      <c r="M324" s="1630" t="s">
        <v>1528</v>
      </c>
      <c r="N324" s="1118">
        <f>+N276</f>
        <v>20903855.624799911</v>
      </c>
      <c r="O324" s="1118">
        <v>18828862.653161749</v>
      </c>
      <c r="Q324" s="1733">
        <v>23369648.426711187</v>
      </c>
      <c r="R324" s="256"/>
      <c r="S324" s="1733">
        <v>23369648.426711187</v>
      </c>
      <c r="T324" s="1733">
        <f>+T276</f>
        <v>20252227.698605131</v>
      </c>
      <c r="U324" s="256"/>
      <c r="V324" s="1733">
        <v>23369648.426711187</v>
      </c>
      <c r="W324" s="1733">
        <f>+W276</f>
        <v>20252227.698605131</v>
      </c>
      <c r="X324" s="256"/>
      <c r="Y324" s="1733">
        <v>23472543.861846387</v>
      </c>
      <c r="Z324" s="1733">
        <f>+Z276</f>
        <v>20342673.105841413</v>
      </c>
      <c r="AA324" s="256"/>
      <c r="AB324" s="1733">
        <v>23472543.861846387</v>
      </c>
      <c r="AC324" s="1733">
        <f>+AC276</f>
        <v>20342385.716280203</v>
      </c>
      <c r="AD324" s="256"/>
      <c r="AE324" s="1733">
        <v>23472543.861846387</v>
      </c>
      <c r="AF324" s="1733">
        <f>+AF276</f>
        <v>20342385.716280203</v>
      </c>
      <c r="AG324" s="256"/>
      <c r="AH324" s="1733">
        <v>23472543.861846387</v>
      </c>
      <c r="AI324" s="1733">
        <f>+AI276</f>
        <v>20342385.716280203</v>
      </c>
      <c r="AJ324" s="256"/>
      <c r="AK324" s="1733">
        <v>23472543.861846387</v>
      </c>
      <c r="AL324" s="1733">
        <f>+AL276</f>
        <v>20342346.083099633</v>
      </c>
      <c r="AM324" s="256"/>
      <c r="AN324" s="1733">
        <v>23472543.861846387</v>
      </c>
      <c r="AO324" s="1733">
        <f>+AO276</f>
        <v>20342368.782390792</v>
      </c>
      <c r="AP324" s="256"/>
      <c r="AQ324" s="1733">
        <v>23472543.861846387</v>
      </c>
      <c r="AR324" s="1733">
        <f>+AR276</f>
        <v>20342368.782390792</v>
      </c>
      <c r="AS324" s="256"/>
      <c r="AT324" s="1733">
        <v>23472543.861846387</v>
      </c>
      <c r="AU324" s="1733">
        <f>+AU276</f>
        <v>20342368.782390792</v>
      </c>
      <c r="AV324" s="256"/>
      <c r="AW324" s="1733">
        <v>23472543.861846387</v>
      </c>
      <c r="AX324" s="1733">
        <f>+AX276</f>
        <v>20342368.782390792</v>
      </c>
      <c r="AY324" s="256"/>
      <c r="AZ324" s="1733">
        <v>23472543.861846387</v>
      </c>
      <c r="BA324" s="1733">
        <f>+BA276</f>
        <v>20342368.782390792</v>
      </c>
      <c r="BB324" s="256"/>
      <c r="BC324" s="1733">
        <v>23472543.861846387</v>
      </c>
      <c r="BD324" s="1733">
        <f>+BD276</f>
        <v>20342368.782390792</v>
      </c>
      <c r="BE324" s="256"/>
      <c r="BF324" s="1733">
        <v>23472543.861846387</v>
      </c>
      <c r="BG324" s="1733">
        <f>+BG276</f>
        <v>20342368.782390792</v>
      </c>
      <c r="BH324" s="256"/>
      <c r="BI324" s="1733">
        <v>23472543.861846387</v>
      </c>
      <c r="BJ324" s="1733">
        <f>+BJ276</f>
        <v>20342368.782390792</v>
      </c>
      <c r="BK324" s="256"/>
      <c r="BL324" s="1733">
        <v>23472543.861846387</v>
      </c>
      <c r="BM324" s="1733">
        <f>+BM276</f>
        <v>20342368.782390792</v>
      </c>
      <c r="BN324" s="256"/>
      <c r="BO324" s="1733">
        <v>21359399.861846387</v>
      </c>
      <c r="BP324" s="1733">
        <f>+BP276</f>
        <v>18523742.122294355</v>
      </c>
      <c r="BQ324" s="256"/>
      <c r="BR324" s="1733">
        <v>21359399.861846387</v>
      </c>
      <c r="BS324" s="1733">
        <f>+BS276</f>
        <v>18523742.122294355</v>
      </c>
      <c r="BT324" s="256"/>
      <c r="BU324" s="1733">
        <v>21359399.861846387</v>
      </c>
      <c r="BV324" s="1733">
        <f>+BV276</f>
        <v>18523742.122294355</v>
      </c>
      <c r="BW324" s="256"/>
      <c r="BX324" s="1733">
        <v>21359399.861846387</v>
      </c>
      <c r="BY324" s="1733">
        <f>+BY276</f>
        <v>18523742.122294355</v>
      </c>
      <c r="BZ324" s="256"/>
      <c r="CA324" s="1733">
        <v>21685113.424647357</v>
      </c>
      <c r="CB324" s="1733">
        <f>+CB276</f>
        <v>18828140.169752639</v>
      </c>
      <c r="CC324" s="256"/>
      <c r="CD324" s="1733">
        <v>21685113.424647357</v>
      </c>
      <c r="CE324" s="1733">
        <f>+CE276</f>
        <v>18828140.169752639</v>
      </c>
      <c r="CF324" s="256"/>
      <c r="CG324" s="1733">
        <v>21685113.424647357</v>
      </c>
      <c r="CH324" s="1733">
        <f>+CH276</f>
        <v>18828140.169752639</v>
      </c>
      <c r="CI324" s="1684">
        <f t="shared" si="39"/>
        <v>0</v>
      </c>
      <c r="CJ324" s="1733">
        <v>21685113.424647357</v>
      </c>
      <c r="CK324" s="1733">
        <f>+CK276</f>
        <v>18828140.169752639</v>
      </c>
      <c r="CL324" s="256"/>
      <c r="CM324" s="1733">
        <v>21685113.424647357</v>
      </c>
      <c r="CN324" s="1733">
        <f>+CN276</f>
        <v>18828445.581250414</v>
      </c>
      <c r="CO324" s="256"/>
      <c r="CP324" s="693">
        <v>21685113.424647357</v>
      </c>
      <c r="CQ324" s="1733">
        <f>+CQ276</f>
        <v>18828445.581250414</v>
      </c>
      <c r="CR324" s="256"/>
      <c r="CS324" s="693">
        <v>21685113.424647357</v>
      </c>
      <c r="CT324" s="1733">
        <f>+CT276</f>
        <v>18828862.653161749</v>
      </c>
      <c r="CU324" s="256"/>
      <c r="CV324" s="1733">
        <v>21685113.424647357</v>
      </c>
      <c r="CW324" s="1733">
        <f>+CW276</f>
        <v>18828862.653161749</v>
      </c>
      <c r="CX324" s="256"/>
      <c r="CY324" s="1733"/>
      <c r="CZ324" s="1733"/>
    </row>
    <row r="325" spans="1:105">
      <c r="A325" s="260">
        <f t="shared" si="38"/>
        <v>318</v>
      </c>
      <c r="B325" s="260"/>
      <c r="C325" s="256" t="s">
        <v>210</v>
      </c>
      <c r="D325" s="266"/>
      <c r="E325" s="265"/>
      <c r="F325" s="264"/>
      <c r="G325" s="693">
        <f>+G284</f>
        <v>5875852.549999998</v>
      </c>
      <c r="H325" s="276"/>
      <c r="I325" s="277"/>
      <c r="J325" s="276"/>
      <c r="K325" s="693">
        <f>+K284</f>
        <v>7045436.4177288758</v>
      </c>
      <c r="M325" s="1630" t="s">
        <v>1528</v>
      </c>
      <c r="N325" s="1118">
        <f>+N284</f>
        <v>5092587.9281896027</v>
      </c>
      <c r="O325" s="1118">
        <v>6106168.8111609984</v>
      </c>
      <c r="Q325" s="1733">
        <v>7085951.7783528166</v>
      </c>
      <c r="R325" s="256"/>
      <c r="S325" s="1733">
        <v>7085951.7783528166</v>
      </c>
      <c r="T325" s="1733">
        <f>+T284</f>
        <v>6135234.7197482847</v>
      </c>
      <c r="U325" s="256"/>
      <c r="V325" s="1733">
        <v>7087190.8950865166</v>
      </c>
      <c r="W325" s="1733">
        <f>+W284</f>
        <v>6136314.2856530435</v>
      </c>
      <c r="X325" s="256"/>
      <c r="Y325" s="1733">
        <v>7087190.8950865166</v>
      </c>
      <c r="Z325" s="1733">
        <f>+Z284</f>
        <v>6136340.8250990324</v>
      </c>
      <c r="AA325" s="256"/>
      <c r="AB325" s="1733">
        <v>7087190.8950865166</v>
      </c>
      <c r="AC325" s="1733">
        <f>+AC284</f>
        <v>6136117.1870768461</v>
      </c>
      <c r="AD325" s="256"/>
      <c r="AE325" s="1733">
        <v>7087190.8950865166</v>
      </c>
      <c r="AF325" s="1733">
        <f>+AF284</f>
        <v>6136117.1870768461</v>
      </c>
      <c r="AG325" s="256"/>
      <c r="AH325" s="1733">
        <v>7087190.8950865166</v>
      </c>
      <c r="AI325" s="1733">
        <f>+AI284</f>
        <v>6136117.1870768471</v>
      </c>
      <c r="AJ325" s="256"/>
      <c r="AK325" s="1733">
        <v>7087190.8950865166</v>
      </c>
      <c r="AL325" s="1733">
        <f>+AL284</f>
        <v>6136086.3457126776</v>
      </c>
      <c r="AM325" s="256"/>
      <c r="AN325" s="1733">
        <v>7055761.340646822</v>
      </c>
      <c r="AO325" s="1733">
        <f>+AO284</f>
        <v>6108723.4645796409</v>
      </c>
      <c r="AP325" s="256"/>
      <c r="AQ325" s="1733">
        <v>7055761.340646822</v>
      </c>
      <c r="AR325" s="1733">
        <f>+AR284</f>
        <v>6108723.4645796409</v>
      </c>
      <c r="AS325" s="256"/>
      <c r="AT325" s="1733">
        <v>7055761.340646822</v>
      </c>
      <c r="AU325" s="1733">
        <f>+AU284</f>
        <v>6108723.4645796409</v>
      </c>
      <c r="AV325" s="256"/>
      <c r="AW325" s="1733">
        <v>7055761.340646822</v>
      </c>
      <c r="AX325" s="1733">
        <f>+AX284</f>
        <v>6108723.4645796409</v>
      </c>
      <c r="AY325" s="256"/>
      <c r="AZ325" s="1733">
        <v>7055761.340646822</v>
      </c>
      <c r="BA325" s="1733">
        <f>+BA284</f>
        <v>6108723.4645796409</v>
      </c>
      <c r="BB325" s="256"/>
      <c r="BC325" s="1733">
        <v>7055761.340646822</v>
      </c>
      <c r="BD325" s="1733">
        <f>+BD284</f>
        <v>6108723.4645796409</v>
      </c>
      <c r="BE325" s="256"/>
      <c r="BF325" s="1733">
        <v>7055761.340646822</v>
      </c>
      <c r="BG325" s="1733">
        <f>+BG284</f>
        <v>6108723.4645796409</v>
      </c>
      <c r="BH325" s="256"/>
      <c r="BI325" s="1733">
        <v>7055761.340646822</v>
      </c>
      <c r="BJ325" s="1733">
        <f>+BJ284</f>
        <v>6108723.4645796409</v>
      </c>
      <c r="BK325" s="256"/>
      <c r="BL325" s="1733">
        <v>7055761.340646822</v>
      </c>
      <c r="BM325" s="1733">
        <f>+BM284</f>
        <v>6108723.4645796409</v>
      </c>
      <c r="BN325" s="256"/>
      <c r="BO325" s="1733">
        <v>7055761.340646822</v>
      </c>
      <c r="BP325" s="1733">
        <f>+BP284</f>
        <v>6108710.6053483095</v>
      </c>
      <c r="BQ325" s="256"/>
      <c r="BR325" s="1733">
        <v>7055761.340646822</v>
      </c>
      <c r="BS325" s="1733">
        <f>+BS284</f>
        <v>6108710.6053483095</v>
      </c>
      <c r="BT325" s="256"/>
      <c r="BU325" s="1733">
        <v>7055761.340646822</v>
      </c>
      <c r="BV325" s="1733">
        <f>+BV284</f>
        <v>6108710.6053483095</v>
      </c>
      <c r="BW325" s="256"/>
      <c r="BX325" s="1733">
        <v>7055761.340646822</v>
      </c>
      <c r="BY325" s="1733">
        <f>+BY284</f>
        <v>6108710.6053483095</v>
      </c>
      <c r="BZ325" s="256"/>
      <c r="CA325" s="1733">
        <v>7094738.0721626766</v>
      </c>
      <c r="CB325" s="1733">
        <f>+CB284</f>
        <v>6148613.6263713511</v>
      </c>
      <c r="CC325" s="256"/>
      <c r="CD325" s="1733">
        <v>7094738.0721626766</v>
      </c>
      <c r="CE325" s="1733">
        <f>+CE284</f>
        <v>6148613.6263713511</v>
      </c>
      <c r="CF325" s="256"/>
      <c r="CG325" s="1733">
        <v>7094738.0721626766</v>
      </c>
      <c r="CH325" s="1733">
        <f>+CH284</f>
        <v>6148613.6263713511</v>
      </c>
      <c r="CI325" s="1684">
        <f t="shared" si="39"/>
        <v>0</v>
      </c>
      <c r="CJ325" s="1733">
        <v>7094738.0721626766</v>
      </c>
      <c r="CK325" s="1733">
        <f>+CK284</f>
        <v>6148613.6263713511</v>
      </c>
      <c r="CL325" s="256"/>
      <c r="CM325" s="1733">
        <v>7045436.4177288758</v>
      </c>
      <c r="CN325" s="1733">
        <f>+CN284</f>
        <v>6105860.0065746037</v>
      </c>
      <c r="CO325" s="256"/>
      <c r="CP325" s="693">
        <v>7045436.4177288758</v>
      </c>
      <c r="CQ325" s="1733">
        <f>+CQ284</f>
        <v>6105860.0065746037</v>
      </c>
      <c r="CR325" s="256"/>
      <c r="CS325" s="693">
        <v>7045436.4177288758</v>
      </c>
      <c r="CT325" s="1733">
        <f>+CT284</f>
        <v>6106168.8111609984</v>
      </c>
      <c r="CU325" s="256"/>
      <c r="CV325" s="1733">
        <v>7045436.4177288758</v>
      </c>
      <c r="CW325" s="1733">
        <f>+CW284</f>
        <v>6106168.8111609984</v>
      </c>
      <c r="CX325" s="256"/>
      <c r="CY325" s="1733"/>
      <c r="CZ325" s="1733"/>
    </row>
    <row r="326" spans="1:105">
      <c r="A326" s="260">
        <f t="shared" si="38"/>
        <v>319</v>
      </c>
      <c r="B326" s="260"/>
      <c r="C326" s="256" t="s">
        <v>529</v>
      </c>
      <c r="D326" s="266"/>
      <c r="E326" s="265"/>
      <c r="F326" s="264"/>
      <c r="G326" s="693">
        <f ca="1">+G308</f>
        <v>9574528.7595300004</v>
      </c>
      <c r="H326" s="276"/>
      <c r="I326" s="277"/>
      <c r="J326" s="276"/>
      <c r="K326" s="693">
        <f ca="1">+K308</f>
        <v>8617293.5380410012</v>
      </c>
      <c r="M326" s="1630" t="s">
        <v>1528</v>
      </c>
      <c r="N326" s="1118">
        <f ca="1">+N308</f>
        <v>6040613.9630218809</v>
      </c>
      <c r="O326" s="1118">
        <v>5436689.8859160086</v>
      </c>
      <c r="Q326" s="1733">
        <v>7869975.3621130008</v>
      </c>
      <c r="R326" s="256"/>
      <c r="S326" s="1733">
        <v>7993321.0024340004</v>
      </c>
      <c r="T326" s="1733">
        <f>+T308</f>
        <v>4917430.6803618791</v>
      </c>
      <c r="U326" s="256"/>
      <c r="V326" s="1733">
        <v>7992982.4654800007</v>
      </c>
      <c r="W326" s="1733">
        <f>+W308</f>
        <v>4917135.6172319232</v>
      </c>
      <c r="X326" s="256"/>
      <c r="Y326" s="1733">
        <v>7981837.9158980008</v>
      </c>
      <c r="Z326" s="1733">
        <f>+Z308</f>
        <v>4907033.9281079657</v>
      </c>
      <c r="AA326" s="256"/>
      <c r="AB326" s="1733">
        <v>7991124.3160190005</v>
      </c>
      <c r="AC326" s="1733">
        <f>+AC308</f>
        <v>4916648.3477225145</v>
      </c>
      <c r="AD326" s="256"/>
      <c r="AE326" s="1733">
        <v>7999721.1440780004</v>
      </c>
      <c r="AF326" s="1733">
        <f>+AF308</f>
        <v>4924140.6259367894</v>
      </c>
      <c r="AG326" s="256"/>
      <c r="AH326" s="1733">
        <v>8158071.9401610009</v>
      </c>
      <c r="AI326" s="1733">
        <f>+AI308</f>
        <v>5060254.6729966188</v>
      </c>
      <c r="AJ326" s="256"/>
      <c r="AK326" s="1733">
        <v>8198401.5812260006</v>
      </c>
      <c r="AL326" s="1733">
        <f>+AL308</f>
        <v>5095611.6039330335</v>
      </c>
      <c r="AM326" s="256"/>
      <c r="AN326" s="1733">
        <v>8213734.9142910009</v>
      </c>
      <c r="AO326" s="1733">
        <f>+AO308</f>
        <v>5108855.1463802326</v>
      </c>
      <c r="AP326" s="256"/>
      <c r="AQ326" s="1733">
        <v>8376594.2835800005</v>
      </c>
      <c r="AR326" s="1733">
        <f>+AR308</f>
        <v>5250789.1753454618</v>
      </c>
      <c r="AS326" s="256"/>
      <c r="AT326" s="1733">
        <v>8375615.0803840011</v>
      </c>
      <c r="AU326" s="1733">
        <f>+AU308</f>
        <v>5249942.5837275116</v>
      </c>
      <c r="AV326" s="256"/>
      <c r="AW326" s="1733">
        <v>8396726.3643830009</v>
      </c>
      <c r="AX326" s="1733">
        <f>+AX308</f>
        <v>5268341.33863624</v>
      </c>
      <c r="AY326" s="256"/>
      <c r="AZ326" s="1733">
        <v>7872783.8699639998</v>
      </c>
      <c r="BA326" s="1733">
        <f>+BA308</f>
        <v>4820136.3994318489</v>
      </c>
      <c r="BB326" s="256"/>
      <c r="BC326" s="1733">
        <v>7872783.8699639998</v>
      </c>
      <c r="BD326" s="1733">
        <f>+BD308</f>
        <v>4820136.3994318489</v>
      </c>
      <c r="BE326" s="256"/>
      <c r="BF326" s="1733">
        <v>7947188.9128130004</v>
      </c>
      <c r="BG326" s="1733">
        <f>+BG308</f>
        <v>4884981.2797209928</v>
      </c>
      <c r="BH326" s="256"/>
      <c r="BI326" s="1733">
        <v>8019804.0026500002</v>
      </c>
      <c r="BJ326" s="1733">
        <f>+BJ308</f>
        <v>4948266.2004235163</v>
      </c>
      <c r="BK326" s="256"/>
      <c r="BL326" s="1733">
        <v>8081182.1652450003</v>
      </c>
      <c r="BM326" s="1733">
        <f>+BM308</f>
        <v>5001758.0009697489</v>
      </c>
      <c r="BN326" s="256"/>
      <c r="BO326" s="1733">
        <v>8727719.0075380001</v>
      </c>
      <c r="BP326" s="1733">
        <f>+BP308</f>
        <v>5559199.3404095322</v>
      </c>
      <c r="BQ326" s="256"/>
      <c r="BR326" s="1733">
        <v>8652381.765420001</v>
      </c>
      <c r="BS326" s="1733">
        <f>+BS308</f>
        <v>5493781.4449080145</v>
      </c>
      <c r="BT326" s="256"/>
      <c r="BU326" s="1733">
        <v>8695363.7321230005</v>
      </c>
      <c r="BV326" s="1733">
        <f>+BV308</f>
        <v>5530970.7107431088</v>
      </c>
      <c r="BW326" s="256"/>
      <c r="BX326" s="1733">
        <v>8774347.7080580015</v>
      </c>
      <c r="BY326" s="1733">
        <f>+BY308</f>
        <v>5598775.6247873399</v>
      </c>
      <c r="BZ326" s="256"/>
      <c r="CA326" s="1733">
        <v>8638111.5803810004</v>
      </c>
      <c r="CB326" s="1733">
        <f>+CB308</f>
        <v>5458434.6244783495</v>
      </c>
      <c r="CC326" s="256"/>
      <c r="CD326" s="1733">
        <v>8638111.5803810004</v>
      </c>
      <c r="CE326" s="1733">
        <f>+CE308</f>
        <v>5458434.6244783495</v>
      </c>
      <c r="CF326" s="256"/>
      <c r="CG326" s="1733">
        <v>8647193.9345530011</v>
      </c>
      <c r="CH326" s="1733">
        <f>+CH308</f>
        <v>5466355.4229831677</v>
      </c>
      <c r="CI326" s="1684">
        <f t="shared" si="39"/>
        <v>7920.7985048182309</v>
      </c>
      <c r="CJ326" s="1733">
        <v>8647193.9345530011</v>
      </c>
      <c r="CK326" s="1733">
        <f>+CK308</f>
        <v>5466355.4229831677</v>
      </c>
      <c r="CL326" s="256"/>
      <c r="CM326" s="1733">
        <v>8808086.2030820008</v>
      </c>
      <c r="CN326" s="1733">
        <f>+CN308</f>
        <v>5605139.5373750189</v>
      </c>
      <c r="CO326" s="256"/>
      <c r="CP326" s="693">
        <v>8723445.4438060019</v>
      </c>
      <c r="CQ326" s="1733">
        <f>+CQ308</f>
        <v>5531317.4634257341</v>
      </c>
      <c r="CR326" s="256"/>
      <c r="CS326" s="693">
        <v>8760129.1559900008</v>
      </c>
      <c r="CT326" s="1733">
        <f>+CT308</f>
        <v>5561217.2419411121</v>
      </c>
      <c r="CU326" s="256"/>
      <c r="CV326" s="1733">
        <v>8617293.5380410012</v>
      </c>
      <c r="CW326" s="1733">
        <f>+CW308</f>
        <v>5436689.8859160086</v>
      </c>
      <c r="CX326" s="256"/>
      <c r="CY326" s="1733"/>
      <c r="CZ326" s="1733"/>
    </row>
    <row r="327" spans="1:105">
      <c r="A327" s="260">
        <f t="shared" si="38"/>
        <v>320</v>
      </c>
      <c r="B327" s="260"/>
      <c r="D327" s="266"/>
      <c r="E327" s="265"/>
      <c r="F327" s="264"/>
      <c r="G327" s="592"/>
      <c r="H327" s="267"/>
      <c r="I327" s="268"/>
      <c r="J327" s="267"/>
      <c r="K327" s="281"/>
      <c r="M327" s="1624"/>
      <c r="N327" s="1640"/>
      <c r="O327" s="1640"/>
      <c r="Q327" s="281"/>
      <c r="R327" s="256"/>
      <c r="S327" s="281"/>
      <c r="T327" s="281"/>
      <c r="U327" s="256"/>
      <c r="V327" s="281"/>
      <c r="W327" s="281"/>
      <c r="X327" s="256"/>
      <c r="Y327" s="281"/>
      <c r="Z327" s="281"/>
      <c r="AA327" s="256"/>
      <c r="AB327" s="281"/>
      <c r="AC327" s="281"/>
      <c r="AD327" s="256"/>
      <c r="AE327" s="281"/>
      <c r="AF327" s="281"/>
      <c r="AG327" s="256"/>
      <c r="AH327" s="281"/>
      <c r="AI327" s="281"/>
      <c r="AJ327" s="256"/>
      <c r="AK327" s="281"/>
      <c r="AL327" s="281"/>
      <c r="AM327" s="256"/>
      <c r="AN327" s="281"/>
      <c r="AO327" s="281"/>
      <c r="AP327" s="256"/>
      <c r="AQ327" s="281"/>
      <c r="AR327" s="281"/>
      <c r="AS327" s="256"/>
      <c r="AT327" s="281"/>
      <c r="AU327" s="281"/>
      <c r="AV327" s="256"/>
      <c r="AW327" s="281"/>
      <c r="AX327" s="281"/>
      <c r="AY327" s="256"/>
      <c r="AZ327" s="281"/>
      <c r="BA327" s="281"/>
      <c r="BB327" s="256"/>
      <c r="BC327" s="281"/>
      <c r="BD327" s="281"/>
      <c r="BE327" s="256"/>
      <c r="BF327" s="281"/>
      <c r="BG327" s="281"/>
      <c r="BH327" s="256"/>
      <c r="BI327" s="281"/>
      <c r="BJ327" s="281"/>
      <c r="BK327" s="256"/>
      <c r="BL327" s="281"/>
      <c r="BM327" s="281"/>
      <c r="BN327" s="256"/>
      <c r="BO327" s="281"/>
      <c r="BP327" s="281"/>
      <c r="BQ327" s="256"/>
      <c r="BR327" s="281"/>
      <c r="BS327" s="281"/>
      <c r="BT327" s="256"/>
      <c r="BU327" s="281"/>
      <c r="BV327" s="281"/>
      <c r="BW327" s="256"/>
      <c r="BX327" s="281"/>
      <c r="BY327" s="281"/>
      <c r="BZ327" s="256"/>
      <c r="CA327" s="281"/>
      <c r="CB327" s="281"/>
      <c r="CC327" s="256"/>
      <c r="CD327" s="281"/>
      <c r="CE327" s="281"/>
      <c r="CF327" s="256"/>
      <c r="CG327" s="281"/>
      <c r="CH327" s="281"/>
      <c r="CI327" s="1684">
        <f t="shared" si="39"/>
        <v>0</v>
      </c>
      <c r="CJ327" s="281"/>
      <c r="CK327" s="281"/>
      <c r="CL327" s="256"/>
      <c r="CM327" s="281"/>
      <c r="CN327" s="281"/>
      <c r="CO327" s="256"/>
      <c r="CP327" s="281"/>
      <c r="CQ327" s="281"/>
      <c r="CR327" s="256"/>
      <c r="CS327" s="281"/>
      <c r="CT327" s="281"/>
      <c r="CU327" s="256"/>
      <c r="CV327" s="281"/>
      <c r="CW327" s="281"/>
      <c r="CX327" s="256"/>
      <c r="CY327" s="281"/>
      <c r="CZ327" s="281"/>
    </row>
    <row r="328" spans="1:105">
      <c r="A328" s="260">
        <f t="shared" si="38"/>
        <v>321</v>
      </c>
      <c r="B328" s="260"/>
      <c r="C328" s="256" t="s">
        <v>265</v>
      </c>
      <c r="D328" s="266"/>
      <c r="E328" s="265"/>
      <c r="F328" s="264"/>
      <c r="G328" s="454">
        <f ca="1">SUM(G323:G326)</f>
        <v>182554381.16953</v>
      </c>
      <c r="H328" s="276"/>
      <c r="I328" s="277"/>
      <c r="J328" s="276"/>
      <c r="K328" s="280">
        <f ca="1">SUM(K323:K327)</f>
        <v>110609712.02691969</v>
      </c>
      <c r="M328" s="1630" t="s">
        <v>1528</v>
      </c>
      <c r="N328" s="1121">
        <f ca="1">SUM(N323:N327)</f>
        <v>90891517.264446616</v>
      </c>
      <c r="O328" s="1121">
        <v>94315127.856497437</v>
      </c>
      <c r="Q328" s="280">
        <v>113777360.32208888</v>
      </c>
      <c r="R328" s="256"/>
      <c r="S328" s="280">
        <v>113900705.85676576</v>
      </c>
      <c r="T328" s="280">
        <f>SUM(T323:T327)</f>
        <v>97107430.005705997</v>
      </c>
      <c r="U328" s="256"/>
      <c r="V328" s="280">
        <v>113901611.94324596</v>
      </c>
      <c r="W328" s="280">
        <f>SUM(W323:W327)</f>
        <v>97108219.732866094</v>
      </c>
      <c r="X328" s="256"/>
      <c r="Y328" s="280">
        <v>113931455.60480896</v>
      </c>
      <c r="Z328" s="280">
        <f>SUM(Z323:Z327)</f>
        <v>97135291.609153956</v>
      </c>
      <c r="AA328" s="256"/>
      <c r="AB328" s="280">
        <v>113906548.75696148</v>
      </c>
      <c r="AC328" s="280">
        <f>SUM(AC323:AC327)</f>
        <v>97109340.588008329</v>
      </c>
      <c r="AD328" s="256"/>
      <c r="AE328" s="280">
        <v>113883492.50011554</v>
      </c>
      <c r="AF328" s="280">
        <f>SUM(AF323:AF327)</f>
        <v>97089246.669190302</v>
      </c>
      <c r="AG328" s="256"/>
      <c r="AH328" s="280">
        <v>114039251.30415261</v>
      </c>
      <c r="AI328" s="280">
        <f>SUM(AI323:AI327)</f>
        <v>97222901.609364182</v>
      </c>
      <c r="AJ328" s="256"/>
      <c r="AK328" s="280">
        <v>113931087.31182811</v>
      </c>
      <c r="AL328" s="280">
        <f>SUM(AL323:AL327)</f>
        <v>97128050.813187853</v>
      </c>
      <c r="AM328" s="256"/>
      <c r="AN328" s="280">
        <v>113890060.36880383</v>
      </c>
      <c r="AO328" s="280">
        <f>SUM(AO323:AO327)</f>
        <v>97092629.667051584</v>
      </c>
      <c r="AP328" s="256"/>
      <c r="AQ328" s="280">
        <v>113453273.57668431</v>
      </c>
      <c r="AR328" s="280">
        <f>SUM(AR323:AR327)</f>
        <v>96711964.438201576</v>
      </c>
      <c r="AS328" s="256"/>
      <c r="AT328" s="280">
        <v>113452364.73688373</v>
      </c>
      <c r="AU328" s="280">
        <f>SUM(AU323:AU327)</f>
        <v>96711184.602618039</v>
      </c>
      <c r="AV328" s="256"/>
      <c r="AW328" s="280">
        <v>113395744.46459216</v>
      </c>
      <c r="AX328" s="280">
        <f>SUM(AX323:AX327)</f>
        <v>96661839.317699507</v>
      </c>
      <c r="AY328" s="256"/>
      <c r="AZ328" s="280">
        <v>112867695.8775876</v>
      </c>
      <c r="BA328" s="280">
        <f>SUM(BA323:BA327)</f>
        <v>96209738.795340344</v>
      </c>
      <c r="BB328" s="256"/>
      <c r="BC328" s="280">
        <v>112867695.8775876</v>
      </c>
      <c r="BD328" s="280">
        <f>SUM(BD323:BD327)</f>
        <v>96209738.795340344</v>
      </c>
      <c r="BE328" s="256"/>
      <c r="BF328" s="280">
        <v>112668143.69437623</v>
      </c>
      <c r="BG328" s="280">
        <f>SUM(BG323:BG327)</f>
        <v>96035826.467954829</v>
      </c>
      <c r="BH328" s="256"/>
      <c r="BI328" s="280">
        <v>112473390.44220427</v>
      </c>
      <c r="BJ328" s="280">
        <f>SUM(BJ323:BJ327)</f>
        <v>95866096.477489889</v>
      </c>
      <c r="BK328" s="256"/>
      <c r="BL328" s="280">
        <v>112308775.56754215</v>
      </c>
      <c r="BM328" s="280">
        <f>SUM(BM323:BM327)</f>
        <v>95722632.471104577</v>
      </c>
      <c r="BN328" s="256"/>
      <c r="BO328" s="280">
        <v>110565655.2078153</v>
      </c>
      <c r="BP328" s="280">
        <f>SUM(BP323:BP327)</f>
        <v>94219743.267095193</v>
      </c>
      <c r="BQ328" s="256"/>
      <c r="BR328" s="280">
        <v>110748811.5753455</v>
      </c>
      <c r="BS328" s="280">
        <f>SUM(BS323:BS327)</f>
        <v>94378920.536453083</v>
      </c>
      <c r="BT328" s="256"/>
      <c r="BU328" s="280">
        <v>110788823.52007452</v>
      </c>
      <c r="BV328" s="280">
        <f>SUM(BV323:BV327)</f>
        <v>94413292.046153843</v>
      </c>
      <c r="BW328" s="256"/>
      <c r="BX328" s="280">
        <v>110868287.76304872</v>
      </c>
      <c r="BY328" s="280">
        <f>SUM(BY323:BY327)</f>
        <v>94481552.605108351</v>
      </c>
      <c r="BZ328" s="256"/>
      <c r="CA328" s="280">
        <v>111079059.967867</v>
      </c>
      <c r="CB328" s="280">
        <f>SUM(CB323:CB327)</f>
        <v>94714325.573041797</v>
      </c>
      <c r="CC328" s="256"/>
      <c r="CD328" s="280">
        <v>111079059.967867</v>
      </c>
      <c r="CE328" s="280">
        <f>SUM(CE323:CE327)</f>
        <v>94714325.573041797</v>
      </c>
      <c r="CF328" s="256"/>
      <c r="CG328" s="280">
        <v>111054701.25575176</v>
      </c>
      <c r="CH328" s="280">
        <f>SUM(CH323:CH327)</f>
        <v>94693082.111737311</v>
      </c>
      <c r="CI328" s="1684">
        <f t="shared" si="39"/>
        <v>-21243.461304485798</v>
      </c>
      <c r="CJ328" s="280">
        <v>111054701.25575176</v>
      </c>
      <c r="CK328" s="280">
        <f>SUM(CK323:CK327)</f>
        <v>94693082.111737311</v>
      </c>
      <c r="CL328" s="256"/>
      <c r="CM328" s="280">
        <v>110624192.28020467</v>
      </c>
      <c r="CN328" s="280">
        <f>SUM(CN323:CN327)</f>
        <v>94321894.957858562</v>
      </c>
      <c r="CO328" s="256"/>
      <c r="CP328" s="280">
        <v>110851197.54185365</v>
      </c>
      <c r="CQ328" s="280">
        <f>SUM(CQ323:CQ327)</f>
        <v>94519884.857968733</v>
      </c>
      <c r="CR328" s="256"/>
      <c r="CS328" s="280">
        <v>110752812.18218337</v>
      </c>
      <c r="CT328" s="280">
        <f>SUM(CT323:CT327)</f>
        <v>94439906.18764922</v>
      </c>
      <c r="CU328" s="256"/>
      <c r="CV328" s="280">
        <v>110609712.02691969</v>
      </c>
      <c r="CW328" s="280">
        <f>SUM(CW323:CW327)</f>
        <v>94315127.856497437</v>
      </c>
      <c r="CX328" s="256"/>
      <c r="CY328" s="280"/>
      <c r="CZ328" s="280"/>
    </row>
    <row r="329" spans="1:105">
      <c r="A329" s="260">
        <f t="shared" si="38"/>
        <v>322</v>
      </c>
      <c r="B329" s="260"/>
      <c r="D329" s="266"/>
      <c r="E329" s="265"/>
      <c r="F329" s="264"/>
      <c r="G329" s="454"/>
      <c r="H329" s="267"/>
      <c r="I329" s="268"/>
      <c r="J329" s="267"/>
      <c r="K329" s="269"/>
      <c r="M329" s="1624"/>
      <c r="N329" s="1640"/>
      <c r="O329" s="1640"/>
      <c r="Q329" s="269"/>
      <c r="R329" s="256"/>
      <c r="S329" s="269"/>
      <c r="T329" s="269"/>
      <c r="U329" s="256"/>
      <c r="V329" s="269"/>
      <c r="W329" s="269"/>
      <c r="X329" s="256"/>
      <c r="Y329" s="269"/>
      <c r="Z329" s="269"/>
      <c r="AA329" s="256"/>
      <c r="AB329" s="269"/>
      <c r="AC329" s="269"/>
      <c r="AD329" s="256"/>
      <c r="AE329" s="269"/>
      <c r="AF329" s="269"/>
      <c r="AG329" s="256"/>
      <c r="AH329" s="269"/>
      <c r="AI329" s="269"/>
      <c r="AJ329" s="256"/>
      <c r="AK329" s="269"/>
      <c r="AL329" s="269"/>
      <c r="AM329" s="256"/>
      <c r="AN329" s="269"/>
      <c r="AO329" s="269"/>
      <c r="AP329" s="256"/>
      <c r="AQ329" s="269"/>
      <c r="AR329" s="269"/>
      <c r="AS329" s="256"/>
      <c r="AT329" s="269"/>
      <c r="AU329" s="269"/>
      <c r="AV329" s="256"/>
      <c r="AW329" s="269"/>
      <c r="AX329" s="269"/>
      <c r="AY329" s="256"/>
      <c r="AZ329" s="269"/>
      <c r="BA329" s="269"/>
      <c r="BB329" s="256"/>
      <c r="BC329" s="269"/>
      <c r="BD329" s="269"/>
      <c r="BE329" s="256"/>
      <c r="BF329" s="269"/>
      <c r="BG329" s="269"/>
      <c r="BH329" s="256"/>
      <c r="BI329" s="269"/>
      <c r="BJ329" s="269"/>
      <c r="BK329" s="256"/>
      <c r="BL329" s="269"/>
      <c r="BM329" s="269"/>
      <c r="BN329" s="256"/>
      <c r="BO329" s="269"/>
      <c r="BP329" s="269"/>
      <c r="BQ329" s="256"/>
      <c r="BR329" s="269"/>
      <c r="BS329" s="269"/>
      <c r="BT329" s="256"/>
      <c r="BU329" s="269"/>
      <c r="BV329" s="269"/>
      <c r="BW329" s="256"/>
      <c r="BX329" s="269"/>
      <c r="BY329" s="269"/>
      <c r="BZ329" s="256"/>
      <c r="CA329" s="269"/>
      <c r="CB329" s="269"/>
      <c r="CC329" s="256"/>
      <c r="CD329" s="269"/>
      <c r="CE329" s="269"/>
      <c r="CF329" s="256"/>
      <c r="CG329" s="269"/>
      <c r="CH329" s="269"/>
      <c r="CI329" s="1684">
        <f t="shared" si="39"/>
        <v>0</v>
      </c>
      <c r="CJ329" s="269"/>
      <c r="CK329" s="269"/>
      <c r="CL329" s="256"/>
      <c r="CM329" s="269"/>
      <c r="CN329" s="269"/>
      <c r="CO329" s="256"/>
      <c r="CP329" s="269"/>
      <c r="CQ329" s="269"/>
      <c r="CR329" s="256"/>
      <c r="CS329" s="269"/>
      <c r="CT329" s="269"/>
      <c r="CU329" s="256"/>
      <c r="CV329" s="269"/>
      <c r="CW329" s="269"/>
      <c r="CX329" s="256"/>
      <c r="CY329" s="269"/>
      <c r="CZ329" s="269"/>
    </row>
    <row r="330" spans="1:105">
      <c r="A330" s="260">
        <f t="shared" si="38"/>
        <v>323</v>
      </c>
      <c r="B330" s="260"/>
      <c r="C330" s="256" t="s">
        <v>235</v>
      </c>
      <c r="D330" s="266"/>
      <c r="E330" s="265"/>
      <c r="F330" s="264"/>
      <c r="G330" s="454">
        <f ca="1">+G321-G328</f>
        <v>36349832.060470015</v>
      </c>
      <c r="H330" s="276"/>
      <c r="I330" s="277"/>
      <c r="J330" s="276"/>
      <c r="K330" s="454">
        <f ca="1">+K321-K328</f>
        <v>36434235.255422771</v>
      </c>
      <c r="M330" s="1630" t="s">
        <v>1528</v>
      </c>
      <c r="N330" s="1120">
        <f ca="1">+N321-N328</f>
        <v>88067425.023267806</v>
      </c>
      <c r="O330" s="1120">
        <v>26046482.153147265</v>
      </c>
      <c r="Q330" s="1734">
        <v>32837508.034698591</v>
      </c>
      <c r="R330" s="256"/>
      <c r="S330" s="1734">
        <v>33168135.500021711</v>
      </c>
      <c r="T330" s="1734">
        <f>+T321-T328</f>
        <v>23271627.526126087</v>
      </c>
      <c r="U330" s="256"/>
      <c r="V330" s="1734">
        <v>33167229.413541511</v>
      </c>
      <c r="W330" s="1734">
        <f>+W321-W328</f>
        <v>23270837.798965991</v>
      </c>
      <c r="X330" s="256"/>
      <c r="Y330" s="1734">
        <v>33137385.751978517</v>
      </c>
      <c r="Z330" s="1734">
        <f>+Z321-Z328</f>
        <v>23243801.865570351</v>
      </c>
      <c r="AA330" s="256"/>
      <c r="AB330" s="1734">
        <v>33162292.599825993</v>
      </c>
      <c r="AC330" s="1734">
        <f>+AC321-AC328</f>
        <v>23269450.009356335</v>
      </c>
      <c r="AD330" s="256"/>
      <c r="AE330" s="1734">
        <v>33185348.856671929</v>
      </c>
      <c r="AF330" s="1734">
        <f>+AF321-AF328</f>
        <v>23289543.928174362</v>
      </c>
      <c r="AG330" s="256"/>
      <c r="AH330" s="1734">
        <v>33023633.460103542</v>
      </c>
      <c r="AI330" s="1734">
        <f>+AI321-AI328</f>
        <v>23150759.470191076</v>
      </c>
      <c r="AJ330" s="256"/>
      <c r="AK330" s="1734">
        <v>33131797.452428043</v>
      </c>
      <c r="AL330" s="1734">
        <f>+AL321-AL328</f>
        <v>23245568.504739046</v>
      </c>
      <c r="AM330" s="256"/>
      <c r="AN330" s="1734">
        <v>33172824.395452321</v>
      </c>
      <c r="AO330" s="1734">
        <f>+AO321-AO328</f>
        <v>23281013.569202021</v>
      </c>
      <c r="AP330" s="256"/>
      <c r="AQ330" s="1734">
        <v>33609611.187571838</v>
      </c>
      <c r="AR330" s="1734">
        <f>+AR321-AR328</f>
        <v>23661678.798052028</v>
      </c>
      <c r="AS330" s="256"/>
      <c r="AT330" s="1734">
        <v>33610520.02737242</v>
      </c>
      <c r="AU330" s="1734">
        <f>+AU321-AU328</f>
        <v>23662458.633635566</v>
      </c>
      <c r="AV330" s="256"/>
      <c r="AW330" s="1734">
        <v>33667140.299663991</v>
      </c>
      <c r="AX330" s="1734">
        <f>+AX321-AX328</f>
        <v>23711803.918554097</v>
      </c>
      <c r="AY330" s="256"/>
      <c r="AZ330" s="1734">
        <v>34195188.886668548</v>
      </c>
      <c r="BA330" s="1734">
        <f>+BA321-BA328</f>
        <v>24163904.44091326</v>
      </c>
      <c r="BB330" s="256"/>
      <c r="BC330" s="1734">
        <v>34195188.886668548</v>
      </c>
      <c r="BD330" s="1734">
        <f>+BD321-BD328</f>
        <v>24163904.44091326</v>
      </c>
      <c r="BE330" s="256"/>
      <c r="BF330" s="1734">
        <v>34394741.069879919</v>
      </c>
      <c r="BG330" s="1734">
        <f>+BG321-BG328</f>
        <v>24337816.768298775</v>
      </c>
      <c r="BH330" s="256"/>
      <c r="BI330" s="1734">
        <v>34589494.322051883</v>
      </c>
      <c r="BJ330" s="1734">
        <f>+BJ321-BJ328</f>
        <v>24507546.758763716</v>
      </c>
      <c r="BK330" s="256"/>
      <c r="BL330" s="1734">
        <v>34754109.196713999</v>
      </c>
      <c r="BM330" s="1734">
        <f>+BM321-BM328</f>
        <v>24651010.765149027</v>
      </c>
      <c r="BN330" s="256"/>
      <c r="BO330" s="1734">
        <v>36497229.556440845</v>
      </c>
      <c r="BP330" s="1734">
        <f>+BP321-BP328</f>
        <v>26153899.969158411</v>
      </c>
      <c r="BQ330" s="256"/>
      <c r="BR330" s="1734">
        <v>36295135.706996962</v>
      </c>
      <c r="BS330" s="1734">
        <f>+BS321-BS328</f>
        <v>25978414.70322971</v>
      </c>
      <c r="BT330" s="256"/>
      <c r="BU330" s="1734">
        <v>36255123.762267947</v>
      </c>
      <c r="BV330" s="1734">
        <f>+BV321-BV328</f>
        <v>25944043.19352895</v>
      </c>
      <c r="BW330" s="256"/>
      <c r="BX330" s="1734">
        <v>36175659.51929374</v>
      </c>
      <c r="BY330" s="1734">
        <f>+BY321-BY328</f>
        <v>25875782.634574443</v>
      </c>
      <c r="BZ330" s="256"/>
      <c r="CA330" s="1734">
        <v>35964887.314475462</v>
      </c>
      <c r="CB330" s="1734">
        <f>+CB321-CB328</f>
        <v>25646544.204828978</v>
      </c>
      <c r="CC330" s="256"/>
      <c r="CD330" s="1734">
        <v>35964887.314475462</v>
      </c>
      <c r="CE330" s="1734">
        <f>+CE321-CE328</f>
        <v>25646544.204828978</v>
      </c>
      <c r="CF330" s="256"/>
      <c r="CG330" s="1734">
        <v>35989246.026590705</v>
      </c>
      <c r="CH330" s="1734">
        <f>+CH321-CH328</f>
        <v>25667787.666133463</v>
      </c>
      <c r="CI330" s="1684">
        <f t="shared" si="39"/>
        <v>21243.461304485798</v>
      </c>
      <c r="CJ330" s="1734">
        <v>35989246.026590705</v>
      </c>
      <c r="CK330" s="1734">
        <f>+CK321-CK328</f>
        <v>25667787.666133463</v>
      </c>
      <c r="CL330" s="256"/>
      <c r="CM330" s="1734">
        <v>36419755.002137795</v>
      </c>
      <c r="CN330" s="1734">
        <f>+CN321-CN328</f>
        <v>26039287.734180108</v>
      </c>
      <c r="CO330" s="256"/>
      <c r="CP330" s="454">
        <v>36192749.740488812</v>
      </c>
      <c r="CQ330" s="1734">
        <f>+CQ321-CQ328</f>
        <v>25841297.834069937</v>
      </c>
      <c r="CR330" s="256"/>
      <c r="CS330" s="454">
        <v>36291135.100159094</v>
      </c>
      <c r="CT330" s="1734">
        <f>+CT321-CT328</f>
        <v>25921703.821995482</v>
      </c>
      <c r="CU330" s="256"/>
      <c r="CV330" s="1734">
        <v>36434235.255422771</v>
      </c>
      <c r="CW330" s="1734">
        <f>+CW321-CW328</f>
        <v>26046482.153147265</v>
      </c>
      <c r="CX330" s="256"/>
      <c r="CY330" s="1734"/>
      <c r="CZ330" s="1734"/>
    </row>
    <row r="331" spans="1:105">
      <c r="A331" s="260">
        <f t="shared" si="38"/>
        <v>324</v>
      </c>
      <c r="B331" s="260"/>
      <c r="C331" s="256" t="s">
        <v>253</v>
      </c>
      <c r="D331" s="266"/>
      <c r="E331" s="265"/>
      <c r="F331" s="264"/>
      <c r="G331" s="716">
        <f ca="1">+G313</f>
        <v>525867609.38193923</v>
      </c>
      <c r="H331" s="276"/>
      <c r="I331" s="277"/>
      <c r="J331" s="276"/>
      <c r="K331" s="716">
        <f ca="1">+K313</f>
        <v>586098201.85827959</v>
      </c>
      <c r="M331" s="1630" t="s">
        <v>1528</v>
      </c>
      <c r="N331" s="1122">
        <f ca="1">+N313</f>
        <v>450132278.01487595</v>
      </c>
      <c r="O331" s="1122">
        <v>504184926.92369127</v>
      </c>
      <c r="Q331" s="1735">
        <v>586160478.06823134</v>
      </c>
      <c r="R331" s="256"/>
      <c r="S331" s="1735">
        <v>586160207.5636133</v>
      </c>
      <c r="T331" s="1735">
        <f>+T313</f>
        <v>503631545.76956171</v>
      </c>
      <c r="U331" s="256"/>
      <c r="V331" s="1735">
        <v>586160290.12826955</v>
      </c>
      <c r="W331" s="1735">
        <f>+W313</f>
        <v>503631617.69074732</v>
      </c>
      <c r="X331" s="256"/>
      <c r="Y331" s="1735">
        <v>586161707.9501158</v>
      </c>
      <c r="Z331" s="1735">
        <f>+Z313</f>
        <v>503633659.06337595</v>
      </c>
      <c r="AA331" s="256"/>
      <c r="AB331" s="1735">
        <v>586162389.23162031</v>
      </c>
      <c r="AC331" s="1735">
        <f>+AC313</f>
        <v>503627456.70066857</v>
      </c>
      <c r="AD331" s="256"/>
      <c r="AE331" s="1735">
        <v>586163019.88454056</v>
      </c>
      <c r="AF331" s="1735">
        <f>+AF313</f>
        <v>503628006.4191317</v>
      </c>
      <c r="AG331" s="256"/>
      <c r="AH331" s="1735">
        <v>586162024.68772686</v>
      </c>
      <c r="AI331" s="1735">
        <f>+AI313</f>
        <v>503627145.18099606</v>
      </c>
      <c r="AJ331" s="256"/>
      <c r="AK331" s="1735">
        <v>586164983.25441694</v>
      </c>
      <c r="AL331" s="1735">
        <f>+AL313</f>
        <v>503628786.77336246</v>
      </c>
      <c r="AM331" s="256"/>
      <c r="AN331" s="1735">
        <v>586161243.99603462</v>
      </c>
      <c r="AO331" s="1735">
        <f>+AO313</f>
        <v>503626066.60765743</v>
      </c>
      <c r="AP331" s="256"/>
      <c r="AQ331" s="1735">
        <v>586173191.31177068</v>
      </c>
      <c r="AR331" s="1735">
        <f>+AR313</f>
        <v>503636480.6198228</v>
      </c>
      <c r="AS331" s="256"/>
      <c r="AT331" s="1735">
        <v>586353527.01501048</v>
      </c>
      <c r="AU331" s="1735">
        <f>+AU313</f>
        <v>503792111.34792829</v>
      </c>
      <c r="AV331" s="256"/>
      <c r="AW331" s="1735">
        <v>586355075.74529672</v>
      </c>
      <c r="AX331" s="1735">
        <f>+AX313</f>
        <v>503793461.31609082</v>
      </c>
      <c r="AY331" s="256"/>
      <c r="AZ331" s="1735">
        <v>584180936.75151372</v>
      </c>
      <c r="BA331" s="1735">
        <f>+BA313</f>
        <v>501619315.65777957</v>
      </c>
      <c r="BB331" s="256"/>
      <c r="BC331" s="1735">
        <v>584180936.75151372</v>
      </c>
      <c r="BD331" s="1735">
        <f>+BD313</f>
        <v>501619315.65777957</v>
      </c>
      <c r="BE331" s="256"/>
      <c r="BF331" s="1735">
        <v>584186395.05508983</v>
      </c>
      <c r="BG331" s="1735">
        <f>+BG313</f>
        <v>501624073.44950211</v>
      </c>
      <c r="BH331" s="256"/>
      <c r="BI331" s="1735">
        <v>584191722.1031239</v>
      </c>
      <c r="BJ331" s="1735">
        <f>+BJ313</f>
        <v>501628716.83083779</v>
      </c>
      <c r="BK331" s="256"/>
      <c r="BL331" s="1735">
        <v>584196224.77529871</v>
      </c>
      <c r="BM331" s="1735">
        <f>+BM313</f>
        <v>501632641.6356951</v>
      </c>
      <c r="BN331" s="256"/>
      <c r="BO331" s="1735">
        <v>584708958.58516836</v>
      </c>
      <c r="BP331" s="1735">
        <f>+BP313</f>
        <v>502073518.42919606</v>
      </c>
      <c r="BQ331" s="256"/>
      <c r="BR331" s="1735">
        <v>584701418.97837627</v>
      </c>
      <c r="BS331" s="1735">
        <f>+BS313</f>
        <v>502066967.22563922</v>
      </c>
      <c r="BT331" s="256"/>
      <c r="BU331" s="1735">
        <v>576781704.38418067</v>
      </c>
      <c r="BV331" s="1735">
        <f>+BV313</f>
        <v>495232230.72937334</v>
      </c>
      <c r="BW331" s="256"/>
      <c r="BX331" s="1735">
        <v>576781651.25146985</v>
      </c>
      <c r="BY331" s="1735">
        <f>+BY313</f>
        <v>495232183.37568259</v>
      </c>
      <c r="BZ331" s="256"/>
      <c r="CA331" s="1735">
        <v>584659956.56479096</v>
      </c>
      <c r="CB331" s="1735">
        <f>+CB313</f>
        <v>502652422.48278922</v>
      </c>
      <c r="CC331" s="256"/>
      <c r="CD331" s="1735">
        <v>584659956.56479096</v>
      </c>
      <c r="CE331" s="1735">
        <f>+CE313</f>
        <v>502652422.48278922</v>
      </c>
      <c r="CF331" s="256"/>
      <c r="CG331" s="1735">
        <v>584660622.83814991</v>
      </c>
      <c r="CH331" s="1735">
        <f>+CH313</f>
        <v>502653003.62958616</v>
      </c>
      <c r="CI331" s="1684">
        <f t="shared" si="39"/>
        <v>581.1467969417572</v>
      </c>
      <c r="CJ331" s="1735">
        <v>584660622.83814991</v>
      </c>
      <c r="CK331" s="1735">
        <f>+CK313</f>
        <v>502653003.62958616</v>
      </c>
      <c r="CL331" s="256"/>
      <c r="CM331" s="1735">
        <v>584621385.59830976</v>
      </c>
      <c r="CN331" s="1735">
        <f>+CN313</f>
        <v>502625887.51786774</v>
      </c>
      <c r="CO331" s="256"/>
      <c r="CP331" s="716">
        <v>584615176.38402021</v>
      </c>
      <c r="CQ331" s="1735">
        <f>+CQ313</f>
        <v>502620471.1496129</v>
      </c>
      <c r="CR331" s="256"/>
      <c r="CS331" s="716">
        <v>584617867.50225306</v>
      </c>
      <c r="CT331" s="1735">
        <f>+CT313</f>
        <v>502632492.59738082</v>
      </c>
      <c r="CU331" s="256"/>
      <c r="CV331" s="1735">
        <v>586098201.85827959</v>
      </c>
      <c r="CW331" s="1735">
        <f>+CW313</f>
        <v>504184926.92369127</v>
      </c>
      <c r="CX331" s="256"/>
      <c r="CY331" s="1735"/>
      <c r="CZ331" s="1735"/>
    </row>
    <row r="332" spans="1:105">
      <c r="A332" s="260">
        <f t="shared" si="38"/>
        <v>325</v>
      </c>
      <c r="B332" s="260"/>
      <c r="C332" s="256" t="s">
        <v>160</v>
      </c>
      <c r="D332" s="266"/>
      <c r="E332" s="265"/>
      <c r="F332" s="264"/>
      <c r="G332" s="471">
        <f ca="1">+G330/G331</f>
        <v>6.9123542526592516E-2</v>
      </c>
      <c r="H332" s="270"/>
      <c r="I332" s="271"/>
      <c r="J332" s="270"/>
      <c r="K332" s="471">
        <f ca="1">+K330/K331</f>
        <v>6.2164045444781428E-2</v>
      </c>
      <c r="M332" s="1630" t="s">
        <v>1528</v>
      </c>
      <c r="N332" s="1123">
        <f ca="1">+N330/N331</f>
        <v>0.19564787802299607</v>
      </c>
      <c r="O332" s="1123">
        <v>5.1660572861769463E-2</v>
      </c>
      <c r="Q332" s="1736">
        <v>5.6021361492878029E-2</v>
      </c>
      <c r="R332" s="256"/>
      <c r="S332" s="1736">
        <v>5.6585443829231828E-2</v>
      </c>
      <c r="T332" s="1736">
        <f>+T330/T331</f>
        <v>4.6207644698996075E-2</v>
      </c>
      <c r="U332" s="256"/>
      <c r="V332" s="1736">
        <v>5.6583890058952167E-2</v>
      </c>
      <c r="W332" s="1736">
        <f>+W330/W331</f>
        <v>4.6206070035212404E-2</v>
      </c>
      <c r="X332" s="256"/>
      <c r="Y332" s="1736">
        <v>5.6532839492133134E-2</v>
      </c>
      <c r="Z332" s="1736">
        <f>+Z330/Z331</f>
        <v>4.6152201004193434E-2</v>
      </c>
      <c r="AA332" s="256"/>
      <c r="AB332" s="1736">
        <v>5.6575265163800903E-2</v>
      </c>
      <c r="AC332" s="1736">
        <f>+AC330/AC331</f>
        <v>4.6203696203931457E-2</v>
      </c>
      <c r="AD332" s="256"/>
      <c r="AE332" s="1736">
        <v>5.6614538500242839E-2</v>
      </c>
      <c r="AF332" s="1736">
        <f>+AF330/AF331</f>
        <v>4.6243544106624256E-2</v>
      </c>
      <c r="AG332" s="256"/>
      <c r="AH332" s="1736">
        <v>5.6338746062057875E-2</v>
      </c>
      <c r="AI332" s="1736">
        <f>+AI330/AI331</f>
        <v>4.5968053334120899E-2</v>
      </c>
      <c r="AJ332" s="256"/>
      <c r="AK332" s="1736">
        <v>5.6522989941293775E-2</v>
      </c>
      <c r="AL332" s="1736">
        <f>+AL330/AL331</f>
        <v>4.615615531762636E-2</v>
      </c>
      <c r="AM332" s="256"/>
      <c r="AN332" s="1736">
        <v>5.6593343103517664E-2</v>
      </c>
      <c r="AO332" s="1736">
        <f>+AO330/AO331</f>
        <v>4.6226784340252895E-2</v>
      </c>
      <c r="AP332" s="256"/>
      <c r="AQ332" s="1736">
        <v>5.7337339349072577E-2</v>
      </c>
      <c r="AR332" s="1736">
        <f>+AR330/AR331</f>
        <v>4.6981661790924521E-2</v>
      </c>
      <c r="AS332" s="256"/>
      <c r="AT332" s="1736">
        <v>5.7321254974751774E-2</v>
      </c>
      <c r="AU332" s="1736">
        <f>+AU330/AU331</f>
        <v>4.6968696215439205E-2</v>
      </c>
      <c r="AV332" s="256"/>
      <c r="AW332" s="1736">
        <v>5.7417666687494422E-2</v>
      </c>
      <c r="AX332" s="1736">
        <f>+AX330/AX331</f>
        <v>4.7066517807933209E-2</v>
      </c>
      <c r="AY332" s="256"/>
      <c r="AZ332" s="1736">
        <v>5.8535270042907546E-2</v>
      </c>
      <c r="BA332" s="1736">
        <f>+BA330/BA331</f>
        <v>4.8171798187689074E-2</v>
      </c>
      <c r="BB332" s="256"/>
      <c r="BC332" s="1736">
        <v>5.8535270042907546E-2</v>
      </c>
      <c r="BD332" s="1736">
        <f>+BD330/BD331</f>
        <v>4.8171798187689074E-2</v>
      </c>
      <c r="BE332" s="256"/>
      <c r="BF332" s="1736">
        <v>5.887631304155317E-2</v>
      </c>
      <c r="BG332" s="1736">
        <f>+BG330/BG331</f>
        <v>4.8518039816023373E-2</v>
      </c>
      <c r="BH332" s="256"/>
      <c r="BI332" s="1736">
        <v>5.9209148321252666E-2</v>
      </c>
      <c r="BJ332" s="1736">
        <f>+BJ330/BJ331</f>
        <v>4.8855948506289951E-2</v>
      </c>
      <c r="BK332" s="256"/>
      <c r="BL332" s="1736">
        <v>5.9490472075682421E-2</v>
      </c>
      <c r="BM332" s="1736">
        <f>+BM330/BM331</f>
        <v>4.9141560415144475E-2</v>
      </c>
      <c r="BN332" s="256"/>
      <c r="BO332" s="1736">
        <v>6.2419480701568011E-2</v>
      </c>
      <c r="BP332" s="1736">
        <f>+BP330/BP331</f>
        <v>5.2091773433867561E-2</v>
      </c>
      <c r="BQ332" s="256"/>
      <c r="BR332" s="1736">
        <v>6.2074649605629313E-2</v>
      </c>
      <c r="BS332" s="1736">
        <f>+BS330/BS331</f>
        <v>5.1742927535709547E-2</v>
      </c>
      <c r="BT332" s="256"/>
      <c r="BU332" s="1736">
        <v>6.2857617512290687E-2</v>
      </c>
      <c r="BV332" s="1736">
        <f>+BV330/BV331</f>
        <v>5.2387630658284924E-2</v>
      </c>
      <c r="BW332" s="256"/>
      <c r="BX332" s="1736">
        <v>6.2719851508455132E-2</v>
      </c>
      <c r="BY332" s="1736">
        <f>+BY330/BY331</f>
        <v>5.2249800201181799E-2</v>
      </c>
      <c r="BZ332" s="256"/>
      <c r="CA332" s="1736">
        <v>6.1514196261686166E-2</v>
      </c>
      <c r="CB332" s="1736">
        <f>+CB330/CB331</f>
        <v>5.1022422369220978E-2</v>
      </c>
      <c r="CC332" s="256"/>
      <c r="CD332" s="1736">
        <v>6.1514196261686166E-2</v>
      </c>
      <c r="CE332" s="1736">
        <f>+CE330/CE331</f>
        <v>5.1022422369220978E-2</v>
      </c>
      <c r="CF332" s="256"/>
      <c r="CG332" s="1736">
        <v>6.1555789154888095E-2</v>
      </c>
      <c r="CH332" s="1736">
        <f>+CH330/CH331</f>
        <v>5.1064626055728313E-2</v>
      </c>
      <c r="CI332" s="1684">
        <f t="shared" si="39"/>
        <v>4.2203686507334692E-5</v>
      </c>
      <c r="CJ332" s="1736">
        <v>6.1555789154888095E-2</v>
      </c>
      <c r="CK332" s="1736">
        <f>+CK330/CK331</f>
        <v>5.1064626055728313E-2</v>
      </c>
      <c r="CL332" s="256"/>
      <c r="CM332" s="1736">
        <v>6.2296309884157429E-2</v>
      </c>
      <c r="CN332" s="1736">
        <f>+CN330/CN331</f>
        <v>5.1806499388184504E-2</v>
      </c>
      <c r="CO332" s="256"/>
      <c r="CP332" s="471">
        <v>6.1908672922843577E-2</v>
      </c>
      <c r="CQ332" s="1736">
        <f>+CQ330/CQ331</f>
        <v>5.1413142355632123E-2</v>
      </c>
      <c r="CR332" s="256"/>
      <c r="CS332" s="471">
        <v>6.207667797635219E-2</v>
      </c>
      <c r="CT332" s="1736">
        <f>+CT330/CT331</f>
        <v>5.1571882446444443E-2</v>
      </c>
      <c r="CU332" s="256"/>
      <c r="CV332" s="1736">
        <v>6.2164045444781428E-2</v>
      </c>
      <c r="CW332" s="1736">
        <f>+CW330/CW331</f>
        <v>5.1660572861769463E-2</v>
      </c>
      <c r="CX332" s="256"/>
      <c r="CY332" s="1736"/>
      <c r="CZ332" s="1736"/>
    </row>
    <row r="333" spans="1:105">
      <c r="A333" s="260">
        <f t="shared" si="38"/>
        <v>326</v>
      </c>
      <c r="B333" s="260"/>
      <c r="D333" s="266"/>
      <c r="E333" s="265"/>
      <c r="F333" s="264"/>
      <c r="G333" s="454"/>
      <c r="H333" s="267"/>
      <c r="I333" s="268"/>
      <c r="J333" s="267"/>
      <c r="K333" s="29"/>
      <c r="M333" s="1624"/>
      <c r="N333" s="1120"/>
      <c r="O333" s="1120"/>
      <c r="Q333" s="29"/>
      <c r="R333" s="256"/>
      <c r="S333" s="29"/>
      <c r="T333" s="256"/>
      <c r="U333" s="256"/>
      <c r="V333" s="29"/>
      <c r="W333" s="256"/>
      <c r="X333" s="256"/>
      <c r="Y333" s="29"/>
      <c r="Z333" s="256"/>
      <c r="AA333" s="256"/>
      <c r="AB333" s="29"/>
      <c r="AC333" s="256"/>
      <c r="AD333" s="256"/>
      <c r="AE333" s="29"/>
      <c r="AF333" s="256"/>
      <c r="AG333" s="256"/>
      <c r="AH333" s="29"/>
      <c r="AI333" s="256"/>
      <c r="AJ333" s="256"/>
      <c r="AK333" s="29"/>
      <c r="AL333" s="256"/>
      <c r="AM333" s="256"/>
      <c r="AN333" s="29"/>
      <c r="AO333" s="256"/>
      <c r="AP333" s="256"/>
      <c r="AQ333" s="29"/>
      <c r="AR333" s="256"/>
      <c r="AS333" s="256"/>
      <c r="AT333" s="29"/>
      <c r="AU333" s="256"/>
      <c r="AV333" s="256"/>
      <c r="AW333" s="29"/>
      <c r="AX333" s="256"/>
      <c r="AY333" s="256"/>
      <c r="AZ333" s="29"/>
      <c r="BA333" s="256"/>
      <c r="BB333" s="256"/>
      <c r="BC333" s="29"/>
      <c r="BD333" s="256"/>
      <c r="BE333" s="256"/>
      <c r="BF333" s="29"/>
      <c r="BG333" s="256"/>
      <c r="BH333" s="256"/>
      <c r="BI333" s="29"/>
      <c r="BJ333" s="256"/>
      <c r="BK333" s="256"/>
      <c r="BL333" s="29"/>
      <c r="BM333" s="256"/>
      <c r="BN333" s="256"/>
      <c r="BO333" s="29"/>
      <c r="BP333" s="256"/>
      <c r="BQ333" s="256"/>
      <c r="BR333" s="29"/>
      <c r="BS333" s="256"/>
      <c r="BT333" s="256"/>
      <c r="BU333" s="29"/>
      <c r="BV333" s="256"/>
      <c r="BW333" s="256"/>
      <c r="BX333" s="29"/>
      <c r="BY333" s="256"/>
      <c r="BZ333" s="256"/>
      <c r="CA333" s="29"/>
      <c r="CB333" s="256"/>
      <c r="CC333" s="256"/>
      <c r="CD333" s="29"/>
      <c r="CE333" s="256"/>
      <c r="CF333" s="256"/>
      <c r="CG333" s="29"/>
      <c r="CH333" s="256"/>
      <c r="CI333" s="1684">
        <f t="shared" si="39"/>
        <v>0</v>
      </c>
      <c r="CJ333" s="29"/>
      <c r="CK333" s="256"/>
      <c r="CL333" s="256"/>
      <c r="CM333" s="29"/>
      <c r="CN333" s="256"/>
      <c r="CO333" s="256"/>
      <c r="CP333" s="29"/>
      <c r="CQ333" s="256"/>
      <c r="CR333" s="256"/>
      <c r="CS333" s="29"/>
      <c r="CT333" s="256"/>
      <c r="CU333" s="256"/>
      <c r="CV333" s="29"/>
      <c r="CW333" s="256"/>
      <c r="CX333" s="256"/>
      <c r="CY333" s="29"/>
      <c r="CZ333" s="256"/>
    </row>
    <row r="334" spans="1:105">
      <c r="A334" s="260">
        <f t="shared" si="38"/>
        <v>327</v>
      </c>
      <c r="B334" s="260"/>
      <c r="C334" s="275" t="s">
        <v>311</v>
      </c>
      <c r="D334" s="266"/>
      <c r="E334" s="265"/>
      <c r="F334" s="264"/>
      <c r="G334" s="748"/>
      <c r="H334" s="267"/>
      <c r="I334" s="268"/>
      <c r="J334" s="267"/>
      <c r="K334" s="29"/>
      <c r="M334" s="1624"/>
      <c r="N334" s="1641"/>
      <c r="O334" s="1641"/>
      <c r="Q334" s="29"/>
      <c r="R334" s="256"/>
      <c r="S334" s="29"/>
      <c r="T334" s="256"/>
      <c r="U334" s="256"/>
      <c r="V334" s="29"/>
      <c r="W334" s="256"/>
      <c r="X334" s="256"/>
      <c r="Y334" s="29"/>
      <c r="Z334" s="256"/>
      <c r="AA334" s="256"/>
      <c r="AB334" s="29"/>
      <c r="AC334" s="256"/>
      <c r="AD334" s="256"/>
      <c r="AE334" s="29"/>
      <c r="AF334" s="256"/>
      <c r="AG334" s="256"/>
      <c r="AH334" s="29"/>
      <c r="AI334" s="256"/>
      <c r="AJ334" s="256"/>
      <c r="AK334" s="29"/>
      <c r="AL334" s="256"/>
      <c r="AM334" s="256"/>
      <c r="AN334" s="29"/>
      <c r="AO334" s="256"/>
      <c r="AP334" s="256"/>
      <c r="AQ334" s="29"/>
      <c r="AR334" s="256"/>
      <c r="AS334" s="256"/>
      <c r="AT334" s="29"/>
      <c r="AU334" s="256"/>
      <c r="AV334" s="256"/>
      <c r="AW334" s="29"/>
      <c r="AX334" s="256"/>
      <c r="AY334" s="256"/>
      <c r="AZ334" s="29"/>
      <c r="BA334" s="256"/>
      <c r="BB334" s="256"/>
      <c r="BC334" s="29"/>
      <c r="BD334" s="256"/>
      <c r="BE334" s="256"/>
      <c r="BF334" s="29"/>
      <c r="BG334" s="256"/>
      <c r="BH334" s="256"/>
      <c r="BI334" s="29"/>
      <c r="BJ334" s="256"/>
      <c r="BK334" s="256"/>
      <c r="BL334" s="29"/>
      <c r="BM334" s="256"/>
      <c r="BN334" s="256"/>
      <c r="BO334" s="29"/>
      <c r="BP334" s="256"/>
      <c r="BQ334" s="256"/>
      <c r="BR334" s="29"/>
      <c r="BS334" s="256"/>
      <c r="BT334" s="256"/>
      <c r="BU334" s="29"/>
      <c r="BV334" s="256"/>
      <c r="BW334" s="256"/>
      <c r="BX334" s="29"/>
      <c r="BY334" s="256"/>
      <c r="BZ334" s="256"/>
      <c r="CA334" s="29"/>
      <c r="CB334" s="256"/>
      <c r="CC334" s="256"/>
      <c r="CD334" s="29"/>
      <c r="CE334" s="256"/>
      <c r="CF334" s="256"/>
      <c r="CG334" s="29"/>
      <c r="CH334" s="256"/>
      <c r="CI334" s="1684">
        <f t="shared" si="39"/>
        <v>0</v>
      </c>
      <c r="CJ334" s="29"/>
      <c r="CK334" s="256"/>
      <c r="CL334" s="256"/>
      <c r="CM334" s="29"/>
      <c r="CN334" s="256"/>
      <c r="CO334" s="256"/>
      <c r="CP334" s="29"/>
      <c r="CQ334" s="256"/>
      <c r="CR334" s="256"/>
      <c r="CS334" s="29"/>
      <c r="CT334" s="256"/>
      <c r="CU334" s="256"/>
      <c r="CV334" s="29"/>
      <c r="CW334" s="256"/>
      <c r="CX334" s="256"/>
      <c r="CY334" s="29"/>
      <c r="CZ334" s="256"/>
    </row>
    <row r="335" spans="1:105">
      <c r="A335" s="260">
        <f t="shared" si="38"/>
        <v>328</v>
      </c>
      <c r="B335" s="260"/>
      <c r="D335" s="266"/>
      <c r="E335" s="265"/>
      <c r="F335" s="264"/>
      <c r="G335" s="748"/>
      <c r="H335" s="267"/>
      <c r="I335" s="268"/>
      <c r="J335" s="267"/>
      <c r="K335" s="29"/>
      <c r="M335" s="1624"/>
      <c r="N335" s="1641"/>
      <c r="O335" s="1641"/>
      <c r="Q335" s="29"/>
      <c r="R335" s="256"/>
      <c r="S335" s="29"/>
      <c r="T335" s="256"/>
      <c r="U335" s="256"/>
      <c r="V335" s="29"/>
      <c r="W335" s="256"/>
      <c r="X335" s="256"/>
      <c r="Y335" s="29"/>
      <c r="Z335" s="256"/>
      <c r="AA335" s="256"/>
      <c r="AB335" s="29"/>
      <c r="AC335" s="256"/>
      <c r="AD335" s="256"/>
      <c r="AE335" s="29"/>
      <c r="AF335" s="256"/>
      <c r="AG335" s="256"/>
      <c r="AH335" s="29"/>
      <c r="AI335" s="256"/>
      <c r="AJ335" s="256"/>
      <c r="AK335" s="29"/>
      <c r="AL335" s="256"/>
      <c r="AM335" s="256"/>
      <c r="AN335" s="29"/>
      <c r="AO335" s="256"/>
      <c r="AP335" s="256"/>
      <c r="AQ335" s="29"/>
      <c r="AR335" s="256"/>
      <c r="AS335" s="256"/>
      <c r="AT335" s="29"/>
      <c r="AU335" s="256"/>
      <c r="AV335" s="256"/>
      <c r="AW335" s="29"/>
      <c r="AX335" s="256"/>
      <c r="AY335" s="256"/>
      <c r="AZ335" s="29"/>
      <c r="BA335" s="256"/>
      <c r="BB335" s="256"/>
      <c r="BC335" s="29"/>
      <c r="BD335" s="256"/>
      <c r="BE335" s="256"/>
      <c r="BF335" s="29"/>
      <c r="BG335" s="256"/>
      <c r="BH335" s="256"/>
      <c r="BI335" s="29"/>
      <c r="BJ335" s="256"/>
      <c r="BK335" s="256"/>
      <c r="BL335" s="29"/>
      <c r="BM335" s="256"/>
      <c r="BN335" s="256"/>
      <c r="BO335" s="29"/>
      <c r="BP335" s="256"/>
      <c r="BQ335" s="256"/>
      <c r="BR335" s="29"/>
      <c r="BS335" s="256"/>
      <c r="BT335" s="256"/>
      <c r="BU335" s="29"/>
      <c r="BV335" s="256"/>
      <c r="BW335" s="256"/>
      <c r="BX335" s="29"/>
      <c r="BY335" s="256"/>
      <c r="BZ335" s="256"/>
      <c r="CA335" s="29"/>
      <c r="CB335" s="256"/>
      <c r="CC335" s="256"/>
      <c r="CD335" s="29"/>
      <c r="CE335" s="256"/>
      <c r="CF335" s="256"/>
      <c r="CG335" s="29"/>
      <c r="CH335" s="256"/>
      <c r="CI335" s="1684">
        <f t="shared" si="39"/>
        <v>0</v>
      </c>
      <c r="CJ335" s="29"/>
      <c r="CK335" s="256"/>
      <c r="CL335" s="256"/>
      <c r="CM335" s="29"/>
      <c r="CN335" s="256"/>
      <c r="CO335" s="256"/>
      <c r="CP335" s="29"/>
      <c r="CQ335" s="256"/>
      <c r="CR335" s="256"/>
      <c r="CS335" s="29"/>
      <c r="CT335" s="256"/>
      <c r="CU335" s="256"/>
      <c r="CV335" s="29"/>
      <c r="CW335" s="256"/>
      <c r="CX335" s="256"/>
      <c r="CY335" s="29"/>
      <c r="CZ335" s="256"/>
    </row>
    <row r="336" spans="1:105">
      <c r="A336" s="260">
        <f t="shared" si="38"/>
        <v>329</v>
      </c>
      <c r="B336" s="260"/>
      <c r="C336" s="256" t="s">
        <v>253</v>
      </c>
      <c r="D336" s="266"/>
      <c r="E336" s="265"/>
      <c r="F336" s="264"/>
      <c r="G336" s="361"/>
      <c r="H336" s="29"/>
      <c r="I336" s="1229"/>
      <c r="J336" s="29"/>
      <c r="K336" s="310">
        <f ca="1">+K98</f>
        <v>586098201.85827959</v>
      </c>
      <c r="M336" s="1630" t="s">
        <v>1528</v>
      </c>
      <c r="N336" s="1117">
        <f ca="1">+N98</f>
        <v>450132278.01487595</v>
      </c>
      <c r="O336" s="1117">
        <v>504184926.92369127</v>
      </c>
      <c r="Q336" s="310">
        <v>586160478.06823134</v>
      </c>
      <c r="R336" s="256"/>
      <c r="S336" s="310">
        <v>586160207.5636133</v>
      </c>
      <c r="T336" s="310">
        <f>+T98</f>
        <v>503631545.76956171</v>
      </c>
      <c r="U336" s="256"/>
      <c r="V336" s="310">
        <v>586160290.12826955</v>
      </c>
      <c r="W336" s="310">
        <f>+W98</f>
        <v>503631617.69074732</v>
      </c>
      <c r="X336" s="256"/>
      <c r="Y336" s="310">
        <v>586161707.9501158</v>
      </c>
      <c r="Z336" s="310">
        <f>+Z98</f>
        <v>503633659.06337595</v>
      </c>
      <c r="AA336" s="256"/>
      <c r="AB336" s="310">
        <v>586162389.23162031</v>
      </c>
      <c r="AC336" s="310">
        <f>+AC98</f>
        <v>503627456.70066857</v>
      </c>
      <c r="AD336" s="256"/>
      <c r="AE336" s="310">
        <v>586163019.88454056</v>
      </c>
      <c r="AF336" s="310">
        <f>+AF98</f>
        <v>503628006.4191317</v>
      </c>
      <c r="AG336" s="256"/>
      <c r="AH336" s="310">
        <v>586162024.68772686</v>
      </c>
      <c r="AI336" s="310">
        <f>+AI98</f>
        <v>503627145.18099606</v>
      </c>
      <c r="AJ336" s="256"/>
      <c r="AK336" s="310">
        <v>586164983.25441694</v>
      </c>
      <c r="AL336" s="310">
        <f>+AL98</f>
        <v>503628786.77336246</v>
      </c>
      <c r="AM336" s="256"/>
      <c r="AN336" s="310">
        <v>586161243.99603462</v>
      </c>
      <c r="AO336" s="310">
        <f>+AO98</f>
        <v>503626066.60765743</v>
      </c>
      <c r="AP336" s="256"/>
      <c r="AQ336" s="310">
        <v>586173191.31177068</v>
      </c>
      <c r="AR336" s="310">
        <f>+AR98</f>
        <v>503636480.6198228</v>
      </c>
      <c r="AS336" s="256"/>
      <c r="AT336" s="310">
        <v>586353527.01501048</v>
      </c>
      <c r="AU336" s="310">
        <f>+AU98</f>
        <v>503792111.34792829</v>
      </c>
      <c r="AV336" s="256"/>
      <c r="AW336" s="310">
        <v>586355075.74529672</v>
      </c>
      <c r="AX336" s="310">
        <f>+AX98</f>
        <v>503793461.31609082</v>
      </c>
      <c r="AY336" s="256"/>
      <c r="AZ336" s="310">
        <v>584180936.75151372</v>
      </c>
      <c r="BA336" s="310">
        <f>+BA98</f>
        <v>501619315.65777957</v>
      </c>
      <c r="BB336" s="256"/>
      <c r="BC336" s="310">
        <v>584180936.75151372</v>
      </c>
      <c r="BD336" s="310">
        <f>+BD98</f>
        <v>501619315.65777957</v>
      </c>
      <c r="BE336" s="256"/>
      <c r="BF336" s="310">
        <v>584186395.05508983</v>
      </c>
      <c r="BG336" s="310">
        <f>+BG98</f>
        <v>501624073.44950211</v>
      </c>
      <c r="BH336" s="256"/>
      <c r="BI336" s="310">
        <v>584191722.1031239</v>
      </c>
      <c r="BJ336" s="310">
        <f>+BJ98</f>
        <v>501628716.83083779</v>
      </c>
      <c r="BK336" s="256"/>
      <c r="BL336" s="310">
        <v>584196224.77529871</v>
      </c>
      <c r="BM336" s="310">
        <f>+BM98</f>
        <v>501632641.6356951</v>
      </c>
      <c r="BN336" s="256"/>
      <c r="BO336" s="310">
        <v>584708958.58516836</v>
      </c>
      <c r="BP336" s="310">
        <f>+BP98</f>
        <v>502073518.42919606</v>
      </c>
      <c r="BQ336" s="256"/>
      <c r="BR336" s="310">
        <v>584701418.97837627</v>
      </c>
      <c r="BS336" s="310">
        <f>+BS98</f>
        <v>502066967.22563922</v>
      </c>
      <c r="BT336" s="256"/>
      <c r="BU336" s="310">
        <v>576781704.38418067</v>
      </c>
      <c r="BV336" s="310">
        <f>+BV98</f>
        <v>495232230.72937334</v>
      </c>
      <c r="BW336" s="256"/>
      <c r="BX336" s="310">
        <v>576781651.25146985</v>
      </c>
      <c r="BY336" s="310">
        <f>+BY98</f>
        <v>495232183.37568259</v>
      </c>
      <c r="BZ336" s="256"/>
      <c r="CA336" s="310">
        <v>584659956.56479096</v>
      </c>
      <c r="CB336" s="310">
        <f>+CB98</f>
        <v>502652422.48278922</v>
      </c>
      <c r="CC336" s="256"/>
      <c r="CD336" s="310">
        <v>584659956.56479096</v>
      </c>
      <c r="CE336" s="310">
        <f>+CE98</f>
        <v>502652422.48278922</v>
      </c>
      <c r="CF336" s="256"/>
      <c r="CG336" s="310">
        <v>584660622.83814991</v>
      </c>
      <c r="CH336" s="310">
        <f>+CH98</f>
        <v>502653003.62958616</v>
      </c>
      <c r="CI336" s="1684">
        <f t="shared" si="39"/>
        <v>581.1467969417572</v>
      </c>
      <c r="CJ336" s="310">
        <v>584660622.83814991</v>
      </c>
      <c r="CK336" s="310">
        <f>+CK98</f>
        <v>502653003.62958616</v>
      </c>
      <c r="CL336" s="256"/>
      <c r="CM336" s="310">
        <v>584621385.59830976</v>
      </c>
      <c r="CN336" s="310">
        <f>+CN98</f>
        <v>502625887.51786774</v>
      </c>
      <c r="CO336" s="256"/>
      <c r="CP336" s="310">
        <v>584615176.38402021</v>
      </c>
      <c r="CQ336" s="310">
        <f>+CQ98</f>
        <v>502620471.1496129</v>
      </c>
      <c r="CR336" s="256"/>
      <c r="CS336" s="310">
        <v>584617867.50225306</v>
      </c>
      <c r="CT336" s="310">
        <f>+CT98</f>
        <v>502632492.59738082</v>
      </c>
      <c r="CU336" s="256"/>
      <c r="CV336" s="310">
        <v>586098201.85827959</v>
      </c>
      <c r="CW336" s="310">
        <f>+CW98</f>
        <v>504184926.92369127</v>
      </c>
      <c r="CX336" s="256"/>
      <c r="CY336" s="310"/>
      <c r="CZ336" s="310"/>
      <c r="DA336" s="1777">
        <f>CV336-CS336</f>
        <v>1480334.3560265303</v>
      </c>
    </row>
    <row r="337" spans="1:105">
      <c r="A337" s="260">
        <f t="shared" ref="A337:A356" si="40">A336+1</f>
        <v>330</v>
      </c>
      <c r="B337" s="260"/>
      <c r="C337" s="256" t="s">
        <v>16</v>
      </c>
      <c r="D337" s="266"/>
      <c r="E337" s="265"/>
      <c r="F337" s="264"/>
      <c r="G337" s="454"/>
      <c r="H337" s="278"/>
      <c r="I337" s="279" t="s">
        <v>541</v>
      </c>
      <c r="J337" s="278"/>
      <c r="K337" s="269">
        <f>'Stmt G '!G26</f>
        <v>6.7100000000000007E-2</v>
      </c>
      <c r="M337" s="1630" t="s">
        <v>1528</v>
      </c>
      <c r="N337" s="1124">
        <f>'Stmt G '!G26</f>
        <v>6.7100000000000007E-2</v>
      </c>
      <c r="O337" s="1124">
        <v>6.7100000000000007E-2</v>
      </c>
      <c r="Q337" s="269">
        <v>7.0599999999999996E-2</v>
      </c>
      <c r="R337" s="256"/>
      <c r="S337" s="269">
        <v>7.0599999999999996E-2</v>
      </c>
      <c r="T337" s="269">
        <v>7.0599999999999996E-2</v>
      </c>
      <c r="U337" s="256"/>
      <c r="V337" s="269">
        <v>7.0599999999999996E-2</v>
      </c>
      <c r="W337" s="1737">
        <f>V337</f>
        <v>7.0599999999999996E-2</v>
      </c>
      <c r="X337" s="256"/>
      <c r="Y337" s="269">
        <v>7.0599999999999996E-2</v>
      </c>
      <c r="Z337" s="1737">
        <f>Y337</f>
        <v>7.0599999999999996E-2</v>
      </c>
      <c r="AA337" s="256"/>
      <c r="AB337" s="269">
        <v>7.0599999999999996E-2</v>
      </c>
      <c r="AC337" s="1737">
        <f>AB337</f>
        <v>7.0599999999999996E-2</v>
      </c>
      <c r="AD337" s="256"/>
      <c r="AE337" s="269">
        <v>7.0599999999999996E-2</v>
      </c>
      <c r="AF337" s="1737">
        <f>AE337</f>
        <v>7.0599999999999996E-2</v>
      </c>
      <c r="AG337" s="256"/>
      <c r="AH337" s="269">
        <v>6.9599999999999995E-2</v>
      </c>
      <c r="AI337" s="1737">
        <f>AH337</f>
        <v>6.9599999999999995E-2</v>
      </c>
      <c r="AJ337" s="256"/>
      <c r="AK337" s="269">
        <v>6.9599999999999995E-2</v>
      </c>
      <c r="AL337" s="1737">
        <f>AK337</f>
        <v>6.9599999999999995E-2</v>
      </c>
      <c r="AM337" s="256"/>
      <c r="AN337" s="269">
        <v>6.9599999999999995E-2</v>
      </c>
      <c r="AO337" s="1737">
        <f>AN337</f>
        <v>6.9599999999999995E-2</v>
      </c>
      <c r="AP337" s="256"/>
      <c r="AQ337" s="269">
        <v>6.9599999999999995E-2</v>
      </c>
      <c r="AR337" s="1737">
        <f>AQ337</f>
        <v>6.9599999999999995E-2</v>
      </c>
      <c r="AS337" s="256"/>
      <c r="AT337" s="269">
        <v>6.9599999999999995E-2</v>
      </c>
      <c r="AU337" s="1737">
        <f>AT337</f>
        <v>6.9599999999999995E-2</v>
      </c>
      <c r="AV337" s="256"/>
      <c r="AW337" s="269">
        <v>6.9599999999999995E-2</v>
      </c>
      <c r="AX337" s="1737">
        <f>AW337</f>
        <v>6.9599999999999995E-2</v>
      </c>
      <c r="AY337" s="256"/>
      <c r="AZ337" s="269">
        <v>6.9599999999999995E-2</v>
      </c>
      <c r="BA337" s="1737">
        <f>AZ337</f>
        <v>6.9599999999999995E-2</v>
      </c>
      <c r="BB337" s="256"/>
      <c r="BC337" s="269">
        <v>6.9599999999999995E-2</v>
      </c>
      <c r="BD337" s="1737">
        <f>BC337</f>
        <v>6.9599999999999995E-2</v>
      </c>
      <c r="BE337" s="256"/>
      <c r="BF337" s="269">
        <v>6.9599999999999995E-2</v>
      </c>
      <c r="BG337" s="1737">
        <f>BF337</f>
        <v>6.9599999999999995E-2</v>
      </c>
      <c r="BH337" s="256"/>
      <c r="BI337" s="269">
        <v>6.9599999999999995E-2</v>
      </c>
      <c r="BJ337" s="1737">
        <f>BI337</f>
        <v>6.9599999999999995E-2</v>
      </c>
      <c r="BK337" s="256"/>
      <c r="BL337" s="269">
        <v>6.9599999999999995E-2</v>
      </c>
      <c r="BM337" s="1737">
        <f>BL337</f>
        <v>6.9599999999999995E-2</v>
      </c>
      <c r="BN337" s="256"/>
      <c r="BO337" s="269">
        <v>6.9599999999999995E-2</v>
      </c>
      <c r="BP337" s="1737">
        <f>BO337</f>
        <v>6.9599999999999995E-2</v>
      </c>
      <c r="BQ337" s="256"/>
      <c r="BR337" s="269">
        <v>6.7100000000000007E-2</v>
      </c>
      <c r="BS337" s="1737">
        <f>BR337</f>
        <v>6.7100000000000007E-2</v>
      </c>
      <c r="BT337" s="256"/>
      <c r="BU337" s="269">
        <v>6.7100000000000007E-2</v>
      </c>
      <c r="BV337" s="1737">
        <f>BU337</f>
        <v>6.7100000000000007E-2</v>
      </c>
      <c r="BW337" s="256"/>
      <c r="BX337" s="269">
        <v>6.7100000000000007E-2</v>
      </c>
      <c r="BY337" s="1737">
        <f>BX337</f>
        <v>6.7100000000000007E-2</v>
      </c>
      <c r="BZ337" s="256"/>
      <c r="CA337" s="269">
        <v>6.7100000000000007E-2</v>
      </c>
      <c r="CB337" s="1737">
        <f>CA337</f>
        <v>6.7100000000000007E-2</v>
      </c>
      <c r="CC337" s="256"/>
      <c r="CD337" s="269">
        <v>6.7100000000000007E-2</v>
      </c>
      <c r="CE337" s="1737">
        <f>CD337</f>
        <v>6.7100000000000007E-2</v>
      </c>
      <c r="CF337" s="256"/>
      <c r="CG337" s="269">
        <v>6.7100000000000007E-2</v>
      </c>
      <c r="CH337" s="1737">
        <f>CG337</f>
        <v>6.7100000000000007E-2</v>
      </c>
      <c r="CI337" s="1684">
        <f t="shared" si="39"/>
        <v>0</v>
      </c>
      <c r="CJ337" s="269">
        <v>6.7100000000000007E-2</v>
      </c>
      <c r="CK337" s="1737">
        <f>CJ337</f>
        <v>6.7100000000000007E-2</v>
      </c>
      <c r="CL337" s="256"/>
      <c r="CM337" s="269">
        <v>6.7100000000000007E-2</v>
      </c>
      <c r="CN337" s="1737">
        <f>CM337</f>
        <v>6.7100000000000007E-2</v>
      </c>
      <c r="CO337" s="256"/>
      <c r="CP337" s="269">
        <v>6.7100000000000007E-2</v>
      </c>
      <c r="CQ337" s="1737">
        <f>CP337</f>
        <v>6.7100000000000007E-2</v>
      </c>
      <c r="CR337" s="256"/>
      <c r="CS337" s="269">
        <v>6.7100000000000007E-2</v>
      </c>
      <c r="CT337" s="1737">
        <f>CS337</f>
        <v>6.7100000000000007E-2</v>
      </c>
      <c r="CU337" s="256"/>
      <c r="CV337" s="269">
        <v>6.7100000000000007E-2</v>
      </c>
      <c r="CW337" s="1737">
        <f>CV337</f>
        <v>6.7100000000000007E-2</v>
      </c>
      <c r="CX337" s="256"/>
      <c r="CY337" s="269"/>
      <c r="CZ337" s="1737"/>
    </row>
    <row r="338" spans="1:105">
      <c r="A338" s="260">
        <f t="shared" si="40"/>
        <v>331</v>
      </c>
      <c r="B338" s="260"/>
      <c r="C338" s="256" t="s">
        <v>235</v>
      </c>
      <c r="D338" s="266"/>
      <c r="E338" s="265"/>
      <c r="F338" s="264"/>
      <c r="G338" s="361"/>
      <c r="H338" s="29"/>
      <c r="I338" s="24"/>
      <c r="J338" s="29"/>
      <c r="K338" s="361">
        <f ca="1">+K336*K337</f>
        <v>39327189.344690561</v>
      </c>
      <c r="M338" s="1630" t="s">
        <v>1528</v>
      </c>
      <c r="N338" s="1113">
        <f ca="1">+N336*N337</f>
        <v>30203875.854798179</v>
      </c>
      <c r="O338" s="1113">
        <v>33830808.596579686</v>
      </c>
      <c r="Q338" s="333">
        <v>41382929.751617134</v>
      </c>
      <c r="R338" s="256"/>
      <c r="S338" s="333">
        <v>41382910.653991096</v>
      </c>
      <c r="T338" s="333">
        <f>+T336*T337</f>
        <v>35556387.131331056</v>
      </c>
      <c r="U338" s="256"/>
      <c r="V338" s="333">
        <v>41382916.48305583</v>
      </c>
      <c r="W338" s="333">
        <f>+W336*W337</f>
        <v>35556392.208966762</v>
      </c>
      <c r="X338" s="256"/>
      <c r="Y338" s="333">
        <v>41383016.581278175</v>
      </c>
      <c r="Z338" s="333">
        <f>+Z336*Z337</f>
        <v>35556536.329874337</v>
      </c>
      <c r="AA338" s="256"/>
      <c r="AB338" s="333">
        <v>41383064.679752395</v>
      </c>
      <c r="AC338" s="333">
        <f>+AC336*AC337</f>
        <v>35556098.4430672</v>
      </c>
      <c r="AD338" s="256"/>
      <c r="AE338" s="333">
        <v>41383109.203848563</v>
      </c>
      <c r="AF338" s="333">
        <f>+AF336*AF337</f>
        <v>35556137.253190696</v>
      </c>
      <c r="AG338" s="256"/>
      <c r="AH338" s="333">
        <v>40796876.91826579</v>
      </c>
      <c r="AI338" s="333">
        <f>+AI336*AI337</f>
        <v>35052449.304597326</v>
      </c>
      <c r="AJ338" s="256"/>
      <c r="AK338" s="333">
        <v>40797082.834507413</v>
      </c>
      <c r="AL338" s="333">
        <f>+AL336*AL337</f>
        <v>35052563.559426025</v>
      </c>
      <c r="AM338" s="256"/>
      <c r="AN338" s="333">
        <v>40796822.58212401</v>
      </c>
      <c r="AO338" s="333">
        <f>+AO336*AO337</f>
        <v>35052374.235892951</v>
      </c>
      <c r="AP338" s="256"/>
      <c r="AQ338" s="333">
        <v>40797654.11529924</v>
      </c>
      <c r="AR338" s="333">
        <f>+AR336*AR337</f>
        <v>35053099.051139668</v>
      </c>
      <c r="AS338" s="256"/>
      <c r="AT338" s="333">
        <v>40810205.480244726</v>
      </c>
      <c r="AU338" s="333">
        <f>+AU336*AU337</f>
        <v>35063930.94981581</v>
      </c>
      <c r="AV338" s="256"/>
      <c r="AW338" s="333">
        <v>40810313.271872647</v>
      </c>
      <c r="AX338" s="333">
        <f>+AX336*AX337</f>
        <v>35064024.907599919</v>
      </c>
      <c r="AY338" s="256"/>
      <c r="AZ338" s="333">
        <v>40658993.197905354</v>
      </c>
      <c r="BA338" s="333">
        <f>+BA336*BA337</f>
        <v>34912704.369781457</v>
      </c>
      <c r="BB338" s="256"/>
      <c r="BC338" s="333">
        <v>40658993.197905354</v>
      </c>
      <c r="BD338" s="333">
        <f>+BD336*BD337</f>
        <v>34912704.369781457</v>
      </c>
      <c r="BE338" s="256"/>
      <c r="BF338" s="333">
        <v>40659373.095834248</v>
      </c>
      <c r="BG338" s="333">
        <f>+BG336*BG337</f>
        <v>34913035.512085341</v>
      </c>
      <c r="BH338" s="256"/>
      <c r="BI338" s="333">
        <v>40659743.858377419</v>
      </c>
      <c r="BJ338" s="333">
        <f>+BJ336*BJ337</f>
        <v>34913358.691426307</v>
      </c>
      <c r="BK338" s="256"/>
      <c r="BL338" s="333">
        <v>40660057.24436079</v>
      </c>
      <c r="BM338" s="333">
        <f>+BM336*BM337</f>
        <v>34913631.857844375</v>
      </c>
      <c r="BN338" s="256"/>
      <c r="BO338" s="333">
        <v>40695743.517527714</v>
      </c>
      <c r="BP338" s="333">
        <f>+BP336*BP337</f>
        <v>34944316.882672042</v>
      </c>
      <c r="BQ338" s="256"/>
      <c r="BR338" s="333">
        <v>39233465.213449053</v>
      </c>
      <c r="BS338" s="333">
        <f>+BS336*BS337</f>
        <v>33688693.500840396</v>
      </c>
      <c r="BT338" s="256"/>
      <c r="BU338" s="333">
        <v>38702052.364178523</v>
      </c>
      <c r="BV338" s="333">
        <f>+BV336*BV337</f>
        <v>33230082.681940954</v>
      </c>
      <c r="BW338" s="256"/>
      <c r="BX338" s="333">
        <v>38702048.798973627</v>
      </c>
      <c r="BY338" s="333">
        <f>+BY336*BY337</f>
        <v>33230079.504508305</v>
      </c>
      <c r="BZ338" s="256"/>
      <c r="CA338" s="333">
        <v>39230683.085497476</v>
      </c>
      <c r="CB338" s="333">
        <f>+CB336*CB337</f>
        <v>33727977.54859516</v>
      </c>
      <c r="CC338" s="256"/>
      <c r="CD338" s="333">
        <v>39230683.085497476</v>
      </c>
      <c r="CE338" s="333">
        <f>+CE336*CE337</f>
        <v>33727977.54859516</v>
      </c>
      <c r="CF338" s="256"/>
      <c r="CG338" s="333">
        <v>39230727.792439863</v>
      </c>
      <c r="CH338" s="333">
        <f>+CH336*CH337</f>
        <v>33728016.543545231</v>
      </c>
      <c r="CI338" s="1684">
        <f t="shared" si="39"/>
        <v>38.994950070977211</v>
      </c>
      <c r="CJ338" s="333">
        <v>39230727.792439863</v>
      </c>
      <c r="CK338" s="333">
        <f>+CK336*CK337</f>
        <v>33728016.543545231</v>
      </c>
      <c r="CL338" s="256"/>
      <c r="CM338" s="333">
        <v>39228094.973646589</v>
      </c>
      <c r="CN338" s="333">
        <f>+CN336*CN337</f>
        <v>33726197.052448928</v>
      </c>
      <c r="CO338" s="256"/>
      <c r="CP338" s="361">
        <v>39227678.335367762</v>
      </c>
      <c r="CQ338" s="333">
        <f>+CQ336*CQ337</f>
        <v>33725833.614139028</v>
      </c>
      <c r="CR338" s="256"/>
      <c r="CS338" s="361">
        <v>39227858.909401186</v>
      </c>
      <c r="CT338" s="333">
        <f>+CT336*CT337</f>
        <v>33726640.253284253</v>
      </c>
      <c r="CU338" s="256"/>
      <c r="CV338" s="333">
        <v>39327189.344690561</v>
      </c>
      <c r="CW338" s="333">
        <f>+CW336*CW337</f>
        <v>33830808.596579686</v>
      </c>
      <c r="CX338" s="256"/>
      <c r="CY338" s="333"/>
      <c r="CZ338" s="333"/>
      <c r="DA338" s="1777">
        <f t="shared" ref="DA338:DA345" si="41">CV338-CS338</f>
        <v>99330.435289375484</v>
      </c>
    </row>
    <row r="339" spans="1:105">
      <c r="A339" s="260">
        <f t="shared" si="40"/>
        <v>332</v>
      </c>
      <c r="B339" s="260"/>
      <c r="C339" s="256" t="s">
        <v>75</v>
      </c>
      <c r="D339" s="266"/>
      <c r="E339" s="265"/>
      <c r="F339" s="264"/>
      <c r="G339" s="361"/>
      <c r="H339" s="29"/>
      <c r="I339" s="24"/>
      <c r="J339" s="29"/>
      <c r="K339" s="688">
        <f ca="1">+K265</f>
        <v>73261868.646502465</v>
      </c>
      <c r="M339" s="1630" t="s">
        <v>1528</v>
      </c>
      <c r="N339" s="1115">
        <f ca="1">+N265</f>
        <v>58854459.748435229</v>
      </c>
      <c r="O339" s="1115">
        <v>63943406.506258681</v>
      </c>
      <c r="Q339" s="840">
        <v>75451784.754911885</v>
      </c>
      <c r="R339" s="256"/>
      <c r="S339" s="840">
        <v>75451784.649267763</v>
      </c>
      <c r="T339" s="840">
        <f>+T265</f>
        <v>65802536.906990692</v>
      </c>
      <c r="U339" s="256"/>
      <c r="V339" s="840">
        <v>75451790.155968264</v>
      </c>
      <c r="W339" s="840">
        <f>+W265</f>
        <v>65802542.131375998</v>
      </c>
      <c r="X339" s="256"/>
      <c r="Y339" s="840">
        <v>75389882.931978062</v>
      </c>
      <c r="Z339" s="840">
        <f>+Z265</f>
        <v>65749243.750105545</v>
      </c>
      <c r="AA339" s="256"/>
      <c r="AB339" s="840">
        <v>75355689.684009582</v>
      </c>
      <c r="AC339" s="840">
        <f>+AC265</f>
        <v>65714189.336928762</v>
      </c>
      <c r="AD339" s="256"/>
      <c r="AE339" s="840">
        <v>75324036.599104643</v>
      </c>
      <c r="AF339" s="840">
        <f>+AF265</f>
        <v>65686603.139896452</v>
      </c>
      <c r="AG339" s="256"/>
      <c r="AH339" s="840">
        <v>75321444.607058704</v>
      </c>
      <c r="AI339" s="840">
        <f>+AI265</f>
        <v>65684144.033010498</v>
      </c>
      <c r="AJ339" s="256"/>
      <c r="AK339" s="840">
        <v>75172950.973669201</v>
      </c>
      <c r="AL339" s="840">
        <f>+AL265</f>
        <v>65554006.780442499</v>
      </c>
      <c r="AM339" s="256"/>
      <c r="AN339" s="840">
        <v>75148020.252019629</v>
      </c>
      <c r="AO339" s="840">
        <f>+AO265</f>
        <v>65532682.273700923</v>
      </c>
      <c r="AP339" s="256"/>
      <c r="AQ339" s="840">
        <v>74548374.0906111</v>
      </c>
      <c r="AR339" s="840">
        <f>+AR265</f>
        <v>65010083.015885681</v>
      </c>
      <c r="AS339" s="256"/>
      <c r="AT339" s="840">
        <v>74548444.454006523</v>
      </c>
      <c r="AU339" s="840">
        <f>+AU265</f>
        <v>65010149.7719201</v>
      </c>
      <c r="AV339" s="256"/>
      <c r="AW339" s="840">
        <v>74470712.897715956</v>
      </c>
      <c r="AX339" s="840">
        <f>+AX265</f>
        <v>64942405.732092835</v>
      </c>
      <c r="AY339" s="256"/>
      <c r="AZ339" s="840">
        <v>74466606.805130392</v>
      </c>
      <c r="BA339" s="840">
        <f>+BA265</f>
        <v>64938510.14893806</v>
      </c>
      <c r="BB339" s="256"/>
      <c r="BC339" s="840">
        <v>74466606.805130392</v>
      </c>
      <c r="BD339" s="840">
        <f>+BD265</f>
        <v>64938510.14893806</v>
      </c>
      <c r="BE339" s="256"/>
      <c r="BF339" s="840">
        <v>74192649.579070032</v>
      </c>
      <c r="BG339" s="840">
        <f>+BG265</f>
        <v>64699752.941263407</v>
      </c>
      <c r="BH339" s="256"/>
      <c r="BI339" s="840">
        <v>73925281.237061068</v>
      </c>
      <c r="BJ339" s="840">
        <f>+BJ265</f>
        <v>64466738.03009595</v>
      </c>
      <c r="BK339" s="256"/>
      <c r="BL339" s="840">
        <v>73699288.199803948</v>
      </c>
      <c r="BM339" s="840">
        <f>+BM265</f>
        <v>64269782.223164387</v>
      </c>
      <c r="BN339" s="256"/>
      <c r="BO339" s="840">
        <v>73422774.997784093</v>
      </c>
      <c r="BP339" s="840">
        <f>+BP265</f>
        <v>64028091.199042998</v>
      </c>
      <c r="BQ339" s="256"/>
      <c r="BR339" s="840">
        <v>73681268.607432291</v>
      </c>
      <c r="BS339" s="840">
        <f>+BS265</f>
        <v>64252686.363902412</v>
      </c>
      <c r="BT339" s="256"/>
      <c r="BU339" s="840">
        <v>73678298.585458308</v>
      </c>
      <c r="BV339" s="840">
        <f>+BV265</f>
        <v>64249868.607768074</v>
      </c>
      <c r="BW339" s="256"/>
      <c r="BX339" s="840">
        <v>73678778.852497518</v>
      </c>
      <c r="BY339" s="840">
        <f>+BY265</f>
        <v>64250324.25267835</v>
      </c>
      <c r="BZ339" s="256"/>
      <c r="CA339" s="840">
        <v>73661096.890675962</v>
      </c>
      <c r="CB339" s="840">
        <f>+CB265</f>
        <v>64279137.152439453</v>
      </c>
      <c r="CC339" s="256"/>
      <c r="CD339" s="840">
        <v>73661096.890675962</v>
      </c>
      <c r="CE339" s="840">
        <f>+CE265</f>
        <v>64279137.152439453</v>
      </c>
      <c r="CF339" s="256"/>
      <c r="CG339" s="840">
        <v>73627655.824388728</v>
      </c>
      <c r="CH339" s="840">
        <f>+CH265</f>
        <v>64249972.892630145</v>
      </c>
      <c r="CI339" s="1684">
        <f t="shared" si="39"/>
        <v>-29164.259809307754</v>
      </c>
      <c r="CJ339" s="840">
        <v>73627655.824388728</v>
      </c>
      <c r="CK339" s="840">
        <f>+CK265</f>
        <v>64249972.892630145</v>
      </c>
      <c r="CL339" s="256"/>
      <c r="CM339" s="840">
        <v>73085556.234746441</v>
      </c>
      <c r="CN339" s="840">
        <f>+CN265</f>
        <v>63782449.832658529</v>
      </c>
      <c r="CO339" s="256"/>
      <c r="CP339" s="688">
        <v>73397202.255671412</v>
      </c>
      <c r="CQ339" s="840">
        <f>+CQ265</f>
        <v>64054261.806717977</v>
      </c>
      <c r="CR339" s="256"/>
      <c r="CS339" s="688">
        <v>73262133.183817133</v>
      </c>
      <c r="CT339" s="840">
        <f>+CT265</f>
        <v>63943657.481385365</v>
      </c>
      <c r="CU339" s="256"/>
      <c r="CV339" s="840">
        <v>73261868.646502465</v>
      </c>
      <c r="CW339" s="840">
        <f>+CW265</f>
        <v>63943406.506258681</v>
      </c>
      <c r="CX339" s="256"/>
      <c r="CY339" s="840"/>
      <c r="CZ339" s="840"/>
      <c r="DA339" s="1777">
        <f t="shared" si="41"/>
        <v>-264.53731466829777</v>
      </c>
    </row>
    <row r="340" spans="1:105">
      <c r="A340" s="260">
        <f t="shared" si="40"/>
        <v>333</v>
      </c>
      <c r="B340" s="260"/>
      <c r="C340" s="256" t="s">
        <v>13</v>
      </c>
      <c r="D340" s="266"/>
      <c r="E340" s="265"/>
      <c r="F340" s="264"/>
      <c r="G340" s="361"/>
      <c r="H340" s="29"/>
      <c r="I340" s="24"/>
      <c r="J340" s="29"/>
      <c r="K340" s="688">
        <f>+K276</f>
        <v>21685113.424647357</v>
      </c>
      <c r="M340" s="1630" t="s">
        <v>1528</v>
      </c>
      <c r="N340" s="1115">
        <f>+N276</f>
        <v>20903855.624799911</v>
      </c>
      <c r="O340" s="1115">
        <v>18828862.653161749</v>
      </c>
      <c r="Q340" s="840">
        <v>23369648.426711187</v>
      </c>
      <c r="R340" s="256"/>
      <c r="S340" s="840">
        <v>23369648.426711187</v>
      </c>
      <c r="T340" s="840">
        <f>+T276</f>
        <v>20252227.698605131</v>
      </c>
      <c r="U340" s="256"/>
      <c r="V340" s="840">
        <v>23369648.426711187</v>
      </c>
      <c r="W340" s="840">
        <f>+W276</f>
        <v>20252227.698605131</v>
      </c>
      <c r="X340" s="256"/>
      <c r="Y340" s="840">
        <v>23472543.861846387</v>
      </c>
      <c r="Z340" s="840">
        <f>+Z276</f>
        <v>20342673.105841413</v>
      </c>
      <c r="AA340" s="256"/>
      <c r="AB340" s="840">
        <v>23472543.861846387</v>
      </c>
      <c r="AC340" s="840">
        <f>+AC276</f>
        <v>20342385.716280203</v>
      </c>
      <c r="AD340" s="256"/>
      <c r="AE340" s="840">
        <v>23472543.861846387</v>
      </c>
      <c r="AF340" s="840">
        <f>+AF276</f>
        <v>20342385.716280203</v>
      </c>
      <c r="AG340" s="256"/>
      <c r="AH340" s="840">
        <v>23472543.861846387</v>
      </c>
      <c r="AI340" s="840">
        <f>+AI276</f>
        <v>20342385.716280203</v>
      </c>
      <c r="AJ340" s="256"/>
      <c r="AK340" s="840">
        <v>23472543.861846387</v>
      </c>
      <c r="AL340" s="840">
        <f>+AL276</f>
        <v>20342346.083099633</v>
      </c>
      <c r="AM340" s="256"/>
      <c r="AN340" s="840">
        <v>23472543.861846387</v>
      </c>
      <c r="AO340" s="840">
        <f>+AO276</f>
        <v>20342368.782390792</v>
      </c>
      <c r="AP340" s="256"/>
      <c r="AQ340" s="840">
        <v>23472543.861846387</v>
      </c>
      <c r="AR340" s="840">
        <f>+AR276</f>
        <v>20342368.782390792</v>
      </c>
      <c r="AS340" s="256"/>
      <c r="AT340" s="840">
        <v>23472543.861846387</v>
      </c>
      <c r="AU340" s="840">
        <f>+AU276</f>
        <v>20342368.782390792</v>
      </c>
      <c r="AV340" s="256"/>
      <c r="AW340" s="840">
        <v>23472543.861846387</v>
      </c>
      <c r="AX340" s="840">
        <f>+AX276</f>
        <v>20342368.782390792</v>
      </c>
      <c r="AY340" s="256"/>
      <c r="AZ340" s="840">
        <v>23472543.861846387</v>
      </c>
      <c r="BA340" s="840">
        <f>+BA276</f>
        <v>20342368.782390792</v>
      </c>
      <c r="BB340" s="256"/>
      <c r="BC340" s="840">
        <v>23472543.861846387</v>
      </c>
      <c r="BD340" s="840">
        <f>+BD276</f>
        <v>20342368.782390792</v>
      </c>
      <c r="BE340" s="256"/>
      <c r="BF340" s="840">
        <v>23472543.861846387</v>
      </c>
      <c r="BG340" s="840">
        <f>+BG276</f>
        <v>20342368.782390792</v>
      </c>
      <c r="BH340" s="256"/>
      <c r="BI340" s="840">
        <v>23472543.861846387</v>
      </c>
      <c r="BJ340" s="840">
        <f>+BJ276</f>
        <v>20342368.782390792</v>
      </c>
      <c r="BK340" s="256"/>
      <c r="BL340" s="840">
        <v>23472543.861846387</v>
      </c>
      <c r="BM340" s="840">
        <f>+BM276</f>
        <v>20342368.782390792</v>
      </c>
      <c r="BN340" s="256"/>
      <c r="BO340" s="840">
        <v>21359399.861846387</v>
      </c>
      <c r="BP340" s="840">
        <f>+BP276</f>
        <v>18523742.122294355</v>
      </c>
      <c r="BQ340" s="256"/>
      <c r="BR340" s="840">
        <v>21359399.861846387</v>
      </c>
      <c r="BS340" s="840">
        <f>+BS276</f>
        <v>18523742.122294355</v>
      </c>
      <c r="BT340" s="256"/>
      <c r="BU340" s="840">
        <v>21359399.861846387</v>
      </c>
      <c r="BV340" s="840">
        <f>+BV276</f>
        <v>18523742.122294355</v>
      </c>
      <c r="BW340" s="256"/>
      <c r="BX340" s="840">
        <v>21359399.861846387</v>
      </c>
      <c r="BY340" s="840">
        <f>+BY276</f>
        <v>18523742.122294355</v>
      </c>
      <c r="BZ340" s="256"/>
      <c r="CA340" s="840">
        <v>21685113.424647357</v>
      </c>
      <c r="CB340" s="840">
        <f>+CB276</f>
        <v>18828140.169752639</v>
      </c>
      <c r="CC340" s="256"/>
      <c r="CD340" s="840">
        <v>21685113.424647357</v>
      </c>
      <c r="CE340" s="840">
        <f>+CE276</f>
        <v>18828140.169752639</v>
      </c>
      <c r="CF340" s="256"/>
      <c r="CG340" s="840">
        <v>21685113.424647357</v>
      </c>
      <c r="CH340" s="840">
        <f>+CH276</f>
        <v>18828140.169752639</v>
      </c>
      <c r="CI340" s="1684">
        <f t="shared" si="39"/>
        <v>0</v>
      </c>
      <c r="CJ340" s="840">
        <v>21685113.424647357</v>
      </c>
      <c r="CK340" s="840">
        <f>+CK276</f>
        <v>18828140.169752639</v>
      </c>
      <c r="CL340" s="256"/>
      <c r="CM340" s="840">
        <v>21685113.424647357</v>
      </c>
      <c r="CN340" s="840">
        <f>+CN276</f>
        <v>18828445.581250414</v>
      </c>
      <c r="CO340" s="256"/>
      <c r="CP340" s="688">
        <v>21685113.424647357</v>
      </c>
      <c r="CQ340" s="840">
        <f>+CQ276</f>
        <v>18828445.581250414</v>
      </c>
      <c r="CR340" s="256"/>
      <c r="CS340" s="688">
        <v>21685113.424647357</v>
      </c>
      <c r="CT340" s="840">
        <f>+CT276</f>
        <v>18828862.653161749</v>
      </c>
      <c r="CU340" s="256"/>
      <c r="CV340" s="840">
        <v>21685113.424647357</v>
      </c>
      <c r="CW340" s="840">
        <f>+CW276</f>
        <v>18828862.653161749</v>
      </c>
      <c r="CX340" s="256"/>
      <c r="CY340" s="840"/>
      <c r="CZ340" s="840"/>
      <c r="DA340" s="1777">
        <f t="shared" si="41"/>
        <v>0</v>
      </c>
    </row>
    <row r="341" spans="1:105">
      <c r="A341" s="260">
        <f t="shared" si="40"/>
        <v>334</v>
      </c>
      <c r="B341" s="260"/>
      <c r="C341" s="256" t="s">
        <v>210</v>
      </c>
      <c r="D341" s="266"/>
      <c r="E341" s="265"/>
      <c r="F341" s="264"/>
      <c r="G341" s="361"/>
      <c r="H341" s="29"/>
      <c r="I341" s="24"/>
      <c r="J341" s="29"/>
      <c r="K341" s="688">
        <f>+K284</f>
        <v>7045436.4177288758</v>
      </c>
      <c r="M341" s="1630" t="s">
        <v>1528</v>
      </c>
      <c r="N341" s="1115">
        <f>+N284</f>
        <v>5092587.9281896027</v>
      </c>
      <c r="O341" s="1115">
        <v>6106168.8111609984</v>
      </c>
      <c r="Q341" s="840">
        <v>7085951.7783528166</v>
      </c>
      <c r="R341" s="256"/>
      <c r="S341" s="840">
        <v>7085951.7783528166</v>
      </c>
      <c r="T341" s="840">
        <f>+T284</f>
        <v>6135234.7197482847</v>
      </c>
      <c r="U341" s="256"/>
      <c r="V341" s="840">
        <v>7087190.8950865166</v>
      </c>
      <c r="W341" s="840">
        <f>+W284</f>
        <v>6136314.2856530435</v>
      </c>
      <c r="X341" s="256"/>
      <c r="Y341" s="840">
        <v>7087190.8950865166</v>
      </c>
      <c r="Z341" s="840">
        <f>+Z284</f>
        <v>6136340.8250990324</v>
      </c>
      <c r="AA341" s="256"/>
      <c r="AB341" s="840">
        <v>7087190.8950865166</v>
      </c>
      <c r="AC341" s="840">
        <f>+AC284</f>
        <v>6136117.1870768461</v>
      </c>
      <c r="AD341" s="256"/>
      <c r="AE341" s="840">
        <v>7087190.8950865166</v>
      </c>
      <c r="AF341" s="840">
        <f>+AF284</f>
        <v>6136117.1870768461</v>
      </c>
      <c r="AG341" s="256"/>
      <c r="AH341" s="840">
        <v>7087190.8950865166</v>
      </c>
      <c r="AI341" s="840">
        <f>+AI284</f>
        <v>6136117.1870768471</v>
      </c>
      <c r="AJ341" s="256"/>
      <c r="AK341" s="840">
        <v>7087190.8950865166</v>
      </c>
      <c r="AL341" s="840">
        <f>+AL284</f>
        <v>6136086.3457126776</v>
      </c>
      <c r="AM341" s="256"/>
      <c r="AN341" s="840">
        <v>7055761.340646822</v>
      </c>
      <c r="AO341" s="840">
        <f>+AO284</f>
        <v>6108723.4645796409</v>
      </c>
      <c r="AP341" s="256"/>
      <c r="AQ341" s="840">
        <v>7055761.340646822</v>
      </c>
      <c r="AR341" s="840">
        <f>+AR284</f>
        <v>6108723.4645796409</v>
      </c>
      <c r="AS341" s="256"/>
      <c r="AT341" s="840">
        <v>7055761.340646822</v>
      </c>
      <c r="AU341" s="840">
        <f>+AU284</f>
        <v>6108723.4645796409</v>
      </c>
      <c r="AV341" s="256"/>
      <c r="AW341" s="840">
        <v>7055761.340646822</v>
      </c>
      <c r="AX341" s="840">
        <f>+AX284</f>
        <v>6108723.4645796409</v>
      </c>
      <c r="AY341" s="256"/>
      <c r="AZ341" s="840">
        <v>7055761.340646822</v>
      </c>
      <c r="BA341" s="840">
        <f>+BA284</f>
        <v>6108723.4645796409</v>
      </c>
      <c r="BB341" s="256"/>
      <c r="BC341" s="840">
        <v>7055761.340646822</v>
      </c>
      <c r="BD341" s="840">
        <f>+BD284</f>
        <v>6108723.4645796409</v>
      </c>
      <c r="BE341" s="256"/>
      <c r="BF341" s="840">
        <v>7055761.340646822</v>
      </c>
      <c r="BG341" s="840">
        <f>+BG284</f>
        <v>6108723.4645796409</v>
      </c>
      <c r="BH341" s="256"/>
      <c r="BI341" s="840">
        <v>7055761.340646822</v>
      </c>
      <c r="BJ341" s="840">
        <f>+BJ284</f>
        <v>6108723.4645796409</v>
      </c>
      <c r="BK341" s="256"/>
      <c r="BL341" s="840">
        <v>7055761.340646822</v>
      </c>
      <c r="BM341" s="840">
        <f>+BM284</f>
        <v>6108723.4645796409</v>
      </c>
      <c r="BN341" s="256"/>
      <c r="BO341" s="840">
        <v>7055761.340646822</v>
      </c>
      <c r="BP341" s="840">
        <f>+BP284</f>
        <v>6108710.6053483095</v>
      </c>
      <c r="BQ341" s="256"/>
      <c r="BR341" s="840">
        <v>7055761.340646822</v>
      </c>
      <c r="BS341" s="840">
        <f>+BS284</f>
        <v>6108710.6053483095</v>
      </c>
      <c r="BT341" s="256"/>
      <c r="BU341" s="840">
        <v>7055761.340646822</v>
      </c>
      <c r="BV341" s="840">
        <f>+BV284</f>
        <v>6108710.6053483095</v>
      </c>
      <c r="BW341" s="256"/>
      <c r="BX341" s="840">
        <v>7055761.340646822</v>
      </c>
      <c r="BY341" s="840">
        <f>+BY284</f>
        <v>6108710.6053483095</v>
      </c>
      <c r="BZ341" s="256"/>
      <c r="CA341" s="840">
        <v>7094738.0721626766</v>
      </c>
      <c r="CB341" s="840">
        <f>+CB284</f>
        <v>6148613.6263713511</v>
      </c>
      <c r="CC341" s="256"/>
      <c r="CD341" s="840">
        <v>7094738.0721626766</v>
      </c>
      <c r="CE341" s="840">
        <f>+CE284</f>
        <v>6148613.6263713511</v>
      </c>
      <c r="CF341" s="256"/>
      <c r="CG341" s="840">
        <v>7094738.0721626766</v>
      </c>
      <c r="CH341" s="840">
        <f>+CH284</f>
        <v>6148613.6263713511</v>
      </c>
      <c r="CI341" s="1684">
        <f t="shared" si="39"/>
        <v>0</v>
      </c>
      <c r="CJ341" s="840">
        <v>7094738.0721626766</v>
      </c>
      <c r="CK341" s="840">
        <f>+CK284</f>
        <v>6148613.6263713511</v>
      </c>
      <c r="CL341" s="256"/>
      <c r="CM341" s="840">
        <v>7045436.4177288758</v>
      </c>
      <c r="CN341" s="840">
        <f>+CN284</f>
        <v>6105860.0065746037</v>
      </c>
      <c r="CO341" s="256"/>
      <c r="CP341" s="688">
        <v>7045436.4177288758</v>
      </c>
      <c r="CQ341" s="840">
        <f>+CQ284</f>
        <v>6105860.0065746037</v>
      </c>
      <c r="CR341" s="256"/>
      <c r="CS341" s="688">
        <v>7045436.4177288758</v>
      </c>
      <c r="CT341" s="840">
        <f>+CT284</f>
        <v>6106168.8111609984</v>
      </c>
      <c r="CU341" s="256"/>
      <c r="CV341" s="840">
        <v>7045436.4177288758</v>
      </c>
      <c r="CW341" s="840">
        <f>+CW284</f>
        <v>6106168.8111609984</v>
      </c>
      <c r="CX341" s="256"/>
      <c r="CY341" s="840"/>
      <c r="CZ341" s="840"/>
      <c r="DA341" s="1777">
        <f t="shared" si="41"/>
        <v>0</v>
      </c>
    </row>
    <row r="342" spans="1:105">
      <c r="A342" s="260">
        <f t="shared" si="40"/>
        <v>335</v>
      </c>
      <c r="B342" s="260"/>
      <c r="C342" s="256" t="s">
        <v>529</v>
      </c>
      <c r="D342" s="266"/>
      <c r="E342" s="265"/>
      <c r="F342" s="264"/>
      <c r="G342" s="361"/>
      <c r="H342" s="29"/>
      <c r="I342" s="24"/>
      <c r="J342" s="29"/>
      <c r="K342" s="688">
        <f ca="1">+K326</f>
        <v>8617293.5380410012</v>
      </c>
      <c r="M342" s="1630" t="s">
        <v>1528</v>
      </c>
      <c r="N342" s="1115">
        <f ca="1">+N326</f>
        <v>6040613.9630218809</v>
      </c>
      <c r="O342" s="1115">
        <v>5436689.8859160086</v>
      </c>
      <c r="Q342" s="840">
        <v>7869975.3621130008</v>
      </c>
      <c r="R342" s="256"/>
      <c r="S342" s="840">
        <v>7993321.0024340004</v>
      </c>
      <c r="T342" s="840">
        <f>+T326</f>
        <v>4917430.6803618791</v>
      </c>
      <c r="U342" s="256"/>
      <c r="V342" s="840">
        <v>7992982.4654800007</v>
      </c>
      <c r="W342" s="840">
        <f>+W326</f>
        <v>4917135.6172319232</v>
      </c>
      <c r="X342" s="256"/>
      <c r="Y342" s="840">
        <v>7981837.9158980008</v>
      </c>
      <c r="Z342" s="840">
        <f>+Z326</f>
        <v>4907033.9281079657</v>
      </c>
      <c r="AA342" s="256"/>
      <c r="AB342" s="840">
        <v>7991124.3160190005</v>
      </c>
      <c r="AC342" s="840">
        <f>+AC326</f>
        <v>4916648.3477225145</v>
      </c>
      <c r="AD342" s="256"/>
      <c r="AE342" s="840">
        <v>7999721.1440780004</v>
      </c>
      <c r="AF342" s="840">
        <f>+AF326</f>
        <v>4924140.6259367894</v>
      </c>
      <c r="AG342" s="256"/>
      <c r="AH342" s="840">
        <v>8158071.9401610009</v>
      </c>
      <c r="AI342" s="840">
        <f>+AI326</f>
        <v>5060254.6729966188</v>
      </c>
      <c r="AJ342" s="256"/>
      <c r="AK342" s="840">
        <v>8198401.5812260006</v>
      </c>
      <c r="AL342" s="840">
        <f>+AL326</f>
        <v>5095611.6039330335</v>
      </c>
      <c r="AM342" s="256"/>
      <c r="AN342" s="840">
        <v>8213734.9142910009</v>
      </c>
      <c r="AO342" s="840">
        <f>+AO326</f>
        <v>5108855.1463802326</v>
      </c>
      <c r="AP342" s="256"/>
      <c r="AQ342" s="840">
        <v>8376594.2835800005</v>
      </c>
      <c r="AR342" s="840">
        <f>+AR326</f>
        <v>5250789.1753454618</v>
      </c>
      <c r="AS342" s="256"/>
      <c r="AT342" s="840">
        <v>8375615.0803840011</v>
      </c>
      <c r="AU342" s="840">
        <f>+AU326</f>
        <v>5249942.5837275116</v>
      </c>
      <c r="AV342" s="256"/>
      <c r="AW342" s="840">
        <v>8396726.3643830009</v>
      </c>
      <c r="AX342" s="840">
        <f>+AX326</f>
        <v>5268341.33863624</v>
      </c>
      <c r="AY342" s="256"/>
      <c r="AZ342" s="840">
        <v>7872783.8699639998</v>
      </c>
      <c r="BA342" s="840">
        <f>+BA326</f>
        <v>4820136.3994318489</v>
      </c>
      <c r="BB342" s="256"/>
      <c r="BC342" s="840">
        <v>7872783.8699639998</v>
      </c>
      <c r="BD342" s="840">
        <f>+BD326</f>
        <v>4820136.3994318489</v>
      </c>
      <c r="BE342" s="256"/>
      <c r="BF342" s="840">
        <v>7947188.9128130004</v>
      </c>
      <c r="BG342" s="840">
        <f>+BG326</f>
        <v>4884981.2797209928</v>
      </c>
      <c r="BH342" s="256"/>
      <c r="BI342" s="840">
        <v>8019804.0026500002</v>
      </c>
      <c r="BJ342" s="840">
        <f>+BJ326</f>
        <v>4948266.2004235163</v>
      </c>
      <c r="BK342" s="256"/>
      <c r="BL342" s="840">
        <v>8081182.1652450003</v>
      </c>
      <c r="BM342" s="840">
        <f>+BM326</f>
        <v>5001758.0009697489</v>
      </c>
      <c r="BN342" s="256"/>
      <c r="BO342" s="840">
        <v>8727719.0075380001</v>
      </c>
      <c r="BP342" s="840">
        <f>+BP326</f>
        <v>5559199.3404095322</v>
      </c>
      <c r="BQ342" s="256"/>
      <c r="BR342" s="840">
        <v>8652381.765420001</v>
      </c>
      <c r="BS342" s="840">
        <f>+BS326</f>
        <v>5493781.4449080145</v>
      </c>
      <c r="BT342" s="256"/>
      <c r="BU342" s="840">
        <v>8695363.7321230005</v>
      </c>
      <c r="BV342" s="840">
        <f>+BV326</f>
        <v>5530970.7107431088</v>
      </c>
      <c r="BW342" s="256"/>
      <c r="BX342" s="840">
        <v>8774347.7080580015</v>
      </c>
      <c r="BY342" s="840">
        <f>+BY326</f>
        <v>5598775.6247873399</v>
      </c>
      <c r="BZ342" s="256"/>
      <c r="CA342" s="840">
        <v>8638111.5803810004</v>
      </c>
      <c r="CB342" s="840">
        <f>+CB326</f>
        <v>5458434.6244783495</v>
      </c>
      <c r="CC342" s="256"/>
      <c r="CD342" s="840">
        <v>8638111.5803810004</v>
      </c>
      <c r="CE342" s="840">
        <f>+CE326</f>
        <v>5458434.6244783495</v>
      </c>
      <c r="CF342" s="256"/>
      <c r="CG342" s="840">
        <v>8647193.9345530011</v>
      </c>
      <c r="CH342" s="840">
        <f>+CH326</f>
        <v>5466355.4229831677</v>
      </c>
      <c r="CI342" s="1684">
        <f t="shared" si="39"/>
        <v>7920.7985048182309</v>
      </c>
      <c r="CJ342" s="840">
        <v>8647193.9345530011</v>
      </c>
      <c r="CK342" s="840">
        <f>+CK326</f>
        <v>5466355.4229831677</v>
      </c>
      <c r="CL342" s="256"/>
      <c r="CM342" s="840">
        <v>8808086.2030820008</v>
      </c>
      <c r="CN342" s="840">
        <f>+CN326</f>
        <v>5605139.5373750189</v>
      </c>
      <c r="CO342" s="256"/>
      <c r="CP342" s="688">
        <v>8723445.4438060019</v>
      </c>
      <c r="CQ342" s="840">
        <f>+CQ326</f>
        <v>5531317.4634257341</v>
      </c>
      <c r="CR342" s="256"/>
      <c r="CS342" s="688">
        <v>8760129.1559900008</v>
      </c>
      <c r="CT342" s="840">
        <f>+CT326</f>
        <v>5561217.2419411121</v>
      </c>
      <c r="CU342" s="256"/>
      <c r="CV342" s="840">
        <v>8617293.5380410012</v>
      </c>
      <c r="CW342" s="840">
        <f>+CW326</f>
        <v>5436689.8859160086</v>
      </c>
      <c r="CX342" s="256"/>
      <c r="CY342" s="840"/>
      <c r="CZ342" s="840"/>
      <c r="DA342" s="1777">
        <f t="shared" si="41"/>
        <v>-142835.61794899963</v>
      </c>
    </row>
    <row r="343" spans="1:105">
      <c r="A343" s="260">
        <f t="shared" si="40"/>
        <v>336</v>
      </c>
      <c r="B343" s="260"/>
      <c r="D343" s="266"/>
      <c r="E343" s="265"/>
      <c r="F343" s="264"/>
      <c r="G343" s="748"/>
      <c r="H343" s="267"/>
      <c r="I343" s="268"/>
      <c r="J343" s="267"/>
      <c r="K343" s="619"/>
      <c r="M343" s="1624"/>
      <c r="N343" s="1640"/>
      <c r="O343" s="1640"/>
      <c r="Q343" s="1738"/>
      <c r="R343" s="256"/>
      <c r="S343" s="1738"/>
      <c r="T343" s="256"/>
      <c r="U343" s="256"/>
      <c r="V343" s="1738"/>
      <c r="W343" s="256"/>
      <c r="X343" s="256"/>
      <c r="Y343" s="1738"/>
      <c r="Z343" s="256"/>
      <c r="AA343" s="256"/>
      <c r="AB343" s="1738"/>
      <c r="AC343" s="256"/>
      <c r="AD343" s="256"/>
      <c r="AE343" s="1738"/>
      <c r="AF343" s="256"/>
      <c r="AG343" s="256"/>
      <c r="AH343" s="1738"/>
      <c r="AI343" s="256"/>
      <c r="AJ343" s="256"/>
      <c r="AK343" s="1738"/>
      <c r="AL343" s="256"/>
      <c r="AM343" s="256"/>
      <c r="AN343" s="1738"/>
      <c r="AO343" s="256"/>
      <c r="AP343" s="256"/>
      <c r="AQ343" s="1738"/>
      <c r="AR343" s="256"/>
      <c r="AS343" s="256"/>
      <c r="AT343" s="1738"/>
      <c r="AU343" s="256"/>
      <c r="AV343" s="256"/>
      <c r="AW343" s="1738"/>
      <c r="AX343" s="256"/>
      <c r="AY343" s="256"/>
      <c r="AZ343" s="1738"/>
      <c r="BA343" s="256"/>
      <c r="BB343" s="256"/>
      <c r="BC343" s="1738"/>
      <c r="BD343" s="256"/>
      <c r="BE343" s="256"/>
      <c r="BF343" s="1738"/>
      <c r="BG343" s="256"/>
      <c r="BH343" s="256"/>
      <c r="BI343" s="1738"/>
      <c r="BJ343" s="256"/>
      <c r="BK343" s="256"/>
      <c r="BL343" s="1738"/>
      <c r="BM343" s="256"/>
      <c r="BN343" s="256"/>
      <c r="BO343" s="1738"/>
      <c r="BP343" s="256"/>
      <c r="BQ343" s="256"/>
      <c r="BR343" s="1738"/>
      <c r="BS343" s="256"/>
      <c r="BT343" s="256"/>
      <c r="BU343" s="1738"/>
      <c r="BV343" s="256"/>
      <c r="BW343" s="256"/>
      <c r="BX343" s="1738"/>
      <c r="BY343" s="256"/>
      <c r="BZ343" s="256"/>
      <c r="CA343" s="1738"/>
      <c r="CB343" s="256"/>
      <c r="CC343" s="256"/>
      <c r="CD343" s="1738"/>
      <c r="CE343" s="256"/>
      <c r="CF343" s="256"/>
      <c r="CG343" s="1738"/>
      <c r="CH343" s="256"/>
      <c r="CI343" s="1684">
        <f t="shared" si="39"/>
        <v>0</v>
      </c>
      <c r="CJ343" s="1738"/>
      <c r="CK343" s="256"/>
      <c r="CL343" s="256"/>
      <c r="CM343" s="1738"/>
      <c r="CN343" s="256"/>
      <c r="CO343" s="256"/>
      <c r="CP343" s="619"/>
      <c r="CQ343" s="256"/>
      <c r="CR343" s="256"/>
      <c r="CS343" s="619"/>
      <c r="CT343" s="256"/>
      <c r="CU343" s="256"/>
      <c r="CV343" s="1738"/>
      <c r="CW343" s="256"/>
      <c r="CX343" s="256"/>
      <c r="CY343" s="1738"/>
      <c r="CZ343" s="256"/>
      <c r="DA343" s="1777">
        <f t="shared" si="41"/>
        <v>0</v>
      </c>
    </row>
    <row r="344" spans="1:105">
      <c r="A344" s="260">
        <f t="shared" si="40"/>
        <v>337</v>
      </c>
      <c r="B344" s="260"/>
      <c r="C344" s="272" t="s">
        <v>312</v>
      </c>
      <c r="D344" s="266"/>
      <c r="E344" s="265"/>
      <c r="F344" s="264"/>
      <c r="G344" s="454"/>
      <c r="H344" s="276"/>
      <c r="I344" s="277"/>
      <c r="J344" s="276"/>
      <c r="K344" s="361">
        <f ca="1">SUM(K338:K343)</f>
        <v>149936901.37161025</v>
      </c>
      <c r="M344" s="1630" t="s">
        <v>1528</v>
      </c>
      <c r="N344" s="1113">
        <f ca="1">SUM(N338:N343)</f>
        <v>121095393.1192448</v>
      </c>
      <c r="O344" s="1113">
        <v>128145936.45307712</v>
      </c>
      <c r="Q344" s="333">
        <v>155160290.07370603</v>
      </c>
      <c r="R344" s="256"/>
      <c r="S344" s="333">
        <v>155283616.51075685</v>
      </c>
      <c r="T344" s="333">
        <f>SUM(T338:T343)</f>
        <v>132663817.13703705</v>
      </c>
      <c r="U344" s="256"/>
      <c r="V344" s="333">
        <v>155284528.42630181</v>
      </c>
      <c r="W344" s="333">
        <f>SUM(W338:W343)</f>
        <v>132664611.94183286</v>
      </c>
      <c r="X344" s="256"/>
      <c r="Y344" s="333">
        <v>155314472.18608716</v>
      </c>
      <c r="Z344" s="333">
        <f>SUM(Z338:Z343)</f>
        <v>132691827.93902829</v>
      </c>
      <c r="AA344" s="256"/>
      <c r="AB344" s="333">
        <v>155289613.43671387</v>
      </c>
      <c r="AC344" s="333">
        <f>SUM(AC338:AC343)</f>
        <v>132665439.03107554</v>
      </c>
      <c r="AD344" s="256"/>
      <c r="AE344" s="333">
        <v>155266601.70396411</v>
      </c>
      <c r="AF344" s="333">
        <f>SUM(AF338:AF343)</f>
        <v>132645383.922381</v>
      </c>
      <c r="AG344" s="256"/>
      <c r="AH344" s="333">
        <v>154836128.2224184</v>
      </c>
      <c r="AI344" s="333">
        <f>SUM(AI338:AI343)</f>
        <v>132275350.91396151</v>
      </c>
      <c r="AJ344" s="256"/>
      <c r="AK344" s="333">
        <v>154728170.14633551</v>
      </c>
      <c r="AL344" s="333">
        <f>SUM(AL338:AL343)</f>
        <v>132180614.37261386</v>
      </c>
      <c r="AM344" s="256"/>
      <c r="AN344" s="333">
        <v>154686882.95092785</v>
      </c>
      <c r="AO344" s="333">
        <f>SUM(AO338:AO343)</f>
        <v>132145003.90294454</v>
      </c>
      <c r="AP344" s="256"/>
      <c r="AQ344" s="333">
        <v>154250927.69198355</v>
      </c>
      <c r="AR344" s="333">
        <f>SUM(AR338:AR343)</f>
        <v>131765063.48934124</v>
      </c>
      <c r="AS344" s="256"/>
      <c r="AT344" s="333">
        <v>154262570.21712846</v>
      </c>
      <c r="AU344" s="333">
        <f>SUM(AU338:AU343)</f>
        <v>131775115.55243385</v>
      </c>
      <c r="AV344" s="256"/>
      <c r="AW344" s="333">
        <v>154206057.73646483</v>
      </c>
      <c r="AX344" s="333">
        <f>SUM(AX338:AX343)</f>
        <v>131725864.22529942</v>
      </c>
      <c r="AY344" s="256"/>
      <c r="AZ344" s="333">
        <v>153526689.07549298</v>
      </c>
      <c r="BA344" s="333">
        <f>SUM(BA338:BA343)</f>
        <v>131122443.16512181</v>
      </c>
      <c r="BB344" s="256"/>
      <c r="BC344" s="333">
        <v>153526689.07549298</v>
      </c>
      <c r="BD344" s="333">
        <f>SUM(BD338:BD343)</f>
        <v>131122443.16512181</v>
      </c>
      <c r="BE344" s="256"/>
      <c r="BF344" s="333">
        <v>153327516.79021052</v>
      </c>
      <c r="BG344" s="333">
        <f>SUM(BG338:BG343)</f>
        <v>130948861.98004018</v>
      </c>
      <c r="BH344" s="256"/>
      <c r="BI344" s="333">
        <v>153133134.30058169</v>
      </c>
      <c r="BJ344" s="333">
        <f>SUM(BJ338:BJ343)</f>
        <v>130779455.1689162</v>
      </c>
      <c r="BK344" s="256"/>
      <c r="BL344" s="333">
        <v>152968832.81190297</v>
      </c>
      <c r="BM344" s="333">
        <f>SUM(BM338:BM343)</f>
        <v>130636264.32894894</v>
      </c>
      <c r="BN344" s="256"/>
      <c r="BO344" s="333">
        <v>151261398.72534302</v>
      </c>
      <c r="BP344" s="333">
        <f>SUM(BP338:BP343)</f>
        <v>129164060.14976723</v>
      </c>
      <c r="BQ344" s="256"/>
      <c r="BR344" s="333">
        <v>149982276.78879455</v>
      </c>
      <c r="BS344" s="333">
        <f>SUM(BS338:BS343)</f>
        <v>128067614.03729348</v>
      </c>
      <c r="BT344" s="256"/>
      <c r="BU344" s="333">
        <v>149490875.88425303</v>
      </c>
      <c r="BV344" s="333">
        <f>SUM(BV338:BV343)</f>
        <v>127643374.7280948</v>
      </c>
      <c r="BW344" s="256"/>
      <c r="BX344" s="333">
        <v>149570336.56202236</v>
      </c>
      <c r="BY344" s="333">
        <f>SUM(BY338:BY343)</f>
        <v>127711632.10961665</v>
      </c>
      <c r="BZ344" s="256"/>
      <c r="CA344" s="333">
        <v>150309743.05336449</v>
      </c>
      <c r="CB344" s="333">
        <f>SUM(CB338:CB343)</f>
        <v>128442303.12163696</v>
      </c>
      <c r="CC344" s="256"/>
      <c r="CD344" s="333">
        <v>150309743.05336449</v>
      </c>
      <c r="CE344" s="333">
        <f>SUM(CE338:CE343)</f>
        <v>128442303.12163696</v>
      </c>
      <c r="CF344" s="256"/>
      <c r="CG344" s="333">
        <v>150285429.04819164</v>
      </c>
      <c r="CH344" s="333">
        <f>SUM(CH338:CH343)</f>
        <v>128421098.65528254</v>
      </c>
      <c r="CI344" s="1684">
        <f t="shared" si="39"/>
        <v>-21204.466354414821</v>
      </c>
      <c r="CJ344" s="333">
        <v>150285429.04819164</v>
      </c>
      <c r="CK344" s="333">
        <f>SUM(CK338:CK343)</f>
        <v>128421098.65528254</v>
      </c>
      <c r="CL344" s="256"/>
      <c r="CM344" s="333">
        <v>149852287.25385126</v>
      </c>
      <c r="CN344" s="333">
        <f>SUM(CN338:CN343)</f>
        <v>128048092.01030749</v>
      </c>
      <c r="CO344" s="256"/>
      <c r="CP344" s="361">
        <v>150078875.87722141</v>
      </c>
      <c r="CQ344" s="333">
        <f>SUM(CQ338:CQ343)</f>
        <v>128245718.47210777</v>
      </c>
      <c r="CR344" s="256"/>
      <c r="CS344" s="361">
        <v>149980671.09158456</v>
      </c>
      <c r="CT344" s="333">
        <f>SUM(CT338:CT343)</f>
        <v>128166546.44093348</v>
      </c>
      <c r="CU344" s="256"/>
      <c r="CV344" s="333">
        <v>149936901.37161025</v>
      </c>
      <c r="CW344" s="333">
        <f>SUM(CW338:CW343)</f>
        <v>128145936.45307712</v>
      </c>
      <c r="CX344" s="256"/>
      <c r="CY344" s="333"/>
      <c r="CZ344" s="333"/>
      <c r="DA344" s="1777">
        <f t="shared" si="41"/>
        <v>-43769.719974309206</v>
      </c>
    </row>
    <row r="345" spans="1:105">
      <c r="A345" s="260">
        <f t="shared" si="40"/>
        <v>338</v>
      </c>
      <c r="B345" s="260"/>
      <c r="C345" s="256" t="s">
        <v>317</v>
      </c>
      <c r="D345" s="266"/>
      <c r="E345" s="265"/>
      <c r="F345" s="264"/>
      <c r="G345" s="454"/>
      <c r="H345" s="276"/>
      <c r="I345" s="277"/>
      <c r="J345" s="276"/>
      <c r="K345" s="688">
        <f>+K319</f>
        <v>5667962.7734283386</v>
      </c>
      <c r="M345" s="1630" t="s">
        <v>1528</v>
      </c>
      <c r="N345" s="1115">
        <f>+N319</f>
        <v>3824182.4890675289</v>
      </c>
      <c r="O345" s="1115">
        <v>4997492.4077305757</v>
      </c>
      <c r="P345" s="1127"/>
      <c r="Q345" s="840">
        <v>5303430.8478733655</v>
      </c>
      <c r="R345" s="256"/>
      <c r="S345" s="840">
        <v>5692856.8478733655</v>
      </c>
      <c r="T345" s="840">
        <f>+T319</f>
        <v>5014939.9299179614</v>
      </c>
      <c r="U345" s="256"/>
      <c r="V345" s="840">
        <v>5692856.8478733655</v>
      </c>
      <c r="W345" s="840">
        <f>+W319</f>
        <v>5014939.9299179614</v>
      </c>
      <c r="X345" s="256"/>
      <c r="Y345" s="840">
        <v>5692856.8478733655</v>
      </c>
      <c r="Z345" s="840">
        <f>+Z319</f>
        <v>5014975.8728101812</v>
      </c>
      <c r="AA345" s="256"/>
      <c r="AB345" s="840">
        <v>5692856.8478733655</v>
      </c>
      <c r="AC345" s="840">
        <f>+AC319</f>
        <v>5014672.9954505404</v>
      </c>
      <c r="AD345" s="256"/>
      <c r="AE345" s="840">
        <v>5692856.8478733655</v>
      </c>
      <c r="AF345" s="840">
        <f>+AF319</f>
        <v>5014672.9954505404</v>
      </c>
      <c r="AG345" s="256"/>
      <c r="AH345" s="840">
        <v>5686900.2553420486</v>
      </c>
      <c r="AI345" s="840">
        <f>+AI319</f>
        <v>5009543.4776411289</v>
      </c>
      <c r="AJ345" s="256"/>
      <c r="AK345" s="840">
        <v>5686900.2553420486</v>
      </c>
      <c r="AL345" s="840">
        <f>+AL319</f>
        <v>5009501.716012774</v>
      </c>
      <c r="AM345" s="256"/>
      <c r="AN345" s="840">
        <v>5686900.2553420486</v>
      </c>
      <c r="AO345" s="840">
        <f>+AO319</f>
        <v>5009525.6343394816</v>
      </c>
      <c r="AP345" s="256"/>
      <c r="AQ345" s="840">
        <v>5686900.2553420486</v>
      </c>
      <c r="AR345" s="840">
        <f>+AR319</f>
        <v>5009525.6343394816</v>
      </c>
      <c r="AS345" s="256"/>
      <c r="AT345" s="840">
        <v>5686900.2553420486</v>
      </c>
      <c r="AU345" s="840">
        <f>+AU319</f>
        <v>5009525.6343394816</v>
      </c>
      <c r="AV345" s="256"/>
      <c r="AW345" s="840">
        <v>5686900.2553420486</v>
      </c>
      <c r="AX345" s="840">
        <f>+AX319</f>
        <v>5009525.6343394816</v>
      </c>
      <c r="AY345" s="256"/>
      <c r="AZ345" s="840">
        <v>5686900.2553420486</v>
      </c>
      <c r="BA345" s="840">
        <f>+BA319</f>
        <v>5009525.6343394816</v>
      </c>
      <c r="BB345" s="256"/>
      <c r="BC345" s="840">
        <v>5686900.2553420486</v>
      </c>
      <c r="BD345" s="840">
        <f>+BD319</f>
        <v>5009525.6343394816</v>
      </c>
      <c r="BE345" s="256"/>
      <c r="BF345" s="840">
        <v>5686900.2553420486</v>
      </c>
      <c r="BG345" s="840">
        <f>+BG319</f>
        <v>5009525.6343394816</v>
      </c>
      <c r="BH345" s="256"/>
      <c r="BI345" s="840">
        <v>5686900.2553420486</v>
      </c>
      <c r="BJ345" s="840">
        <f>+BJ319</f>
        <v>5009525.6343394816</v>
      </c>
      <c r="BK345" s="256"/>
      <c r="BL345" s="840">
        <v>5686900.2553420486</v>
      </c>
      <c r="BM345" s="840">
        <f>+BM319</f>
        <v>5009525.6343394816</v>
      </c>
      <c r="BN345" s="256"/>
      <c r="BO345" s="840">
        <v>5686900.2553420486</v>
      </c>
      <c r="BP345" s="840">
        <f>+BP319</f>
        <v>5009525.6343394816</v>
      </c>
      <c r="BQ345" s="256"/>
      <c r="BR345" s="840">
        <v>5667962.7734283386</v>
      </c>
      <c r="BS345" s="840">
        <f>+BS319</f>
        <v>4993217.6377686774</v>
      </c>
      <c r="BT345" s="256"/>
      <c r="BU345" s="840">
        <v>5667962.7734283386</v>
      </c>
      <c r="BV345" s="840">
        <f>+BV319</f>
        <v>4993217.6377686774</v>
      </c>
      <c r="BW345" s="256"/>
      <c r="BX345" s="840">
        <v>5667962.7734283386</v>
      </c>
      <c r="BY345" s="840">
        <f>+BY319</f>
        <v>4993217.6377686774</v>
      </c>
      <c r="BZ345" s="256"/>
      <c r="CA345" s="840">
        <v>5667962.7734283386</v>
      </c>
      <c r="CB345" s="840">
        <f>+CB319</f>
        <v>4996752.1759566525</v>
      </c>
      <c r="CC345" s="256"/>
      <c r="CD345" s="840">
        <v>5667962.7734283386</v>
      </c>
      <c r="CE345" s="840">
        <f>+CE319</f>
        <v>4996752.1759566525</v>
      </c>
      <c r="CF345" s="256"/>
      <c r="CG345" s="840">
        <v>5667962.7734283386</v>
      </c>
      <c r="CH345" s="840">
        <f>+CH319</f>
        <v>4996752.1759566525</v>
      </c>
      <c r="CI345" s="1684">
        <f t="shared" si="39"/>
        <v>0</v>
      </c>
      <c r="CJ345" s="840">
        <v>5667962.7734283386</v>
      </c>
      <c r="CK345" s="840">
        <f>+CK319</f>
        <v>4996752.1759566525</v>
      </c>
      <c r="CL345" s="256"/>
      <c r="CM345" s="840">
        <v>5667962.7734283386</v>
      </c>
      <c r="CN345" s="840">
        <f>+CN319</f>
        <v>4997065.0901245438</v>
      </c>
      <c r="CO345" s="256"/>
      <c r="CP345" s="688">
        <v>5667962.7734283386</v>
      </c>
      <c r="CQ345" s="840">
        <f>+CQ319</f>
        <v>4997065.0901245438</v>
      </c>
      <c r="CR345" s="256"/>
      <c r="CS345" s="688">
        <v>5667962.7734283386</v>
      </c>
      <c r="CT345" s="840">
        <f>+CT319</f>
        <v>4997492.4077305757</v>
      </c>
      <c r="CU345" s="256"/>
      <c r="CV345" s="840">
        <v>5667962.7734283386</v>
      </c>
      <c r="CW345" s="840">
        <f>+CW319</f>
        <v>4997492.4077305757</v>
      </c>
      <c r="CX345" s="256"/>
      <c r="CY345" s="840"/>
      <c r="CZ345" s="840"/>
      <c r="DA345" s="1777">
        <f t="shared" si="41"/>
        <v>0</v>
      </c>
    </row>
    <row r="346" spans="1:105">
      <c r="A346" s="260">
        <f t="shared" si="40"/>
        <v>339</v>
      </c>
      <c r="B346" s="260"/>
      <c r="D346" s="266"/>
      <c r="E346" s="265"/>
      <c r="F346" s="264"/>
      <c r="G346" s="454"/>
      <c r="H346" s="267"/>
      <c r="I346" s="268"/>
      <c r="J346" s="267"/>
      <c r="K346" s="361"/>
      <c r="M346" s="1624"/>
      <c r="N346" s="1640"/>
      <c r="O346" s="1640"/>
      <c r="Q346" s="333"/>
      <c r="R346" s="256"/>
      <c r="S346" s="333"/>
      <c r="T346" s="333"/>
      <c r="U346" s="256"/>
      <c r="V346" s="333"/>
      <c r="W346" s="333"/>
      <c r="X346" s="256"/>
      <c r="Y346" s="333"/>
      <c r="Z346" s="333"/>
      <c r="AA346" s="256"/>
      <c r="AB346" s="333"/>
      <c r="AC346" s="333"/>
      <c r="AD346" s="256"/>
      <c r="AE346" s="333"/>
      <c r="AF346" s="333"/>
      <c r="AG346" s="256"/>
      <c r="AH346" s="333"/>
      <c r="AI346" s="333"/>
      <c r="AJ346" s="256"/>
      <c r="AK346" s="333"/>
      <c r="AL346" s="333"/>
      <c r="AM346" s="256"/>
      <c r="AN346" s="333"/>
      <c r="AO346" s="333"/>
      <c r="AP346" s="256"/>
      <c r="AQ346" s="333"/>
      <c r="AR346" s="333"/>
      <c r="AS346" s="256"/>
      <c r="AT346" s="333"/>
      <c r="AU346" s="333"/>
      <c r="AV346" s="256"/>
      <c r="AW346" s="333"/>
      <c r="AX346" s="333"/>
      <c r="AY346" s="256"/>
      <c r="AZ346" s="333"/>
      <c r="BA346" s="333"/>
      <c r="BB346" s="256"/>
      <c r="BC346" s="333"/>
      <c r="BD346" s="333"/>
      <c r="BE346" s="256"/>
      <c r="BF346" s="333"/>
      <c r="BG346" s="333"/>
      <c r="BH346" s="256"/>
      <c r="BI346" s="333"/>
      <c r="BJ346" s="333"/>
      <c r="BK346" s="256"/>
      <c r="BL346" s="333"/>
      <c r="BM346" s="333"/>
      <c r="BN346" s="256"/>
      <c r="BO346" s="333"/>
      <c r="BP346" s="333"/>
      <c r="BQ346" s="256"/>
      <c r="BR346" s="333"/>
      <c r="BS346" s="333"/>
      <c r="BT346" s="256"/>
      <c r="BU346" s="333"/>
      <c r="BV346" s="333"/>
      <c r="BW346" s="256"/>
      <c r="BX346" s="333"/>
      <c r="BY346" s="333"/>
      <c r="BZ346" s="256"/>
      <c r="CA346" s="333"/>
      <c r="CB346" s="333"/>
      <c r="CC346" s="256"/>
      <c r="CD346" s="333"/>
      <c r="CE346" s="333"/>
      <c r="CF346" s="256"/>
      <c r="CG346" s="333"/>
      <c r="CH346" s="333"/>
      <c r="CI346" s="1684">
        <f t="shared" si="39"/>
        <v>0</v>
      </c>
      <c r="CJ346" s="333"/>
      <c r="CK346" s="333"/>
      <c r="CL346" s="256"/>
      <c r="CM346" s="333"/>
      <c r="CN346" s="333"/>
      <c r="CO346" s="256"/>
      <c r="CP346" s="361"/>
      <c r="CQ346" s="333"/>
      <c r="CR346" s="256"/>
      <c r="CS346" s="361"/>
      <c r="CT346" s="333"/>
      <c r="CU346" s="256"/>
      <c r="CV346" s="333"/>
      <c r="CW346" s="333"/>
      <c r="CX346" s="256"/>
      <c r="CY346" s="333"/>
      <c r="CZ346" s="333"/>
    </row>
    <row r="347" spans="1:105">
      <c r="A347" s="260">
        <f t="shared" si="40"/>
        <v>340</v>
      </c>
      <c r="B347" s="260"/>
      <c r="C347" s="272" t="s">
        <v>313</v>
      </c>
      <c r="D347" s="266"/>
      <c r="E347" s="265"/>
      <c r="F347" s="264"/>
      <c r="G347" s="454"/>
      <c r="H347" s="276"/>
      <c r="I347" s="277"/>
      <c r="J347" s="276"/>
      <c r="K347" s="620">
        <f ca="1">+K344-K345</f>
        <v>144268938.5981819</v>
      </c>
      <c r="M347" s="1630" t="s">
        <v>1528</v>
      </c>
      <c r="N347" s="1125">
        <f ca="1">+N344-N345</f>
        <v>117271210.63017727</v>
      </c>
      <c r="O347" s="1125">
        <v>123148444.04534654</v>
      </c>
      <c r="Q347" s="1689">
        <v>149856859.22583267</v>
      </c>
      <c r="R347" s="256"/>
      <c r="S347" s="1689">
        <v>149590759.66288349</v>
      </c>
      <c r="T347" s="1689">
        <f>+T344-T345</f>
        <v>127648877.20711909</v>
      </c>
      <c r="U347" s="256"/>
      <c r="V347" s="1689">
        <v>149591671.57842845</v>
      </c>
      <c r="W347" s="1689">
        <f>+W344-W345</f>
        <v>127649672.01191489</v>
      </c>
      <c r="X347" s="256"/>
      <c r="Y347" s="1689">
        <v>149621615.3382138</v>
      </c>
      <c r="Z347" s="1689">
        <f>+Z344-Z345</f>
        <v>127676852.06621811</v>
      </c>
      <c r="AA347" s="256"/>
      <c r="AB347" s="1689">
        <v>149596756.58884051</v>
      </c>
      <c r="AC347" s="1689">
        <f>+AC344-AC345</f>
        <v>127650766.035625</v>
      </c>
      <c r="AD347" s="256"/>
      <c r="AE347" s="1689">
        <v>149573744.85609075</v>
      </c>
      <c r="AF347" s="1689">
        <f>+AF344-AF345</f>
        <v>127630710.92693046</v>
      </c>
      <c r="AG347" s="256"/>
      <c r="AH347" s="1689">
        <v>149149227.96707636</v>
      </c>
      <c r="AI347" s="1689">
        <f>+AI344-AI345</f>
        <v>127265807.43632038</v>
      </c>
      <c r="AJ347" s="256"/>
      <c r="AK347" s="1689">
        <v>149041269.89099348</v>
      </c>
      <c r="AL347" s="1689">
        <f>+AL344-AL345</f>
        <v>127171112.65660109</v>
      </c>
      <c r="AM347" s="256"/>
      <c r="AN347" s="1689">
        <v>148999982.69558582</v>
      </c>
      <c r="AO347" s="1689">
        <f>+AO344-AO345</f>
        <v>127135478.26860505</v>
      </c>
      <c r="AP347" s="256"/>
      <c r="AQ347" s="1689">
        <v>148564027.43664151</v>
      </c>
      <c r="AR347" s="1689">
        <f>+AR344-AR345</f>
        <v>126755537.85500176</v>
      </c>
      <c r="AS347" s="256"/>
      <c r="AT347" s="1689">
        <v>148575669.96178642</v>
      </c>
      <c r="AU347" s="1689">
        <f>+AU344-AU345</f>
        <v>126765589.91809437</v>
      </c>
      <c r="AV347" s="256"/>
      <c r="AW347" s="1689">
        <v>148519157.48112279</v>
      </c>
      <c r="AX347" s="1689">
        <f>+AX344-AX345</f>
        <v>126716338.59095994</v>
      </c>
      <c r="AY347" s="256"/>
      <c r="AZ347" s="1689">
        <v>147839788.82015094</v>
      </c>
      <c r="BA347" s="1689">
        <f>+BA344-BA345</f>
        <v>126112917.53078233</v>
      </c>
      <c r="BB347" s="256"/>
      <c r="BC347" s="1689">
        <v>147839788.82015094</v>
      </c>
      <c r="BD347" s="1689">
        <f>+BD344-BD345</f>
        <v>126112917.53078233</v>
      </c>
      <c r="BE347" s="256"/>
      <c r="BF347" s="1689">
        <v>147640616.53486848</v>
      </c>
      <c r="BG347" s="1689">
        <f>+BG344-BG345</f>
        <v>125939336.3457007</v>
      </c>
      <c r="BH347" s="256"/>
      <c r="BI347" s="1689">
        <v>147446234.04523966</v>
      </c>
      <c r="BJ347" s="1689">
        <f>+BJ344-BJ345</f>
        <v>125769929.53457671</v>
      </c>
      <c r="BK347" s="256"/>
      <c r="BL347" s="1689">
        <v>147281932.55656093</v>
      </c>
      <c r="BM347" s="1689">
        <f>+BM344-BM345</f>
        <v>125626738.69460946</v>
      </c>
      <c r="BN347" s="256"/>
      <c r="BO347" s="1689">
        <v>145574498.47000098</v>
      </c>
      <c r="BP347" s="1689">
        <f>+BP344-BP345</f>
        <v>124154534.51542775</v>
      </c>
      <c r="BQ347" s="256"/>
      <c r="BR347" s="1689">
        <v>144314314.0153662</v>
      </c>
      <c r="BS347" s="1689">
        <f>+BS344-BS345</f>
        <v>123074396.39952481</v>
      </c>
      <c r="BT347" s="256"/>
      <c r="BU347" s="1689">
        <v>143822913.11082467</v>
      </c>
      <c r="BV347" s="1689">
        <f>+BV344-BV345</f>
        <v>122650157.09032613</v>
      </c>
      <c r="BW347" s="256"/>
      <c r="BX347" s="1689">
        <v>143902373.78859401</v>
      </c>
      <c r="BY347" s="1689">
        <f>+BY344-BY345</f>
        <v>122718414.47184798</v>
      </c>
      <c r="BZ347" s="256"/>
      <c r="CA347" s="1689">
        <v>144641780.27993613</v>
      </c>
      <c r="CB347" s="1689">
        <f>+CB344-CB345</f>
        <v>123445550.94568031</v>
      </c>
      <c r="CC347" s="256"/>
      <c r="CD347" s="1689">
        <v>144641780.27993613</v>
      </c>
      <c r="CE347" s="1689">
        <f>+CE344-CE345</f>
        <v>123445550.94568031</v>
      </c>
      <c r="CF347" s="256"/>
      <c r="CG347" s="1689">
        <v>144617466.27476329</v>
      </c>
      <c r="CH347" s="1689">
        <f>+CH344-CH345</f>
        <v>123424346.47932589</v>
      </c>
      <c r="CI347" s="1684">
        <f t="shared" si="39"/>
        <v>-21204.466354414821</v>
      </c>
      <c r="CJ347" s="1689">
        <v>144617466.27476329</v>
      </c>
      <c r="CK347" s="1689">
        <f>+CK344-CK345</f>
        <v>123424346.47932589</v>
      </c>
      <c r="CL347" s="256"/>
      <c r="CM347" s="1689">
        <v>144184324.48042291</v>
      </c>
      <c r="CN347" s="1689">
        <f>+CN344-CN345</f>
        <v>123051026.92018294</v>
      </c>
      <c r="CO347" s="256"/>
      <c r="CP347" s="620">
        <v>144410913.10379305</v>
      </c>
      <c r="CQ347" s="1689">
        <f>+CQ344-CQ345</f>
        <v>123248653.38198322</v>
      </c>
      <c r="CR347" s="256"/>
      <c r="CS347" s="620">
        <v>144312708.31815621</v>
      </c>
      <c r="CT347" s="1689">
        <f>+CT344-CT345</f>
        <v>123169054.0332029</v>
      </c>
      <c r="CU347" s="256"/>
      <c r="CV347" s="1689">
        <v>144268938.5981819</v>
      </c>
      <c r="CW347" s="1689">
        <f>+CW344-CW345</f>
        <v>123148444.04534654</v>
      </c>
      <c r="CX347" s="256"/>
      <c r="CY347" s="1689"/>
      <c r="CZ347" s="1689"/>
    </row>
    <row r="348" spans="1:105">
      <c r="A348" s="260">
        <f t="shared" si="40"/>
        <v>341</v>
      </c>
      <c r="B348" s="260"/>
      <c r="D348" s="266"/>
      <c r="E348" s="265"/>
      <c r="F348" s="264"/>
      <c r="G348" s="454"/>
      <c r="H348" s="267"/>
      <c r="I348" s="268"/>
      <c r="J348" s="267"/>
      <c r="K348" s="361"/>
      <c r="M348" s="1624"/>
      <c r="N348" s="1120"/>
      <c r="O348" s="1120"/>
      <c r="Q348" s="333"/>
      <c r="R348" s="256"/>
      <c r="S348" s="333"/>
      <c r="T348" s="333"/>
      <c r="U348" s="256"/>
      <c r="V348" s="333"/>
      <c r="W348" s="333"/>
      <c r="X348" s="256"/>
      <c r="Y348" s="333"/>
      <c r="Z348" s="333"/>
      <c r="AA348" s="256"/>
      <c r="AB348" s="333"/>
      <c r="AC348" s="333"/>
      <c r="AD348" s="256"/>
      <c r="AE348" s="333"/>
      <c r="AF348" s="333"/>
      <c r="AG348" s="256"/>
      <c r="AH348" s="333"/>
      <c r="AI348" s="333"/>
      <c r="AJ348" s="256"/>
      <c r="AK348" s="333"/>
      <c r="AL348" s="333"/>
      <c r="AM348" s="256"/>
      <c r="AN348" s="333"/>
      <c r="AO348" s="333"/>
      <c r="AP348" s="256"/>
      <c r="AQ348" s="333"/>
      <c r="AR348" s="333"/>
      <c r="AS348" s="256"/>
      <c r="AT348" s="333"/>
      <c r="AU348" s="333"/>
      <c r="AV348" s="256"/>
      <c r="AW348" s="333"/>
      <c r="AX348" s="333"/>
      <c r="AY348" s="256"/>
      <c r="AZ348" s="333"/>
      <c r="BA348" s="333"/>
      <c r="BB348" s="256"/>
      <c r="BC348" s="333"/>
      <c r="BD348" s="333"/>
      <c r="BE348" s="256"/>
      <c r="BF348" s="333"/>
      <c r="BG348" s="333"/>
      <c r="BH348" s="256"/>
      <c r="BI348" s="333"/>
      <c r="BJ348" s="333"/>
      <c r="BK348" s="256"/>
      <c r="BL348" s="333"/>
      <c r="BM348" s="333"/>
      <c r="BN348" s="256"/>
      <c r="BO348" s="333"/>
      <c r="BP348" s="333"/>
      <c r="BQ348" s="256"/>
      <c r="BR348" s="333"/>
      <c r="BS348" s="333"/>
      <c r="BT348" s="256"/>
      <c r="BU348" s="333"/>
      <c r="BV348" s="333"/>
      <c r="BW348" s="256"/>
      <c r="BX348" s="333"/>
      <c r="BY348" s="333"/>
      <c r="BZ348" s="256"/>
      <c r="CA348" s="333"/>
      <c r="CB348" s="333"/>
      <c r="CC348" s="256"/>
      <c r="CD348" s="333"/>
      <c r="CE348" s="333"/>
      <c r="CF348" s="256"/>
      <c r="CG348" s="333"/>
      <c r="CH348" s="333"/>
      <c r="CI348" s="1684">
        <f t="shared" si="39"/>
        <v>0</v>
      </c>
      <c r="CJ348" s="333"/>
      <c r="CK348" s="333"/>
      <c r="CL348" s="256"/>
      <c r="CM348" s="333"/>
      <c r="CN348" s="333"/>
      <c r="CO348" s="256"/>
      <c r="CP348" s="361"/>
      <c r="CQ348" s="333"/>
      <c r="CR348" s="256"/>
      <c r="CS348" s="361"/>
      <c r="CT348" s="333"/>
      <c r="CU348" s="256"/>
      <c r="CV348" s="333"/>
      <c r="CW348" s="333"/>
      <c r="CX348" s="256"/>
      <c r="CY348" s="333"/>
      <c r="CZ348" s="333"/>
    </row>
    <row r="349" spans="1:105">
      <c r="A349" s="260">
        <f t="shared" si="40"/>
        <v>342</v>
      </c>
      <c r="B349" s="260"/>
      <c r="C349" s="256" t="s">
        <v>218</v>
      </c>
      <c r="D349" s="266"/>
      <c r="E349" s="265"/>
      <c r="F349" s="264"/>
      <c r="G349" s="454"/>
      <c r="H349" s="276"/>
      <c r="I349" s="277"/>
      <c r="J349" s="276"/>
      <c r="K349" s="361">
        <f>+K299</f>
        <v>141375984.50891411</v>
      </c>
      <c r="M349" s="1630" t="s">
        <v>1528</v>
      </c>
      <c r="N349" s="1113">
        <f>+N299</f>
        <v>175134759.7986469</v>
      </c>
      <c r="O349" s="1113">
        <v>115364117.60191412</v>
      </c>
      <c r="P349" s="1127"/>
      <c r="Q349" s="333">
        <v>141311437.50891411</v>
      </c>
      <c r="R349" s="256"/>
      <c r="S349" s="333">
        <v>141375984.50891411</v>
      </c>
      <c r="T349" s="333">
        <f>+T299</f>
        <v>115364117.60191412</v>
      </c>
      <c r="U349" s="256"/>
      <c r="V349" s="333">
        <v>141375984.50891411</v>
      </c>
      <c r="W349" s="333">
        <f>+W299</f>
        <v>115364117.60191412</v>
      </c>
      <c r="X349" s="256"/>
      <c r="Y349" s="333">
        <v>141375984.50891411</v>
      </c>
      <c r="Z349" s="333">
        <f>+Z299</f>
        <v>115364117.60191412</v>
      </c>
      <c r="AA349" s="256"/>
      <c r="AB349" s="333">
        <v>141375984.50891411</v>
      </c>
      <c r="AC349" s="333">
        <f>+AC299</f>
        <v>115364117.60191412</v>
      </c>
      <c r="AD349" s="256"/>
      <c r="AE349" s="333">
        <v>141375984.50891411</v>
      </c>
      <c r="AF349" s="333">
        <f>+AF299</f>
        <v>115364117.60191412</v>
      </c>
      <c r="AG349" s="256"/>
      <c r="AH349" s="333">
        <v>141375984.50891411</v>
      </c>
      <c r="AI349" s="333">
        <f>+AI299</f>
        <v>115364117.60191412</v>
      </c>
      <c r="AJ349" s="256"/>
      <c r="AK349" s="333">
        <v>141375984.50891411</v>
      </c>
      <c r="AL349" s="333">
        <f>+AL299</f>
        <v>115364117.60191412</v>
      </c>
      <c r="AM349" s="256"/>
      <c r="AN349" s="333">
        <v>141375984.50891411</v>
      </c>
      <c r="AO349" s="333">
        <f>+AO299</f>
        <v>115364117.60191412</v>
      </c>
      <c r="AP349" s="256"/>
      <c r="AQ349" s="333">
        <v>141375984.50891411</v>
      </c>
      <c r="AR349" s="333">
        <f>+AR299</f>
        <v>115364117.60191412</v>
      </c>
      <c r="AS349" s="256"/>
      <c r="AT349" s="333">
        <v>141375984.50891411</v>
      </c>
      <c r="AU349" s="333">
        <f>+AU299</f>
        <v>115364117.60191412</v>
      </c>
      <c r="AV349" s="256"/>
      <c r="AW349" s="333">
        <v>141375984.50891411</v>
      </c>
      <c r="AX349" s="333">
        <f>+AX299</f>
        <v>115364117.60191412</v>
      </c>
      <c r="AY349" s="256"/>
      <c r="AZ349" s="333">
        <v>141375984.50891411</v>
      </c>
      <c r="BA349" s="333">
        <f>+BA299</f>
        <v>115364117.60191412</v>
      </c>
      <c r="BB349" s="256"/>
      <c r="BC349" s="333">
        <v>141375984.50891411</v>
      </c>
      <c r="BD349" s="333">
        <f>+BD299</f>
        <v>115364117.60191412</v>
      </c>
      <c r="BE349" s="256"/>
      <c r="BF349" s="333">
        <v>141375984.50891411</v>
      </c>
      <c r="BG349" s="333">
        <f>+BG299</f>
        <v>115364117.60191412</v>
      </c>
      <c r="BH349" s="256"/>
      <c r="BI349" s="333">
        <v>141375984.50891411</v>
      </c>
      <c r="BJ349" s="333">
        <f>+BJ299</f>
        <v>115364117.60191412</v>
      </c>
      <c r="BK349" s="256"/>
      <c r="BL349" s="333">
        <v>141375984.50891411</v>
      </c>
      <c r="BM349" s="333">
        <f>+BM299</f>
        <v>115364117.60191412</v>
      </c>
      <c r="BN349" s="256"/>
      <c r="BO349" s="333">
        <v>141375984.50891411</v>
      </c>
      <c r="BP349" s="333">
        <f>+BP299</f>
        <v>115364117.60191412</v>
      </c>
      <c r="BQ349" s="256"/>
      <c r="BR349" s="333">
        <v>141375984.50891411</v>
      </c>
      <c r="BS349" s="333">
        <f>+BS299</f>
        <v>115364117.60191412</v>
      </c>
      <c r="BT349" s="256"/>
      <c r="BU349" s="333">
        <v>141375984.50891411</v>
      </c>
      <c r="BV349" s="333">
        <f>+BV299</f>
        <v>115364117.60191412</v>
      </c>
      <c r="BW349" s="256"/>
      <c r="BX349" s="333">
        <v>141375984.50891411</v>
      </c>
      <c r="BY349" s="333">
        <f>+BY299</f>
        <v>115364117.60191412</v>
      </c>
      <c r="BZ349" s="256"/>
      <c r="CA349" s="333">
        <v>141375984.50891411</v>
      </c>
      <c r="CB349" s="333">
        <f>+CB299</f>
        <v>115364117.60191412</v>
      </c>
      <c r="CC349" s="256"/>
      <c r="CD349" s="333">
        <v>141375984.50891411</v>
      </c>
      <c r="CE349" s="333">
        <f>+CE299</f>
        <v>115364117.60191412</v>
      </c>
      <c r="CF349" s="256"/>
      <c r="CG349" s="333">
        <v>141375984.50891411</v>
      </c>
      <c r="CH349" s="333">
        <f>+CH299</f>
        <v>115364117.60191412</v>
      </c>
      <c r="CI349" s="1684">
        <f t="shared" si="39"/>
        <v>0</v>
      </c>
      <c r="CJ349" s="333">
        <v>141375984.50891411</v>
      </c>
      <c r="CK349" s="333">
        <f>+CK299</f>
        <v>115364117.60191412</v>
      </c>
      <c r="CL349" s="256"/>
      <c r="CM349" s="333">
        <v>141375984.50891411</v>
      </c>
      <c r="CN349" s="333">
        <f>+CN299</f>
        <v>115364117.60191412</v>
      </c>
      <c r="CO349" s="256"/>
      <c r="CP349" s="361">
        <v>141375984.50891411</v>
      </c>
      <c r="CQ349" s="333">
        <f>+CQ299</f>
        <v>115364117.60191412</v>
      </c>
      <c r="CR349" s="256"/>
      <c r="CS349" s="361">
        <v>141375984.50891411</v>
      </c>
      <c r="CT349" s="333">
        <f>+CT299</f>
        <v>115364117.60191412</v>
      </c>
      <c r="CU349" s="256"/>
      <c r="CV349" s="333">
        <v>141375984.50891411</v>
      </c>
      <c r="CW349" s="333">
        <f>+CW299</f>
        <v>115364117.60191412</v>
      </c>
      <c r="CX349" s="256"/>
      <c r="CY349" s="333"/>
      <c r="CZ349" s="333"/>
    </row>
    <row r="350" spans="1:105">
      <c r="A350" s="260">
        <f t="shared" si="40"/>
        <v>343</v>
      </c>
      <c r="B350" s="260"/>
      <c r="C350" s="275" t="s">
        <v>219</v>
      </c>
      <c r="D350" s="266"/>
      <c r="E350" s="265"/>
      <c r="F350" s="264"/>
      <c r="G350" s="454"/>
      <c r="H350" s="267"/>
      <c r="I350" s="268"/>
      <c r="J350" s="267"/>
      <c r="K350" s="361"/>
      <c r="M350" s="1624"/>
      <c r="N350" s="1640"/>
      <c r="O350" s="1640"/>
      <c r="Q350" s="333"/>
      <c r="R350" s="256"/>
      <c r="S350" s="333"/>
      <c r="T350" s="333"/>
      <c r="U350" s="256"/>
      <c r="V350" s="333"/>
      <c r="W350" s="333"/>
      <c r="X350" s="256"/>
      <c r="Y350" s="333"/>
      <c r="Z350" s="333"/>
      <c r="AA350" s="256"/>
      <c r="AB350" s="333"/>
      <c r="AC350" s="333"/>
      <c r="AD350" s="256"/>
      <c r="AE350" s="333"/>
      <c r="AF350" s="333"/>
      <c r="AG350" s="256"/>
      <c r="AH350" s="333"/>
      <c r="AI350" s="333"/>
      <c r="AJ350" s="256"/>
      <c r="AK350" s="333"/>
      <c r="AL350" s="333"/>
      <c r="AM350" s="256"/>
      <c r="AN350" s="333"/>
      <c r="AO350" s="333"/>
      <c r="AP350" s="256"/>
      <c r="AQ350" s="333"/>
      <c r="AR350" s="333"/>
      <c r="AS350" s="256"/>
      <c r="AT350" s="333"/>
      <c r="AU350" s="333"/>
      <c r="AV350" s="256"/>
      <c r="AW350" s="333"/>
      <c r="AX350" s="333"/>
      <c r="AY350" s="256"/>
      <c r="AZ350" s="333"/>
      <c r="BA350" s="333"/>
      <c r="BB350" s="256"/>
      <c r="BC350" s="333"/>
      <c r="BD350" s="333"/>
      <c r="BE350" s="256"/>
      <c r="BF350" s="333"/>
      <c r="BG350" s="333"/>
      <c r="BH350" s="256"/>
      <c r="BI350" s="333"/>
      <c r="BJ350" s="333"/>
      <c r="BK350" s="256"/>
      <c r="BL350" s="333"/>
      <c r="BM350" s="333"/>
      <c r="BN350" s="256"/>
      <c r="BO350" s="333"/>
      <c r="BP350" s="333"/>
      <c r="BQ350" s="256"/>
      <c r="BR350" s="333"/>
      <c r="BS350" s="333"/>
      <c r="BT350" s="256"/>
      <c r="BU350" s="333"/>
      <c r="BV350" s="333"/>
      <c r="BW350" s="256"/>
      <c r="BX350" s="333"/>
      <c r="BY350" s="333"/>
      <c r="BZ350" s="256"/>
      <c r="CA350" s="333"/>
      <c r="CB350" s="333"/>
      <c r="CC350" s="256"/>
      <c r="CD350" s="333"/>
      <c r="CE350" s="333"/>
      <c r="CF350" s="256"/>
      <c r="CG350" s="333"/>
      <c r="CH350" s="333"/>
      <c r="CI350" s="1684">
        <f t="shared" si="39"/>
        <v>0</v>
      </c>
      <c r="CJ350" s="333"/>
      <c r="CK350" s="333"/>
      <c r="CL350" s="256"/>
      <c r="CM350" s="333"/>
      <c r="CN350" s="333"/>
      <c r="CO350" s="256"/>
      <c r="CP350" s="361"/>
      <c r="CQ350" s="333"/>
      <c r="CR350" s="256"/>
      <c r="CS350" s="361"/>
      <c r="CT350" s="333"/>
      <c r="CU350" s="256"/>
      <c r="CV350" s="333"/>
      <c r="CW350" s="333"/>
      <c r="CX350" s="256"/>
      <c r="CY350" s="333"/>
      <c r="CZ350" s="333"/>
    </row>
    <row r="351" spans="1:105">
      <c r="A351" s="260">
        <f t="shared" si="40"/>
        <v>344</v>
      </c>
      <c r="B351" s="260"/>
      <c r="C351" s="272" t="s">
        <v>308</v>
      </c>
      <c r="D351" s="266"/>
      <c r="E351" s="265"/>
      <c r="F351" s="264"/>
      <c r="G351" s="353"/>
      <c r="H351" s="273"/>
      <c r="I351" s="274"/>
      <c r="J351" s="273"/>
      <c r="K351" s="361">
        <f ca="1">K349-K347</f>
        <v>-2892954.0892677903</v>
      </c>
      <c r="M351" s="1630" t="s">
        <v>1528</v>
      </c>
      <c r="N351" s="1113">
        <f ca="1">N349-N347</f>
        <v>57863549.168469623</v>
      </c>
      <c r="O351" s="1113">
        <v>-7784326.4434324205</v>
      </c>
      <c r="P351" s="881"/>
      <c r="Q351" s="333">
        <v>-8545421.7169185579</v>
      </c>
      <c r="R351" s="256"/>
      <c r="S351" s="333">
        <v>-8214775.1539693773</v>
      </c>
      <c r="T351" s="333">
        <f>T349-T347</f>
        <v>-12284759.60520497</v>
      </c>
      <c r="U351" s="256"/>
      <c r="V351" s="333">
        <v>-8215687.0695143342</v>
      </c>
      <c r="W351" s="333">
        <f>W349-W347</f>
        <v>-12285554.410000771</v>
      </c>
      <c r="X351" s="256"/>
      <c r="Y351" s="333">
        <v>-8245630.8292996883</v>
      </c>
      <c r="Z351" s="333">
        <f>Z349-Z347</f>
        <v>-12312734.464303985</v>
      </c>
      <c r="AA351" s="256"/>
      <c r="AB351" s="333">
        <v>-8220772.0799264014</v>
      </c>
      <c r="AC351" s="333">
        <f>AC349-AC347</f>
        <v>-12286648.433710873</v>
      </c>
      <c r="AD351" s="256"/>
      <c r="AE351" s="333">
        <v>-8197760.3471766412</v>
      </c>
      <c r="AF351" s="333">
        <f>AF349-AF347</f>
        <v>-12266593.325016335</v>
      </c>
      <c r="AG351" s="256"/>
      <c r="AH351" s="333">
        <v>-7773243.4581622481</v>
      </c>
      <c r="AI351" s="333">
        <f>AI349-AI347</f>
        <v>-11901689.834406257</v>
      </c>
      <c r="AJ351" s="256"/>
      <c r="AK351" s="333">
        <v>-7665285.3820793629</v>
      </c>
      <c r="AL351" s="333">
        <f>AL349-AL347</f>
        <v>-11806995.054686964</v>
      </c>
      <c r="AM351" s="256"/>
      <c r="AN351" s="333">
        <v>-7623998.1866717041</v>
      </c>
      <c r="AO351" s="333">
        <f>AO349-AO347</f>
        <v>-11771360.666690931</v>
      </c>
      <c r="AP351" s="256"/>
      <c r="AQ351" s="333">
        <v>-7188042.9277274013</v>
      </c>
      <c r="AR351" s="333">
        <f>AR349-AR347</f>
        <v>-11391420.25308764</v>
      </c>
      <c r="AS351" s="256"/>
      <c r="AT351" s="333">
        <v>-7199685.4528723061</v>
      </c>
      <c r="AU351" s="333">
        <f>AU349-AU347</f>
        <v>-11401472.316180244</v>
      </c>
      <c r="AV351" s="256"/>
      <c r="AW351" s="333">
        <v>-7143172.9722086787</v>
      </c>
      <c r="AX351" s="333">
        <f>AX349-AX347</f>
        <v>-11352220.989045814</v>
      </c>
      <c r="AY351" s="256"/>
      <c r="AZ351" s="333">
        <v>-6463804.3112368286</v>
      </c>
      <c r="BA351" s="333">
        <f>BA349-BA347</f>
        <v>-10748799.928868204</v>
      </c>
      <c r="BB351" s="256"/>
      <c r="BC351" s="333">
        <v>-6463804.3112368286</v>
      </c>
      <c r="BD351" s="333">
        <f>BD349-BD347</f>
        <v>-10748799.928868204</v>
      </c>
      <c r="BE351" s="256"/>
      <c r="BF351" s="333">
        <v>-6264632.0259543657</v>
      </c>
      <c r="BG351" s="333">
        <f>BG349-BG347</f>
        <v>-10575218.743786573</v>
      </c>
      <c r="BH351" s="256"/>
      <c r="BI351" s="333">
        <v>-6070249.5363255441</v>
      </c>
      <c r="BJ351" s="333">
        <f>BJ349-BJ347</f>
        <v>-10405811.932662591</v>
      </c>
      <c r="BK351" s="256"/>
      <c r="BL351" s="333">
        <v>-5905948.0476468205</v>
      </c>
      <c r="BM351" s="333">
        <f>BM349-BM347</f>
        <v>-10262621.092695341</v>
      </c>
      <c r="BN351" s="256"/>
      <c r="BO351" s="333">
        <v>-4198513.9610868692</v>
      </c>
      <c r="BP351" s="333">
        <f>BP349-BP347</f>
        <v>-8790416.9135136306</v>
      </c>
      <c r="BQ351" s="256"/>
      <c r="BR351" s="333">
        <v>-2938329.5064520836</v>
      </c>
      <c r="BS351" s="333">
        <f>BS349-BS347</f>
        <v>-7710278.7976106852</v>
      </c>
      <c r="BT351" s="256"/>
      <c r="BU351" s="333">
        <v>-2446928.6019105613</v>
      </c>
      <c r="BV351" s="333">
        <f>BV349-BV347</f>
        <v>-7286039.4884120077</v>
      </c>
      <c r="BW351" s="256"/>
      <c r="BX351" s="333">
        <v>-2526389.2796798944</v>
      </c>
      <c r="BY351" s="333">
        <f>BY349-BY347</f>
        <v>-7354296.8699338585</v>
      </c>
      <c r="BZ351" s="256"/>
      <c r="CA351" s="333">
        <v>-3265795.7710220218</v>
      </c>
      <c r="CB351" s="333">
        <f>CB349-CB347</f>
        <v>-8081433.3437661827</v>
      </c>
      <c r="CC351" s="256"/>
      <c r="CD351" s="333">
        <v>-3265795.7710220218</v>
      </c>
      <c r="CE351" s="333">
        <f>CE349-CE347</f>
        <v>-8081433.3437661827</v>
      </c>
      <c r="CF351" s="256"/>
      <c r="CG351" s="333">
        <v>-3241481.7658491731</v>
      </c>
      <c r="CH351" s="333">
        <f>CH349-CH347</f>
        <v>-8060228.8774117678</v>
      </c>
      <c r="CI351" s="1684">
        <f t="shared" si="39"/>
        <v>21204.466354414821</v>
      </c>
      <c r="CJ351" s="333">
        <v>-3241481.7658491731</v>
      </c>
      <c r="CK351" s="333">
        <f>CK349-CK347</f>
        <v>-8060228.8774117678</v>
      </c>
      <c r="CL351" s="256"/>
      <c r="CM351" s="333">
        <v>-2808339.971508801</v>
      </c>
      <c r="CN351" s="333">
        <f>CN349-CN347</f>
        <v>-7686909.3182688206</v>
      </c>
      <c r="CO351" s="256"/>
      <c r="CP351" s="361">
        <v>-3034928.5948789418</v>
      </c>
      <c r="CQ351" s="333">
        <f>CQ349-CQ347</f>
        <v>-7884535.7800690979</v>
      </c>
      <c r="CR351" s="256"/>
      <c r="CS351" s="361">
        <v>-2936723.8092420995</v>
      </c>
      <c r="CT351" s="333">
        <f>CT349-CT347</f>
        <v>-7804936.4312887788</v>
      </c>
      <c r="CU351" s="256"/>
      <c r="CV351" s="333">
        <v>-2892954.0892677903</v>
      </c>
      <c r="CW351" s="333">
        <f>CW349-CW347</f>
        <v>-7784326.4434324205</v>
      </c>
      <c r="CX351" s="256"/>
      <c r="CY351" s="333"/>
      <c r="CZ351" s="333"/>
    </row>
    <row r="352" spans="1:105" ht="13.5" thickBot="1">
      <c r="A352" s="260">
        <f t="shared" si="40"/>
        <v>345</v>
      </c>
      <c r="B352" s="260"/>
      <c r="C352" s="1568" t="s">
        <v>1462</v>
      </c>
      <c r="D352" s="266"/>
      <c r="E352" s="265"/>
      <c r="F352" s="264"/>
      <c r="G352" s="353"/>
      <c r="H352" s="273"/>
      <c r="I352" s="274"/>
      <c r="J352" s="273"/>
      <c r="K352" s="715">
        <f ca="1">+K351*K354</f>
        <v>-3972195.6845696908</v>
      </c>
      <c r="M352" s="1630" t="s">
        <v>1528</v>
      </c>
      <c r="N352" s="1126">
        <f ca="1">+N351*N354</f>
        <v>79450047.670495614</v>
      </c>
      <c r="O352" s="1126">
        <v>-10688336.887402901</v>
      </c>
      <c r="P352" s="881"/>
      <c r="Q352" s="1739">
        <v>-11733365.348830439</v>
      </c>
      <c r="R352" s="256"/>
      <c r="S352" s="1739">
        <v>-11279368.21996589</v>
      </c>
      <c r="T352" s="1739">
        <f>+T351*T354</f>
        <v>-16867695.643978205</v>
      </c>
      <c r="U352" s="256"/>
      <c r="V352" s="1739">
        <v>-11280620.333508171</v>
      </c>
      <c r="W352" s="1739">
        <f>+W351*W354</f>
        <v>-16868786.957591396</v>
      </c>
      <c r="X352" s="256"/>
      <c r="Y352" s="1739">
        <v>-11321734.872394366</v>
      </c>
      <c r="Z352" s="1739">
        <f>+Z351*Z354</f>
        <v>-16906106.766713195</v>
      </c>
      <c r="AA352" s="256"/>
      <c r="AB352" s="1739">
        <v>-11287602.351124605</v>
      </c>
      <c r="AC352" s="1739">
        <f>+AC351*AC354</f>
        <v>-16870289.116328102</v>
      </c>
      <c r="AD352" s="256"/>
      <c r="AE352" s="1739">
        <v>-11256005.892037278</v>
      </c>
      <c r="AF352" s="1739">
        <f>+AF351*AF354</f>
        <v>-16842752.275523905</v>
      </c>
      <c r="AG352" s="256"/>
      <c r="AH352" s="1739">
        <v>-10673119.298425032</v>
      </c>
      <c r="AI352" s="1739">
        <f>+AI351*AI354</f>
        <v>-16341718.37524081</v>
      </c>
      <c r="AJ352" s="256"/>
      <c r="AK352" s="1739">
        <v>-10524886.52642158</v>
      </c>
      <c r="AL352" s="1739">
        <f>+AL351*AL354</f>
        <v>-16211696.887258103</v>
      </c>
      <c r="AM352" s="256"/>
      <c r="AN352" s="1739">
        <v>-10468196.784944281</v>
      </c>
      <c r="AO352" s="1739">
        <f>+AO351*AO354</f>
        <v>-16162768.781988397</v>
      </c>
      <c r="AP352" s="256"/>
      <c r="AQ352" s="1739">
        <v>-9869604.6383671053</v>
      </c>
      <c r="AR352" s="1739">
        <f>+AR351*AR354</f>
        <v>-15641088.304269306</v>
      </c>
      <c r="AS352" s="256"/>
      <c r="AT352" s="1739">
        <v>-9885590.5084193293</v>
      </c>
      <c r="AU352" s="1739">
        <f>+AU351*AU354</f>
        <v>-15654890.376616597</v>
      </c>
      <c r="AV352" s="256"/>
      <c r="AW352" s="1739">
        <v>-9807995.5570686832</v>
      </c>
      <c r="AX352" s="1739">
        <f>+AX351*AX354</f>
        <v>-15587265.415049292</v>
      </c>
      <c r="AY352" s="256"/>
      <c r="AZ352" s="1739">
        <v>-8875182.5292520933</v>
      </c>
      <c r="BA352" s="1739">
        <f>+BA351*BA354</f>
        <v>-14758732.898716608</v>
      </c>
      <c r="BB352" s="256"/>
      <c r="BC352" s="1739">
        <v>-8875182.5292520933</v>
      </c>
      <c r="BD352" s="1739">
        <f>+BD351*BD354</f>
        <v>-14758732.898716608</v>
      </c>
      <c r="BE352" s="256"/>
      <c r="BF352" s="1739">
        <v>-8601707.2967830133</v>
      </c>
      <c r="BG352" s="1739">
        <f>+BG351*BG354</f>
        <v>-14520395.748168098</v>
      </c>
      <c r="BH352" s="256"/>
      <c r="BI352" s="1739">
        <v>-8334808.7347477823</v>
      </c>
      <c r="BJ352" s="1739">
        <f>+BJ351*BJ354</f>
        <v>-14287790.25796009</v>
      </c>
      <c r="BK352" s="256"/>
      <c r="BL352" s="1739">
        <v>-8109213.1517694211</v>
      </c>
      <c r="BM352" s="1739">
        <f>+BM351*BM354</f>
        <v>-14091180.834154204</v>
      </c>
      <c r="BN352" s="256"/>
      <c r="BO352" s="1739">
        <v>-5764805.981437441</v>
      </c>
      <c r="BP352" s="1739">
        <f>+BP351*BP354</f>
        <v>-12069758.126809699</v>
      </c>
      <c r="BQ352" s="256"/>
      <c r="BR352" s="1739">
        <v>-4034498.7943886989</v>
      </c>
      <c r="BS352" s="1739">
        <f>+BS351*BS354</f>
        <v>-10586665.125560291</v>
      </c>
      <c r="BT352" s="256"/>
      <c r="BU352" s="1739">
        <v>-3359776.5235947245</v>
      </c>
      <c r="BV352" s="1739">
        <f>+BV351*BV354</f>
        <v>-10004159.665319707</v>
      </c>
      <c r="BW352" s="256"/>
      <c r="BX352" s="1739">
        <v>-3468880.6958659873</v>
      </c>
      <c r="BY352" s="1739">
        <f>+BY351*BY354</f>
        <v>-10097881.054583007</v>
      </c>
      <c r="BZ352" s="256"/>
      <c r="CA352" s="1739">
        <v>-4484129.1870010095</v>
      </c>
      <c r="CB352" s="1739">
        <f>+CB351*CB354</f>
        <v>-11096282.091835907</v>
      </c>
      <c r="CC352" s="256"/>
      <c r="CD352" s="1739">
        <v>-4484129.1870010095</v>
      </c>
      <c r="CE352" s="1739">
        <f>+CE351*CE354</f>
        <v>-11096282.091835907</v>
      </c>
      <c r="CF352" s="256"/>
      <c r="CG352" s="1739">
        <v>-4450744.6314767841</v>
      </c>
      <c r="CH352" s="1739">
        <f>+CH351*CH354</f>
        <v>-11067167.115535703</v>
      </c>
      <c r="CI352" s="1684">
        <f t="shared" si="39"/>
        <v>29114.976300204173</v>
      </c>
      <c r="CJ352" s="1739">
        <v>-4450744.6314767841</v>
      </c>
      <c r="CK352" s="1739">
        <f>+CK351*CK354</f>
        <v>-11067167.115535703</v>
      </c>
      <c r="CL352" s="256"/>
      <c r="CM352" s="1739">
        <v>-3856015.5368574271</v>
      </c>
      <c r="CN352" s="1739">
        <f>+CN351*CN354</f>
        <v>-10554577.459414199</v>
      </c>
      <c r="CO352" s="256"/>
      <c r="CP352" s="715">
        <v>-4167135.009946357</v>
      </c>
      <c r="CQ352" s="1739">
        <f>+CQ351*CQ354</f>
        <v>-10825930.18555391</v>
      </c>
      <c r="CR352" s="256"/>
      <c r="CS352" s="715">
        <v>-4032294.0779184699</v>
      </c>
      <c r="CT352" s="1739">
        <f>+CT351*CT354</f>
        <v>-10716635.609849196</v>
      </c>
      <c r="CU352" s="256"/>
      <c r="CV352" s="1739">
        <v>-3972195.6845696908</v>
      </c>
      <c r="CW352" s="1739">
        <f>+CW351*CW354</f>
        <v>-10688336.887402901</v>
      </c>
      <c r="CX352" s="256"/>
      <c r="CY352" s="1739"/>
      <c r="CZ352" s="1739"/>
    </row>
    <row r="353" spans="1:104" ht="13.5" thickTop="1">
      <c r="A353" s="260">
        <f t="shared" si="40"/>
        <v>346</v>
      </c>
      <c r="B353" s="260"/>
      <c r="D353" s="266"/>
      <c r="E353" s="265"/>
      <c r="F353" s="264"/>
      <c r="G353" s="748"/>
      <c r="H353" s="267"/>
      <c r="I353" s="268"/>
      <c r="J353" s="267"/>
      <c r="K353" s="29"/>
      <c r="M353" s="1624"/>
      <c r="N353" s="1640"/>
      <c r="O353" s="1640"/>
      <c r="P353" s="1567"/>
      <c r="Q353" s="29"/>
      <c r="R353" s="256"/>
      <c r="S353" s="29"/>
      <c r="T353" s="256"/>
      <c r="U353" s="256"/>
      <c r="V353" s="29"/>
      <c r="W353" s="256"/>
      <c r="X353" s="256"/>
      <c r="Y353" s="29"/>
      <c r="Z353" s="256"/>
      <c r="AA353" s="256"/>
      <c r="AB353" s="29"/>
      <c r="AC353" s="256"/>
      <c r="AD353" s="256"/>
      <c r="AE353" s="29"/>
      <c r="AF353" s="256"/>
      <c r="AG353" s="256"/>
      <c r="AH353" s="29"/>
      <c r="AI353" s="256"/>
      <c r="AJ353" s="256"/>
      <c r="AK353" s="29"/>
      <c r="AL353" s="256"/>
      <c r="AM353" s="256"/>
      <c r="AN353" s="29"/>
      <c r="AO353" s="256"/>
      <c r="AP353" s="256"/>
      <c r="AQ353" s="29"/>
      <c r="AR353" s="256"/>
      <c r="AS353" s="256"/>
      <c r="AT353" s="29"/>
      <c r="AU353" s="256"/>
      <c r="AV353" s="256"/>
      <c r="AW353" s="29"/>
      <c r="AX353" s="256"/>
      <c r="AY353" s="256"/>
      <c r="AZ353" s="29"/>
      <c r="BA353" s="256"/>
      <c r="BB353" s="256"/>
      <c r="BC353" s="29"/>
      <c r="BD353" s="256"/>
      <c r="BE353" s="256"/>
      <c r="BF353" s="29"/>
      <c r="BG353" s="256"/>
      <c r="BH353" s="256"/>
      <c r="BI353" s="29"/>
      <c r="BJ353" s="256"/>
      <c r="BK353" s="256"/>
      <c r="BL353" s="29"/>
      <c r="BM353" s="256"/>
      <c r="BN353" s="256"/>
      <c r="BO353" s="29"/>
      <c r="BP353" s="256"/>
      <c r="BQ353" s="256"/>
      <c r="BR353" s="29"/>
      <c r="BS353" s="256"/>
      <c r="BT353" s="256"/>
      <c r="BU353" s="29"/>
      <c r="BV353" s="256"/>
      <c r="BW353" s="256"/>
      <c r="BX353" s="29"/>
      <c r="BY353" s="256"/>
      <c r="BZ353" s="256"/>
      <c r="CA353" s="29"/>
      <c r="CB353" s="256"/>
      <c r="CC353" s="256"/>
      <c r="CD353" s="29"/>
      <c r="CE353" s="256"/>
      <c r="CF353" s="256"/>
      <c r="CG353" s="29"/>
      <c r="CH353" s="256"/>
      <c r="CI353" s="256"/>
      <c r="CJ353" s="29"/>
      <c r="CK353" s="256"/>
      <c r="CL353" s="256"/>
      <c r="CM353" s="29"/>
      <c r="CN353" s="256"/>
      <c r="CO353" s="256"/>
      <c r="CP353" s="29"/>
      <c r="CQ353" s="256"/>
      <c r="CR353" s="256"/>
      <c r="CS353" s="29"/>
      <c r="CT353" s="256"/>
      <c r="CU353" s="256"/>
      <c r="CV353" s="29"/>
      <c r="CW353" s="256"/>
      <c r="CX353" s="256"/>
      <c r="CY353" s="29"/>
      <c r="CZ353" s="256"/>
    </row>
    <row r="354" spans="1:104">
      <c r="A354" s="260">
        <f t="shared" si="40"/>
        <v>347</v>
      </c>
      <c r="B354" s="260"/>
      <c r="C354" s="256" t="s">
        <v>1139</v>
      </c>
      <c r="D354" s="266"/>
      <c r="E354" s="265"/>
      <c r="F354" s="264"/>
      <c r="G354" s="353"/>
      <c r="H354" s="262"/>
      <c r="I354" s="263"/>
      <c r="J354" s="262"/>
      <c r="K354" s="46">
        <f>1/(1-COMPRATE)</f>
        <v>1.3730586666776512</v>
      </c>
      <c r="M354" s="1630" t="s">
        <v>1528</v>
      </c>
      <c r="N354" s="1562">
        <f>1/(1-COMPRATE)</f>
        <v>1.3730586666776512</v>
      </c>
      <c r="O354" s="1562">
        <v>1.3730586666776512</v>
      </c>
      <c r="Q354" s="46">
        <v>1.3730586666776512</v>
      </c>
      <c r="R354" s="256"/>
      <c r="S354" s="46">
        <v>1.3730586666776512</v>
      </c>
      <c r="T354" s="46">
        <v>1.3730586666776512</v>
      </c>
      <c r="U354" s="256"/>
      <c r="V354" s="46">
        <v>1.3730586666776512</v>
      </c>
      <c r="W354" s="46">
        <v>1.3730586666776512</v>
      </c>
      <c r="X354" s="256"/>
      <c r="Y354" s="46">
        <v>1.3730586666776512</v>
      </c>
      <c r="Z354" s="46">
        <v>1.3730586666776512</v>
      </c>
      <c r="AA354" s="256"/>
      <c r="AB354" s="46">
        <v>1.3730586666776512</v>
      </c>
      <c r="AC354" s="46">
        <v>1.3730586666776512</v>
      </c>
      <c r="AD354" s="256"/>
      <c r="AE354" s="46">
        <v>1.3730586666776512</v>
      </c>
      <c r="AF354" s="46">
        <v>1.3730586666776512</v>
      </c>
      <c r="AG354" s="256"/>
      <c r="AH354" s="46">
        <v>1.3730586666776512</v>
      </c>
      <c r="AI354" s="46">
        <v>1.3730586666776512</v>
      </c>
      <c r="AJ354" s="256"/>
      <c r="AK354" s="46">
        <v>1.3730586666776512</v>
      </c>
      <c r="AL354" s="46">
        <v>1.3730586666776512</v>
      </c>
      <c r="AM354" s="256"/>
      <c r="AN354" s="46">
        <v>1.3730586666776512</v>
      </c>
      <c r="AO354" s="46">
        <v>1.3730586666776512</v>
      </c>
      <c r="AP354" s="256"/>
      <c r="AQ354" s="46">
        <v>1.3730586666776512</v>
      </c>
      <c r="AR354" s="46">
        <v>1.3730586666776512</v>
      </c>
      <c r="AS354" s="256"/>
      <c r="AT354" s="46">
        <v>1.3730586666776512</v>
      </c>
      <c r="AU354" s="46">
        <v>1.3730586666776512</v>
      </c>
      <c r="AV354" s="256"/>
      <c r="AW354" s="46">
        <v>1.3730586666776512</v>
      </c>
      <c r="AX354" s="46">
        <v>1.3730586666776512</v>
      </c>
      <c r="AY354" s="256"/>
      <c r="AZ354" s="46">
        <v>1.3730586666776512</v>
      </c>
      <c r="BA354" s="46">
        <v>1.3730586666776512</v>
      </c>
      <c r="BB354" s="256"/>
      <c r="BC354" s="46">
        <v>1.3730586666776512</v>
      </c>
      <c r="BD354" s="46">
        <v>1.3730586666776512</v>
      </c>
      <c r="BE354" s="256"/>
      <c r="BF354" s="46">
        <v>1.3730586666776512</v>
      </c>
      <c r="BG354" s="46">
        <v>1.3730586666776512</v>
      </c>
      <c r="BH354" s="256"/>
      <c r="BI354" s="46">
        <v>1.3730586666776512</v>
      </c>
      <c r="BJ354" s="46">
        <v>1.3730586666776512</v>
      </c>
      <c r="BK354" s="256"/>
      <c r="BL354" s="46">
        <v>1.3730586666776512</v>
      </c>
      <c r="BM354" s="46">
        <v>1.3730586666776512</v>
      </c>
      <c r="BN354" s="256"/>
      <c r="BO354" s="46">
        <v>1.3730586666776512</v>
      </c>
      <c r="BP354" s="46">
        <v>1.3730586666776512</v>
      </c>
      <c r="BQ354" s="256"/>
      <c r="BR354" s="46">
        <v>1.3730586666776512</v>
      </c>
      <c r="BS354" s="46">
        <v>1.3730586666776512</v>
      </c>
      <c r="BT354" s="256"/>
      <c r="BU354" s="46">
        <v>1.3730586666776512</v>
      </c>
      <c r="BV354" s="46">
        <v>1.3730586666776512</v>
      </c>
      <c r="BW354" s="256"/>
      <c r="BX354" s="46">
        <v>1.3730586666776512</v>
      </c>
      <c r="BY354" s="46">
        <v>1.3730586666776512</v>
      </c>
      <c r="BZ354" s="256"/>
      <c r="CA354" s="46">
        <v>1.3730586666776512</v>
      </c>
      <c r="CB354" s="46">
        <v>1.3730586666776512</v>
      </c>
      <c r="CC354" s="256"/>
      <c r="CD354" s="46">
        <v>1.3730586666776512</v>
      </c>
      <c r="CE354" s="46">
        <v>1.3730586666776512</v>
      </c>
      <c r="CF354" s="256"/>
      <c r="CG354" s="46">
        <v>1.3730586666776512</v>
      </c>
      <c r="CH354" s="46">
        <v>1.3730586666776512</v>
      </c>
      <c r="CI354" s="256"/>
      <c r="CJ354" s="46">
        <v>1.3730586666776512</v>
      </c>
      <c r="CK354" s="46">
        <v>1.3730586666776512</v>
      </c>
      <c r="CL354" s="256"/>
      <c r="CM354" s="46">
        <v>1.3730586666776512</v>
      </c>
      <c r="CN354" s="46">
        <v>1.3730586666776512</v>
      </c>
      <c r="CO354" s="256"/>
      <c r="CP354" s="46">
        <v>1.3730586666776512</v>
      </c>
      <c r="CQ354" s="46">
        <v>1.3730586666776512</v>
      </c>
      <c r="CR354" s="256"/>
      <c r="CS354" s="46">
        <v>1.3730586666776512</v>
      </c>
      <c r="CT354" s="46">
        <v>1.3730586666776512</v>
      </c>
      <c r="CU354" s="256"/>
      <c r="CV354" s="46">
        <v>1.3730586666776512</v>
      </c>
      <c r="CW354" s="46">
        <v>1.3730586666776512</v>
      </c>
      <c r="CX354" s="256"/>
      <c r="CY354" s="46">
        <v>1.3730586666776512</v>
      </c>
      <c r="CZ354" s="46">
        <v>1.3730586666776512</v>
      </c>
    </row>
    <row r="355" spans="1:104">
      <c r="A355" s="260">
        <f t="shared" si="40"/>
        <v>348</v>
      </c>
      <c r="B355" s="260"/>
      <c r="G355" s="353"/>
      <c r="H355" s="255"/>
      <c r="I355" s="261"/>
      <c r="J355" s="255"/>
      <c r="M355" s="1105"/>
      <c r="N355" s="1105"/>
      <c r="O355" s="1105"/>
      <c r="Q355" s="256"/>
      <c r="R355" s="256"/>
      <c r="S355" s="256"/>
      <c r="T355" s="256"/>
      <c r="U355" s="256"/>
      <c r="V355" s="256"/>
      <c r="W355" s="256"/>
      <c r="X355" s="256"/>
      <c r="Y355" s="256"/>
      <c r="Z355" s="256"/>
      <c r="AA355" s="256"/>
      <c r="AB355" s="256"/>
      <c r="AC355" s="256"/>
      <c r="AD355" s="256"/>
      <c r="AE355" s="256"/>
      <c r="AF355" s="256"/>
      <c r="AG355" s="256"/>
      <c r="AH355" s="256"/>
      <c r="AI355" s="256"/>
      <c r="AJ355" s="256"/>
      <c r="AK355" s="256"/>
      <c r="AL355" s="256"/>
      <c r="AM355" s="256"/>
      <c r="AN355" s="256"/>
      <c r="AO355" s="256"/>
      <c r="AP355" s="256"/>
      <c r="AQ355" s="256"/>
      <c r="AR355" s="256"/>
      <c r="AS355" s="256"/>
      <c r="AT355" s="256"/>
      <c r="AU355" s="256"/>
      <c r="AV355" s="256"/>
      <c r="AW355" s="256"/>
      <c r="AX355" s="256"/>
      <c r="AY355" s="256"/>
      <c r="AZ355" s="256"/>
      <c r="BA355" s="256"/>
      <c r="BB355" s="256"/>
      <c r="BC355" s="256"/>
      <c r="BD355" s="256"/>
      <c r="BE355" s="256"/>
      <c r="BF355" s="256"/>
      <c r="BG355" s="256"/>
      <c r="BH355" s="256"/>
      <c r="BI355" s="256"/>
      <c r="BJ355" s="256"/>
      <c r="BK355" s="256"/>
      <c r="BL355" s="256"/>
      <c r="BM355" s="256"/>
      <c r="BN355" s="256"/>
      <c r="BO355" s="256"/>
      <c r="BP355" s="256"/>
      <c r="BQ355" s="256"/>
      <c r="BR355" s="256"/>
      <c r="BS355" s="256"/>
      <c r="BT355" s="256"/>
      <c r="BU355" s="256"/>
      <c r="BV355" s="256"/>
      <c r="BW355" s="256"/>
      <c r="BX355" s="256"/>
      <c r="BY355" s="256"/>
      <c r="BZ355" s="256"/>
      <c r="CA355" s="256"/>
      <c r="CB355" s="256"/>
      <c r="CC355" s="256"/>
      <c r="CD355" s="256"/>
      <c r="CE355" s="256"/>
      <c r="CF355" s="256"/>
      <c r="CG355" s="256"/>
      <c r="CH355" s="256"/>
      <c r="CI355" s="256"/>
      <c r="CJ355" s="256"/>
      <c r="CK355" s="256"/>
      <c r="CL355" s="256"/>
      <c r="CM355" s="256"/>
      <c r="CN355" s="256"/>
      <c r="CO355" s="256"/>
      <c r="CP355" s="256"/>
      <c r="CQ355" s="256"/>
      <c r="CR355" s="256"/>
      <c r="CS355" s="256"/>
      <c r="CT355" s="256"/>
      <c r="CU355" s="256"/>
      <c r="CV355" s="256"/>
      <c r="CW355" s="256"/>
      <c r="CX355" s="256"/>
      <c r="CY355" s="256"/>
      <c r="CZ355" s="256"/>
    </row>
    <row r="356" spans="1:104">
      <c r="A356" s="260">
        <f t="shared" si="40"/>
        <v>349</v>
      </c>
      <c r="B356" s="1631" t="s">
        <v>1529</v>
      </c>
      <c r="M356" s="1105"/>
      <c r="N356" s="1105"/>
      <c r="O356" s="1678">
        <v>-8868835.1923397798</v>
      </c>
      <c r="Q356" s="1740"/>
      <c r="R356" s="1740"/>
      <c r="S356" s="1677" t="s">
        <v>1595</v>
      </c>
      <c r="T356" s="1741">
        <v>-16867695.643978201</v>
      </c>
      <c r="U356" s="1740"/>
      <c r="V356" s="1741"/>
      <c r="W356" s="1741">
        <v>-16868786.9575914</v>
      </c>
      <c r="X356" s="1741"/>
      <c r="Y356" s="1741"/>
      <c r="Z356" s="1741">
        <v>-16906106.766713198</v>
      </c>
      <c r="AA356" s="1741"/>
      <c r="AB356" s="1741"/>
      <c r="AC356" s="1741">
        <v>-16870289.116328102</v>
      </c>
      <c r="AD356" s="1741"/>
      <c r="AE356" s="1741"/>
      <c r="AF356" s="1741">
        <v>-16842752.275523901</v>
      </c>
      <c r="AG356" s="1741"/>
      <c r="AH356" s="1741"/>
      <c r="AI356" s="1741">
        <v>-16341718.375240801</v>
      </c>
      <c r="AJ356" s="1741"/>
      <c r="AK356" s="1741"/>
      <c r="AL356" s="1741">
        <v>-16211696.887258099</v>
      </c>
      <c r="AM356" s="1741"/>
      <c r="AN356" s="1741"/>
      <c r="AO356" s="1741">
        <v>-16162768.781988399</v>
      </c>
      <c r="AP356" s="1741"/>
      <c r="AQ356" s="1741"/>
      <c r="AR356" s="1741">
        <v>-15641088.304269301</v>
      </c>
      <c r="AS356" s="1741"/>
      <c r="AT356" s="1741"/>
      <c r="AU356" s="1741">
        <v>-15654890.376616601</v>
      </c>
      <c r="AV356" s="1741"/>
      <c r="AW356" s="1741"/>
      <c r="AX356" s="1741">
        <v>-15587265.4150493</v>
      </c>
      <c r="AY356" s="1741"/>
      <c r="AZ356" s="1741"/>
      <c r="BA356" s="1741">
        <v>-14758732.898716601</v>
      </c>
      <c r="BB356" s="1741"/>
      <c r="BC356" s="1741"/>
      <c r="BD356" s="1741">
        <v>-14758732.898716601</v>
      </c>
      <c r="BE356" s="1741"/>
      <c r="BF356" s="1741"/>
      <c r="BG356" s="1741">
        <v>-14520395.7481681</v>
      </c>
      <c r="BH356" s="1741"/>
      <c r="BI356" s="1741"/>
      <c r="BJ356" s="1741">
        <v>-14287790.2579601</v>
      </c>
      <c r="BK356" s="1741"/>
      <c r="BL356" s="1741"/>
      <c r="BM356" s="1741">
        <v>-14091180.8341542</v>
      </c>
      <c r="BN356" s="1741"/>
      <c r="BO356" s="1741"/>
      <c r="BP356" s="1741">
        <v>-12069758.126809699</v>
      </c>
      <c r="BQ356" s="1741"/>
      <c r="BR356" s="1741"/>
      <c r="BS356" s="1741">
        <v>-10586665.1255603</v>
      </c>
      <c r="BT356" s="1741"/>
      <c r="BU356" s="1741"/>
      <c r="BV356" s="1741">
        <v>-10004159.6653197</v>
      </c>
      <c r="BW356" s="1741"/>
      <c r="BX356" s="1741"/>
      <c r="BY356" s="1741">
        <v>-10097881.054583</v>
      </c>
      <c r="BZ356" s="1741"/>
      <c r="CA356" s="1741"/>
      <c r="CB356" s="1741">
        <v>-11096282.091835907</v>
      </c>
      <c r="CC356" s="1741"/>
      <c r="CD356" s="1741"/>
      <c r="CE356" s="1741">
        <v>-11096282.091835907</v>
      </c>
      <c r="CF356" s="1741"/>
      <c r="CG356" s="1741"/>
      <c r="CH356" s="1741">
        <v>-11067167.115535701</v>
      </c>
      <c r="CI356" s="1741"/>
      <c r="CJ356" s="1741"/>
      <c r="CK356" s="1741">
        <v>-9219336.8030864801</v>
      </c>
      <c r="CL356" s="1741"/>
      <c r="CM356" s="1741"/>
      <c r="CN356" s="1741">
        <v>-10554577.459414201</v>
      </c>
      <c r="CO356" s="1741"/>
      <c r="CP356" s="1741"/>
      <c r="CQ356" s="1741">
        <v>-10825930.185553901</v>
      </c>
      <c r="CR356" s="1741"/>
      <c r="CS356" s="1741"/>
      <c r="CT356" s="1741">
        <v>-10716635.6098492</v>
      </c>
      <c r="CU356" s="1741"/>
      <c r="CV356" s="1741"/>
      <c r="CW356" s="1741">
        <v>-10688336.8874029</v>
      </c>
      <c r="CX356" s="1741"/>
      <c r="CY356" s="1741"/>
      <c r="CZ356" s="1741"/>
    </row>
    <row r="357" spans="1:104">
      <c r="A357" s="260"/>
      <c r="B357" s="260"/>
      <c r="M357" s="1105"/>
      <c r="N357" s="1105"/>
      <c r="O357" s="1612">
        <v>-109298.50206783041</v>
      </c>
      <c r="Q357" s="1065">
        <v>-17295841.178232558</v>
      </c>
      <c r="R357" s="256"/>
      <c r="S357" s="256"/>
      <c r="T357" s="1674">
        <f>-T352+Q357</f>
        <v>-428145.53425435349</v>
      </c>
      <c r="U357" s="256"/>
      <c r="V357" s="256"/>
      <c r="W357" s="1674">
        <f>T352-W352</f>
        <v>1091.313613191247</v>
      </c>
      <c r="X357" s="256"/>
      <c r="Y357" s="256"/>
      <c r="Z357" s="1674">
        <f>W352-Z352</f>
        <v>37319.809121798724</v>
      </c>
      <c r="AA357" s="256"/>
      <c r="AB357" s="256"/>
      <c r="AC357" s="1674">
        <f>Z352-AC352</f>
        <v>-35817.650385092944</v>
      </c>
      <c r="AD357" s="256"/>
      <c r="AE357" s="256"/>
      <c r="AF357" s="1674">
        <f>AC352-AF352</f>
        <v>-27536.840804196894</v>
      </c>
      <c r="AG357" s="256"/>
      <c r="AH357" s="256"/>
      <c r="AI357" s="1674">
        <f>AF352-AI352</f>
        <v>-501033.9002830945</v>
      </c>
      <c r="AJ357" s="256"/>
      <c r="AK357" s="1674"/>
      <c r="AL357" s="1674">
        <f>AI352-AL352</f>
        <v>-130021.4879827071</v>
      </c>
      <c r="AM357" s="256"/>
      <c r="AN357" s="256"/>
      <c r="AO357" s="1674">
        <f>AL352-AO352</f>
        <v>-48928.105269705877</v>
      </c>
      <c r="AP357" s="256"/>
      <c r="AQ357" s="256"/>
      <c r="AR357" s="1674">
        <f>AO352-AR352</f>
        <v>-521680.47771909088</v>
      </c>
      <c r="AS357" s="256"/>
      <c r="AT357" s="1674">
        <f>AQ352-AT352</f>
        <v>15985.870052224025</v>
      </c>
      <c r="AU357" s="1674">
        <f>AR352-AU352</f>
        <v>13802.072347290814</v>
      </c>
      <c r="AV357" s="256"/>
      <c r="AW357" s="1674">
        <f>AT352-AW352</f>
        <v>-77594.951350646093</v>
      </c>
      <c r="AX357" s="1674">
        <f>AU352-AX352</f>
        <v>-67624.961567305028</v>
      </c>
      <c r="AY357" s="256"/>
      <c r="AZ357" s="1674">
        <f>AW352-AZ352</f>
        <v>-932813.02781658992</v>
      </c>
      <c r="BA357" s="1674">
        <f>AX352-BA352</f>
        <v>-828532.51633268408</v>
      </c>
      <c r="BB357" s="256"/>
      <c r="BC357" s="1674">
        <f>AZ352-BC352</f>
        <v>0</v>
      </c>
      <c r="BD357" s="1674">
        <f>BA352-BD352</f>
        <v>0</v>
      </c>
      <c r="BE357" s="256"/>
      <c r="BF357" s="1674">
        <f>BC352-BF352</f>
        <v>-273475.23246908002</v>
      </c>
      <c r="BG357" s="1674">
        <f>BD352-BG352</f>
        <v>-238337.15054851025</v>
      </c>
      <c r="BH357" s="256"/>
      <c r="BI357" s="1674">
        <f>BF352-BI352</f>
        <v>-266898.56203523092</v>
      </c>
      <c r="BJ357" s="1674">
        <f>BG352-BJ352</f>
        <v>-232605.4902080074</v>
      </c>
      <c r="BK357" s="256"/>
      <c r="BL357" s="1674">
        <f>BI352-BL352</f>
        <v>-225595.58297836129</v>
      </c>
      <c r="BM357" s="1674">
        <f>BJ352-BM352</f>
        <v>-196609.42380588688</v>
      </c>
      <c r="BN357" s="256"/>
      <c r="BO357" s="1674">
        <f>BL352-BO352</f>
        <v>-2344407.1703319801</v>
      </c>
      <c r="BP357" s="1674">
        <f>BM352-BP352</f>
        <v>-2021422.7073445041</v>
      </c>
      <c r="BQ357" s="256"/>
      <c r="BR357" s="1674">
        <f>BO352-BR352</f>
        <v>-1730307.1870487421</v>
      </c>
      <c r="BS357" s="1674">
        <f>BP352-BS352</f>
        <v>-1483093.0012494083</v>
      </c>
      <c r="BT357" s="256"/>
      <c r="BU357" s="1674">
        <f>BR352-BU352</f>
        <v>-674722.2707939744</v>
      </c>
      <c r="BV357" s="1674">
        <f>BS352-BV352</f>
        <v>-582505.46024058387</v>
      </c>
      <c r="BW357" s="256"/>
      <c r="BX357" s="1674">
        <f>BU352-BX352</f>
        <v>109104.17227126285</v>
      </c>
      <c r="BY357" s="1674">
        <f>BV352-BY352</f>
        <v>93721.389263300225</v>
      </c>
      <c r="BZ357" s="256"/>
      <c r="CA357" s="1674">
        <f>BX352-CA352</f>
        <v>1015248.4911350221</v>
      </c>
      <c r="CB357" s="1674">
        <f>BY352-CB352</f>
        <v>998401.03725289926</v>
      </c>
      <c r="CC357" s="256"/>
      <c r="CD357" s="1674">
        <f>CA352-CD352</f>
        <v>0</v>
      </c>
      <c r="CE357" s="1674">
        <f>CB352-CE352</f>
        <v>0</v>
      </c>
      <c r="CF357" s="256"/>
      <c r="CG357" s="1674">
        <f>CD352-CG352</f>
        <v>-33384.555524225347</v>
      </c>
      <c r="CH357" s="1674">
        <f>CE352-CH352</f>
        <v>-29114.976300204173</v>
      </c>
      <c r="CI357" s="256"/>
      <c r="CJ357" s="1674">
        <f>CG352-CJ352</f>
        <v>0</v>
      </c>
      <c r="CK357" s="1674">
        <f>CH352-CK352</f>
        <v>0</v>
      </c>
      <c r="CL357" s="256"/>
      <c r="CM357" s="1674">
        <f>CJ352-CM352</f>
        <v>-594729.09461935703</v>
      </c>
      <c r="CN357" s="1674">
        <f>CK352-CN352</f>
        <v>-512589.65612150356</v>
      </c>
      <c r="CO357" s="256"/>
      <c r="CP357" s="1674">
        <f>CM352-CP352</f>
        <v>311119.4730889299</v>
      </c>
      <c r="CQ357" s="1674">
        <f>CN352-CQ352</f>
        <v>271352.72613971122</v>
      </c>
      <c r="CR357" s="256"/>
      <c r="CS357" s="1674">
        <f>CP352-CS352</f>
        <v>-134840.93202788709</v>
      </c>
      <c r="CT357" s="1674">
        <f>CQ352-CT352</f>
        <v>-109294.57570471428</v>
      </c>
      <c r="CU357" s="256"/>
      <c r="CV357" s="1674">
        <f>CS352-CV352</f>
        <v>-60098.393348779064</v>
      </c>
      <c r="CW357" s="1674">
        <f>CT352-CW352</f>
        <v>-28298.722446294501</v>
      </c>
      <c r="CX357" s="256"/>
      <c r="CY357" s="1674">
        <f>CV352-CY352</f>
        <v>-3972195.6845696908</v>
      </c>
      <c r="CZ357" s="1674">
        <f>CW352-CZ352</f>
        <v>-10688336.887402901</v>
      </c>
    </row>
    <row r="358" spans="1:104">
      <c r="A358" s="260"/>
      <c r="B358" s="260"/>
      <c r="C358" s="1238"/>
      <c r="M358" s="1105"/>
      <c r="N358" s="1105"/>
      <c r="O358" s="1567">
        <v>0</v>
      </c>
      <c r="Q358" s="256"/>
      <c r="R358" s="256"/>
      <c r="S358" s="256"/>
      <c r="T358" s="1742">
        <f>T356-T352</f>
        <v>0</v>
      </c>
      <c r="U358" s="256"/>
      <c r="V358" s="256"/>
      <c r="W358" s="1742">
        <f>W356-W352</f>
        <v>0</v>
      </c>
      <c r="X358" s="256"/>
      <c r="Y358" s="256"/>
      <c r="Z358" s="1742">
        <f>Z356-Z352</f>
        <v>0</v>
      </c>
      <c r="AA358" s="256"/>
      <c r="AB358" s="256"/>
      <c r="AC358" s="1742">
        <f>AC356-AC352</f>
        <v>0</v>
      </c>
      <c r="AD358" s="256"/>
      <c r="AE358" s="256"/>
      <c r="AF358" s="1742">
        <f>AF356-AF352</f>
        <v>0</v>
      </c>
      <c r="AG358" s="256"/>
      <c r="AH358" s="256"/>
      <c r="AI358" s="1742">
        <f>AI356-AI352</f>
        <v>0</v>
      </c>
      <c r="AJ358" s="256"/>
      <c r="AK358" s="256"/>
      <c r="AL358" s="1742">
        <f>AL356-AL352</f>
        <v>0</v>
      </c>
      <c r="AM358" s="256"/>
      <c r="AN358" s="256"/>
      <c r="AO358" s="1742">
        <f>AO356-AO352</f>
        <v>0</v>
      </c>
      <c r="AP358" s="256"/>
      <c r="AQ358" s="256"/>
      <c r="AR358" s="1742">
        <f>AR356-AR352</f>
        <v>0</v>
      </c>
      <c r="AS358" s="256"/>
      <c r="AT358" s="256"/>
      <c r="AU358" s="1742">
        <f>AU356-AU352</f>
        <v>0</v>
      </c>
      <c r="AV358" s="256"/>
      <c r="AW358" s="256"/>
      <c r="AX358" s="1742">
        <f>AX356-AX352</f>
        <v>0</v>
      </c>
      <c r="AY358" s="256"/>
      <c r="AZ358" s="256"/>
      <c r="BA358" s="1742">
        <f>BA356-BA352</f>
        <v>0</v>
      </c>
      <c r="BB358" s="256"/>
      <c r="BC358" s="256"/>
      <c r="BD358" s="1742">
        <f>BD356-BD352</f>
        <v>0</v>
      </c>
      <c r="BE358" s="256"/>
      <c r="BF358" s="256"/>
      <c r="BG358" s="1742">
        <f>BG356-BG352</f>
        <v>0</v>
      </c>
      <c r="BH358" s="256"/>
      <c r="BI358" s="256"/>
      <c r="BJ358" s="1742">
        <f>BJ356-BJ352</f>
        <v>0</v>
      </c>
      <c r="BK358" s="256"/>
      <c r="BL358" s="256"/>
      <c r="BM358" s="1742">
        <f>BM356-BM352</f>
        <v>0</v>
      </c>
      <c r="BN358" s="256"/>
      <c r="BO358" s="256"/>
      <c r="BP358" s="1742">
        <f>BP356-BP352</f>
        <v>0</v>
      </c>
      <c r="BQ358" s="256"/>
      <c r="BR358" s="256"/>
      <c r="BS358" s="1742">
        <f>BS356-BS352</f>
        <v>0</v>
      </c>
      <c r="BT358" s="256"/>
      <c r="BU358" s="256"/>
      <c r="BV358" s="1742">
        <f>BV356-BV352</f>
        <v>0</v>
      </c>
      <c r="BW358" s="256"/>
      <c r="BX358" s="256"/>
      <c r="BY358" s="1742">
        <f>BY356-BY352</f>
        <v>0</v>
      </c>
      <c r="BZ358" s="256"/>
      <c r="CA358" s="256"/>
      <c r="CB358" s="1742">
        <f>CB356-CB352</f>
        <v>0</v>
      </c>
      <c r="CC358" s="256"/>
      <c r="CD358" s="256"/>
      <c r="CE358" s="1742">
        <f>CE356-CE352</f>
        <v>0</v>
      </c>
      <c r="CF358" s="256"/>
      <c r="CG358" s="256"/>
      <c r="CH358" s="1742">
        <f>CH356-CH352</f>
        <v>0</v>
      </c>
      <c r="CI358" s="256"/>
      <c r="CJ358" s="256"/>
      <c r="CK358" s="1742">
        <f>CK356-CK352</f>
        <v>1847830.3124492224</v>
      </c>
      <c r="CL358" s="256"/>
      <c r="CM358" s="256"/>
      <c r="CN358" s="1742">
        <f>CN356-CN352</f>
        <v>0</v>
      </c>
      <c r="CO358" s="256"/>
      <c r="CP358" s="256"/>
      <c r="CQ358" s="1742">
        <f>CQ356-CQ352</f>
        <v>0</v>
      </c>
      <c r="CR358" s="256"/>
      <c r="CS358" s="256"/>
      <c r="CT358" s="1742">
        <f>CT356-CT352</f>
        <v>0</v>
      </c>
      <c r="CU358" s="256"/>
      <c r="CV358" s="256"/>
      <c r="CW358" s="1742">
        <f>CW356-CW352</f>
        <v>0</v>
      </c>
      <c r="CX358" s="256"/>
      <c r="CY358" s="256"/>
      <c r="CZ358" s="1742">
        <f>CZ356-CZ352</f>
        <v>0</v>
      </c>
    </row>
    <row r="359" spans="1:104">
      <c r="A359" s="260"/>
      <c r="B359" s="260"/>
      <c r="M359" s="1105"/>
      <c r="N359" s="1105"/>
      <c r="O359" s="1567">
        <v>0</v>
      </c>
      <c r="Q359" s="256"/>
      <c r="R359" s="256"/>
      <c r="S359" s="256"/>
      <c r="T359" s="1742">
        <f>-T358/T354</f>
        <v>0</v>
      </c>
      <c r="U359" s="256"/>
      <c r="V359" s="256"/>
      <c r="W359" s="1742">
        <f>-W358/W354</f>
        <v>0</v>
      </c>
      <c r="X359" s="256"/>
      <c r="Y359" s="256"/>
      <c r="Z359" s="1742">
        <f>-Z358/Z354</f>
        <v>0</v>
      </c>
      <c r="AA359" s="256"/>
      <c r="AB359" s="256"/>
      <c r="AC359" s="1742">
        <f>-AC358/AC354</f>
        <v>0</v>
      </c>
      <c r="AD359" s="256"/>
      <c r="AE359" s="256"/>
      <c r="AF359" s="1742">
        <f>-AF358/AF354</f>
        <v>0</v>
      </c>
      <c r="AG359" s="256"/>
      <c r="AH359" s="256"/>
      <c r="AI359" s="1742">
        <f>-AI358/AI354</f>
        <v>0</v>
      </c>
      <c r="AJ359" s="256"/>
      <c r="AK359" s="256"/>
      <c r="AL359" s="1742">
        <f>-AL358/AL354</f>
        <v>0</v>
      </c>
      <c r="AM359" s="256"/>
      <c r="AN359" s="256"/>
      <c r="AO359" s="1742">
        <f>-AO358/AO354</f>
        <v>0</v>
      </c>
      <c r="AP359" s="256"/>
      <c r="AQ359" s="256"/>
      <c r="AR359" s="1742">
        <f>-AR358/AR354</f>
        <v>0</v>
      </c>
      <c r="AS359" s="256"/>
      <c r="AT359" s="256"/>
      <c r="AU359" s="1742">
        <f>-AU358/AU354</f>
        <v>0</v>
      </c>
      <c r="AV359" s="256"/>
      <c r="AW359" s="256"/>
      <c r="AX359" s="1742">
        <f>-AX358/AX354</f>
        <v>0</v>
      </c>
      <c r="AY359" s="256"/>
      <c r="AZ359" s="256"/>
      <c r="BA359" s="1742">
        <f>-BA358/BA354</f>
        <v>0</v>
      </c>
      <c r="BB359" s="256"/>
      <c r="BC359" s="256"/>
      <c r="BD359" s="1742">
        <f>-BD358/BD354</f>
        <v>0</v>
      </c>
      <c r="BE359" s="256"/>
      <c r="BF359" s="256"/>
      <c r="BG359" s="1742">
        <f>-BG358/BG354</f>
        <v>0</v>
      </c>
      <c r="BH359" s="256"/>
      <c r="BI359" s="256"/>
      <c r="BJ359" s="1742">
        <f>-BJ358/BJ354</f>
        <v>0</v>
      </c>
      <c r="BK359" s="256"/>
      <c r="BL359" s="256"/>
      <c r="BM359" s="1742">
        <f>-BM358/BM354</f>
        <v>0</v>
      </c>
      <c r="BN359" s="256"/>
      <c r="BO359" s="256"/>
      <c r="BP359" s="1742">
        <f>-BP358/BP354</f>
        <v>0</v>
      </c>
      <c r="BQ359" s="256"/>
      <c r="BR359" s="256"/>
      <c r="BS359" s="1742">
        <f>-BS358/BS354</f>
        <v>0</v>
      </c>
      <c r="BT359" s="256"/>
      <c r="BU359" s="256"/>
      <c r="BV359" s="1742">
        <f>-BV358/BV354</f>
        <v>0</v>
      </c>
      <c r="BW359" s="256"/>
      <c r="BX359" s="256"/>
      <c r="BY359" s="1742">
        <f>-BY358/BY354</f>
        <v>0</v>
      </c>
      <c r="BZ359" s="256"/>
      <c r="CA359" s="256"/>
      <c r="CB359" s="1742">
        <f>-CB358/CB354</f>
        <v>0</v>
      </c>
      <c r="CC359" s="256"/>
      <c r="CD359" s="256"/>
      <c r="CE359" s="1742">
        <f>-CE358/CE354</f>
        <v>0</v>
      </c>
      <c r="CF359" s="256"/>
      <c r="CG359" s="256"/>
      <c r="CH359" s="1742">
        <f>-CH358/CH354</f>
        <v>0</v>
      </c>
      <c r="CI359" s="256"/>
      <c r="CJ359" s="256"/>
      <c r="CK359" s="1742">
        <f>-CK358/CK354</f>
        <v>-1345776.6643870811</v>
      </c>
      <c r="CL359" s="256"/>
      <c r="CM359" s="256"/>
      <c r="CN359" s="1742">
        <f>-CN358/CN354</f>
        <v>0</v>
      </c>
      <c r="CO359" s="256"/>
      <c r="CP359" s="256"/>
      <c r="CQ359" s="1742">
        <f>-CQ358/CQ354</f>
        <v>0</v>
      </c>
      <c r="CR359" s="256"/>
      <c r="CS359" s="256"/>
      <c r="CT359" s="1742">
        <f>-CT358/CT354</f>
        <v>0</v>
      </c>
      <c r="CU359" s="256"/>
      <c r="CV359" s="256"/>
      <c r="CW359" s="1742">
        <f>-CW358/CW354</f>
        <v>0</v>
      </c>
      <c r="CX359" s="256"/>
      <c r="CY359" s="256"/>
      <c r="CZ359" s="1742">
        <f>-CZ358/CZ354</f>
        <v>0</v>
      </c>
    </row>
    <row r="360" spans="1:104">
      <c r="A360" s="260"/>
      <c r="B360" s="260"/>
      <c r="M360" s="1105"/>
      <c r="N360" s="1105"/>
      <c r="O360" s="1105"/>
      <c r="Q360" s="256"/>
      <c r="R360" s="256"/>
      <c r="S360" s="256"/>
      <c r="T360" s="256"/>
      <c r="U360" s="256"/>
      <c r="V360" s="256"/>
      <c r="W360" s="256"/>
      <c r="X360" s="256"/>
      <c r="Y360" s="256"/>
      <c r="Z360" s="256"/>
      <c r="AA360" s="256"/>
      <c r="AB360" s="256"/>
      <c r="AC360" s="256"/>
      <c r="AD360" s="256"/>
      <c r="AE360" s="256"/>
      <c r="AF360" s="256"/>
      <c r="AG360" s="256"/>
      <c r="AH360" s="256"/>
      <c r="AI360" s="256"/>
      <c r="AJ360" s="256"/>
      <c r="AK360" s="256"/>
      <c r="AL360" s="256"/>
      <c r="AM360" s="256"/>
      <c r="AN360" s="256"/>
      <c r="AO360" s="256"/>
      <c r="AP360" s="256"/>
      <c r="AQ360" s="256"/>
      <c r="AR360" s="256"/>
      <c r="AS360" s="256"/>
      <c r="AT360" s="256"/>
      <c r="AU360" s="256"/>
      <c r="AV360" s="256"/>
      <c r="AW360" s="256"/>
      <c r="AX360" s="256"/>
      <c r="AY360" s="256"/>
      <c r="AZ360" s="256"/>
      <c r="BA360" s="256"/>
      <c r="BB360" s="256"/>
      <c r="BC360" s="256"/>
      <c r="BD360" s="256"/>
      <c r="BE360" s="256"/>
      <c r="BF360" s="256"/>
      <c r="BG360" s="256"/>
      <c r="BH360" s="256"/>
      <c r="BI360" s="256"/>
      <c r="BJ360" s="256"/>
      <c r="BK360" s="256"/>
      <c r="BL360" s="256"/>
      <c r="BM360" s="256"/>
      <c r="BN360" s="256"/>
      <c r="BO360" s="256"/>
      <c r="BP360" s="256"/>
      <c r="BQ360" s="256"/>
      <c r="BR360" s="256"/>
      <c r="BS360" s="256"/>
      <c r="BT360" s="256"/>
      <c r="BU360" s="256"/>
      <c r="BV360" s="256"/>
      <c r="BW360" s="256"/>
      <c r="BX360" s="256"/>
      <c r="BY360" s="256"/>
      <c r="BZ360" s="256"/>
      <c r="CA360" s="256"/>
      <c r="CB360" s="256"/>
      <c r="CC360" s="256"/>
      <c r="CD360" s="256"/>
      <c r="CE360" s="256"/>
      <c r="CF360" s="256"/>
      <c r="CG360" s="256"/>
      <c r="CH360" s="256"/>
      <c r="CI360" s="256"/>
      <c r="CJ360" s="256"/>
      <c r="CK360" s="256"/>
      <c r="CL360" s="256"/>
      <c r="CM360" s="256"/>
      <c r="CN360" s="256"/>
      <c r="CO360" s="256"/>
      <c r="CP360" s="256"/>
      <c r="CQ360" s="256"/>
      <c r="CR360" s="256"/>
      <c r="CS360" s="256"/>
      <c r="CT360" s="256"/>
      <c r="CU360" s="256"/>
      <c r="CV360" s="256"/>
      <c r="CW360" s="256"/>
      <c r="CX360" s="256"/>
      <c r="CY360" s="256"/>
      <c r="CZ360" s="256"/>
    </row>
    <row r="361" spans="1:104">
      <c r="A361" s="260"/>
      <c r="B361" s="260"/>
      <c r="M361" s="1105"/>
      <c r="N361" s="1105"/>
      <c r="O361" s="1105"/>
      <c r="Q361" s="1674">
        <f>-Q352</f>
        <v>11733365.348830439</v>
      </c>
      <c r="R361" s="256"/>
      <c r="S361" s="1674">
        <f>Q352-S352</f>
        <v>-453997.1288645491</v>
      </c>
      <c r="T361" s="256"/>
      <c r="U361" s="256"/>
      <c r="V361" s="1674">
        <f>S352-V352</f>
        <v>1252.1135422810912</v>
      </c>
      <c r="W361" s="256"/>
      <c r="X361" s="256"/>
      <c r="Y361" s="1674">
        <f>V352-Y352</f>
        <v>41114.538886195049</v>
      </c>
      <c r="Z361" s="256"/>
      <c r="AA361" s="256"/>
      <c r="AB361" s="1674">
        <f>Y352-AB352</f>
        <v>-34132.521269761026</v>
      </c>
      <c r="AC361" s="256"/>
      <c r="AD361" s="256"/>
      <c r="AE361" s="1674">
        <f>AB352-AE352</f>
        <v>-31596.459087327123</v>
      </c>
      <c r="AF361" s="256"/>
      <c r="AG361" s="256"/>
      <c r="AH361" s="1674">
        <f>AE352-AH352</f>
        <v>-582886.59361224622</v>
      </c>
      <c r="AI361" s="256"/>
      <c r="AJ361" s="256"/>
      <c r="AK361" s="1674">
        <f>AH352-AK352</f>
        <v>-148232.77200345136</v>
      </c>
      <c r="AL361" s="256"/>
      <c r="AM361" s="256"/>
      <c r="AN361" s="1674">
        <f>AK352-AN352</f>
        <v>-56689.741477299482</v>
      </c>
      <c r="AO361" s="256"/>
      <c r="AP361" s="256"/>
      <c r="AQ361" s="1674">
        <f>AN352-AQ352</f>
        <v>-598592.14657717571</v>
      </c>
      <c r="AR361" s="256"/>
      <c r="AS361" s="256"/>
      <c r="AT361" s="1674">
        <f>AQ352-AT352</f>
        <v>15985.870052224025</v>
      </c>
      <c r="AU361" s="256"/>
      <c r="AV361" s="256"/>
      <c r="AW361" s="1674">
        <f>AT352-AW352</f>
        <v>-77594.951350646093</v>
      </c>
      <c r="AX361" s="1674">
        <f>AU352-AX352</f>
        <v>-67624.961567305028</v>
      </c>
      <c r="AY361" s="256"/>
      <c r="AZ361" s="1674">
        <f>AW352-AZ352</f>
        <v>-932813.02781658992</v>
      </c>
      <c r="BA361" s="256"/>
      <c r="BB361" s="256"/>
      <c r="BC361" s="1674">
        <f>AZ352-BC352</f>
        <v>0</v>
      </c>
      <c r="BD361" s="256"/>
      <c r="BE361" s="256"/>
      <c r="BF361" s="1674">
        <f>BC352-BF352</f>
        <v>-273475.23246908002</v>
      </c>
      <c r="BG361" s="256"/>
      <c r="BH361" s="256"/>
      <c r="BI361" s="1674">
        <f>BF352-BI352</f>
        <v>-266898.56203523092</v>
      </c>
      <c r="BJ361" s="256"/>
      <c r="BK361" s="256"/>
      <c r="BL361" s="1674">
        <f>BI352-BL352</f>
        <v>-225595.58297836129</v>
      </c>
      <c r="BM361" s="256"/>
      <c r="BN361" s="256"/>
      <c r="BO361" s="1674">
        <f>BL352-BO352</f>
        <v>-2344407.1703319801</v>
      </c>
      <c r="BP361" s="256"/>
      <c r="BQ361" s="256"/>
      <c r="BR361" s="1674">
        <f>BL352-BR352</f>
        <v>-4074714.3573807222</v>
      </c>
      <c r="BS361" s="256"/>
      <c r="BT361" s="256"/>
      <c r="BU361" s="1674">
        <f>BR352-BU352</f>
        <v>-674722.2707939744</v>
      </c>
      <c r="BV361" s="256"/>
      <c r="BW361" s="256"/>
      <c r="BX361" s="1674">
        <f>BU352-BX352</f>
        <v>109104.17227126285</v>
      </c>
      <c r="BY361" s="256"/>
      <c r="BZ361" s="256"/>
      <c r="CA361" s="1674">
        <f>BX352-CA352</f>
        <v>1015248.4911350221</v>
      </c>
      <c r="CB361" s="256"/>
      <c r="CC361" s="256"/>
      <c r="CD361" s="1674">
        <f>CA352-CD352</f>
        <v>0</v>
      </c>
      <c r="CE361" s="256"/>
      <c r="CF361" s="256"/>
      <c r="CG361" s="1674">
        <f>CD352-CG352</f>
        <v>-33384.555524225347</v>
      </c>
      <c r="CH361" s="256"/>
      <c r="CI361" s="256"/>
      <c r="CJ361" s="1674"/>
      <c r="CK361" s="256"/>
      <c r="CL361" s="256"/>
      <c r="CM361" s="1674"/>
      <c r="CN361" s="256"/>
      <c r="CO361" s="256"/>
      <c r="CP361" s="1674"/>
      <c r="CQ361" s="256"/>
      <c r="CR361" s="256"/>
      <c r="CS361" s="1674"/>
      <c r="CT361" s="256"/>
      <c r="CU361" s="256"/>
      <c r="CV361" s="1674"/>
      <c r="CW361" s="256"/>
      <c r="CX361" s="256"/>
      <c r="CY361" s="1674"/>
      <c r="CZ361" s="256"/>
    </row>
    <row r="362" spans="1:104">
      <c r="A362" s="260"/>
      <c r="B362" s="260"/>
      <c r="M362" s="1105"/>
      <c r="N362" s="1105"/>
      <c r="O362" s="1105">
        <v>910279978863.57898</v>
      </c>
      <c r="Q362" s="256">
        <v>17298359</v>
      </c>
      <c r="R362" s="256"/>
      <c r="S362" s="1674">
        <f>S361*S364</f>
        <v>-393615.51072556409</v>
      </c>
      <c r="T362" s="256"/>
      <c r="U362" s="256"/>
      <c r="V362" s="1675">
        <f>V361*V364</f>
        <v>1076.8176463617385</v>
      </c>
      <c r="W362" s="256"/>
      <c r="X362" s="256"/>
      <c r="Y362" s="1675">
        <f>Y361*Y364</f>
        <v>34947.358053265787</v>
      </c>
      <c r="Z362" s="256"/>
      <c r="AA362" s="256"/>
      <c r="AB362" s="1675">
        <f>AB361*AB364</f>
        <v>-34132.521269761026</v>
      </c>
      <c r="AC362" s="256"/>
      <c r="AD362" s="256"/>
      <c r="AE362" s="1675">
        <f>AE361*AE364</f>
        <v>-27488.919405974597</v>
      </c>
      <c r="AF362" s="256"/>
      <c r="AG362" s="256"/>
      <c r="AH362" s="1675">
        <f>AH361*AH364</f>
        <v>-498950.92413208273</v>
      </c>
      <c r="AI362" s="256"/>
      <c r="AJ362" s="256"/>
      <c r="AK362" s="1675">
        <f>AK361*AK364</f>
        <v>-129851.90827502339</v>
      </c>
      <c r="AL362" s="256"/>
      <c r="AM362" s="256"/>
      <c r="AN362" s="1675">
        <f>AN361*AN364</f>
        <v>-49320.075085250552</v>
      </c>
      <c r="AO362" s="256"/>
      <c r="AP362" s="256"/>
      <c r="AQ362" s="1675">
        <f>AQ361*AQ364</f>
        <v>-520775.16752214287</v>
      </c>
      <c r="AR362" s="256"/>
      <c r="AS362" s="256"/>
      <c r="AT362" s="1675">
        <f>AT361*AT364</f>
        <v>13907.706945434902</v>
      </c>
      <c r="AU362" s="256">
        <f>SUM(Q362:AT362)</f>
        <v>15694155.856229262</v>
      </c>
      <c r="AV362" s="256"/>
      <c r="AW362" s="1675">
        <f>AW361*AW364</f>
        <v>-67507.6076750621</v>
      </c>
      <c r="AX362" s="256">
        <f>SUM(T362:AW362)</f>
        <v>14416060.615509028</v>
      </c>
      <c r="AY362" s="256"/>
      <c r="AZ362" s="1675">
        <f>AZ361*AZ364</f>
        <v>-811547.33420043322</v>
      </c>
      <c r="BA362" s="256">
        <f>SUM(W362:AZ362)</f>
        <v>28019497.079171259</v>
      </c>
      <c r="BB362" s="256"/>
      <c r="BC362" s="1675">
        <f>BC361*BC364</f>
        <v>0</v>
      </c>
      <c r="BD362" s="256">
        <f>SUM(Z362:BC362)</f>
        <v>56004046.800289258</v>
      </c>
      <c r="BE362" s="256"/>
      <c r="BF362" s="1675">
        <f>BF361*BF364</f>
        <v>-237923.45224809961</v>
      </c>
      <c r="BG362" s="256">
        <f>SUM(AC362:BF362)</f>
        <v>111804302.66960017</v>
      </c>
      <c r="BH362" s="256"/>
      <c r="BI362" s="1675">
        <f>BI361*BI364</f>
        <v>-232201.74897065089</v>
      </c>
      <c r="BJ362" s="256">
        <f>SUM(AF362:BI362)</f>
        <v>223403892.50963566</v>
      </c>
      <c r="BK362" s="256"/>
      <c r="BL362" s="1675">
        <f>BL361*BL364</f>
        <v>-196268.15719117431</v>
      </c>
      <c r="BM362" s="256">
        <f>SUM(AI362:BL362)</f>
        <v>447110467.78621227</v>
      </c>
      <c r="BN362" s="256"/>
      <c r="BO362" s="1675">
        <f>BO361*BO364</f>
        <v>-2039634.2381888228</v>
      </c>
      <c r="BP362" s="256">
        <f>SUM(AL362:BO362)</f>
        <v>892311153.24251068</v>
      </c>
      <c r="BQ362" s="256"/>
      <c r="BR362" s="1675">
        <f>BR361*BR364</f>
        <v>-3545001.4909212282</v>
      </c>
      <c r="BS362" s="256">
        <f>SUM(AL362:BR362)</f>
        <v>1781077304.9941001</v>
      </c>
      <c r="BT362" s="256"/>
      <c r="BU362" s="1675">
        <f>BU361*BU364</f>
        <v>-587008.3755907577</v>
      </c>
      <c r="BV362" s="256">
        <f>SUM(AO362:BU362)</f>
        <v>3561616921.6876945</v>
      </c>
      <c r="BW362" s="256"/>
      <c r="BX362" s="1675">
        <f>BX361*BX364</f>
        <v>94920.629875998682</v>
      </c>
      <c r="BY362" s="256">
        <f>SUM(AR362:BX362)</f>
        <v>7123849539.1727877</v>
      </c>
      <c r="BZ362" s="256"/>
      <c r="CA362" s="1675">
        <f>CA361*CA364</f>
        <v>883266.18728746928</v>
      </c>
      <c r="CB362" s="256">
        <f>SUM(AU362:CA362)</f>
        <v>14248568436.825918</v>
      </c>
      <c r="CC362" s="256"/>
      <c r="CD362" s="1675">
        <f>CD361*CD364</f>
        <v>0</v>
      </c>
      <c r="CE362" s="256">
        <f>SUM(AX362:CD362)</f>
        <v>28481510225.403282</v>
      </c>
      <c r="CF362" s="256"/>
      <c r="CG362" s="1675">
        <f>CG361*CG364</f>
        <v>-29044.563306076052</v>
      </c>
      <c r="CH362" s="256">
        <f>SUM(BA362:CG362)</f>
        <v>56949386892.961945</v>
      </c>
      <c r="CI362" s="256"/>
      <c r="CJ362" s="1675"/>
      <c r="CK362" s="256"/>
      <c r="CL362" s="256"/>
      <c r="CM362" s="1675"/>
      <c r="CN362" s="256"/>
      <c r="CO362" s="256"/>
      <c r="CP362" s="1675"/>
      <c r="CQ362" s="256"/>
      <c r="CR362" s="256"/>
      <c r="CS362" s="1675"/>
      <c r="CT362" s="256"/>
      <c r="CU362" s="256"/>
      <c r="CV362" s="1675"/>
      <c r="CW362" s="256"/>
      <c r="CX362" s="256"/>
      <c r="CY362" s="1675"/>
      <c r="CZ362" s="256"/>
    </row>
    <row r="363" spans="1:104">
      <c r="A363" s="260"/>
      <c r="B363" s="260"/>
      <c r="M363" s="1105"/>
      <c r="N363" s="1105"/>
      <c r="O363" s="1105"/>
      <c r="Q363" s="256"/>
      <c r="R363" s="256"/>
      <c r="S363" s="256" t="s">
        <v>1588</v>
      </c>
      <c r="T363" s="256"/>
      <c r="U363" s="256"/>
      <c r="V363" s="256" t="s">
        <v>1588</v>
      </c>
      <c r="W363" s="256"/>
      <c r="X363" s="256"/>
      <c r="Y363" s="256" t="s">
        <v>84</v>
      </c>
      <c r="Z363" s="256"/>
      <c r="AA363" s="256"/>
      <c r="AB363" s="256" t="s">
        <v>1588</v>
      </c>
      <c r="AC363" s="256"/>
      <c r="AD363" s="256"/>
      <c r="AE363" s="256" t="s">
        <v>1588</v>
      </c>
      <c r="AF363" s="256"/>
      <c r="AG363" s="256"/>
      <c r="AH363" s="256" t="s">
        <v>1589</v>
      </c>
      <c r="AI363" s="256"/>
      <c r="AJ363" s="256"/>
      <c r="AK363" s="256" t="s">
        <v>1588</v>
      </c>
      <c r="AL363" s="256"/>
      <c r="AM363" s="256"/>
      <c r="AN363" s="256" t="s">
        <v>1590</v>
      </c>
      <c r="AO363" s="256"/>
      <c r="AP363" s="256"/>
      <c r="AQ363" s="256" t="s">
        <v>1591</v>
      </c>
      <c r="AR363" s="256"/>
      <c r="AS363" s="256"/>
      <c r="AT363" s="256" t="s">
        <v>1594</v>
      </c>
      <c r="AU363" s="256"/>
      <c r="AV363" s="256"/>
      <c r="AW363" s="256" t="s">
        <v>1594</v>
      </c>
      <c r="AX363" s="256"/>
      <c r="AY363" s="256"/>
      <c r="AZ363" s="256" t="s">
        <v>1594</v>
      </c>
      <c r="BA363" s="256"/>
      <c r="BB363" s="256"/>
      <c r="BC363" s="256" t="s">
        <v>1594</v>
      </c>
      <c r="BD363" s="256"/>
      <c r="BE363" s="256"/>
      <c r="BF363" s="256" t="s">
        <v>1594</v>
      </c>
      <c r="BG363" s="256"/>
      <c r="BH363" s="256"/>
      <c r="BI363" s="256" t="s">
        <v>1594</v>
      </c>
      <c r="BJ363" s="256"/>
      <c r="BK363" s="256"/>
      <c r="BL363" s="256" t="s">
        <v>1594</v>
      </c>
      <c r="BM363" s="256"/>
      <c r="BN363" s="256"/>
      <c r="BO363" s="256" t="s">
        <v>1594</v>
      </c>
      <c r="BP363" s="256"/>
      <c r="BQ363" s="256"/>
      <c r="BR363" s="256" t="s">
        <v>1594</v>
      </c>
      <c r="BS363" s="256"/>
      <c r="BT363" s="256"/>
      <c r="BU363" s="256" t="s">
        <v>1594</v>
      </c>
      <c r="BV363" s="256"/>
      <c r="BW363" s="256"/>
      <c r="BX363" s="256" t="s">
        <v>1594</v>
      </c>
      <c r="BY363" s="256"/>
      <c r="BZ363" s="256"/>
      <c r="CA363" s="256" t="s">
        <v>1594</v>
      </c>
      <c r="CB363" s="256"/>
      <c r="CC363" s="256"/>
      <c r="CD363" s="256" t="s">
        <v>1594</v>
      </c>
      <c r="CE363" s="256"/>
      <c r="CF363" s="256"/>
      <c r="CG363" s="256" t="s">
        <v>1594</v>
      </c>
      <c r="CH363" s="256"/>
      <c r="CI363" s="256"/>
      <c r="CJ363" s="256" t="s">
        <v>1594</v>
      </c>
      <c r="CK363" s="256"/>
      <c r="CL363" s="256"/>
      <c r="CM363" s="256" t="s">
        <v>1594</v>
      </c>
      <c r="CN363" s="256"/>
      <c r="CO363" s="256"/>
      <c r="CP363" s="256" t="s">
        <v>1594</v>
      </c>
      <c r="CQ363" s="256"/>
      <c r="CR363" s="256"/>
      <c r="CS363" s="256" t="s">
        <v>1594</v>
      </c>
      <c r="CT363" s="256"/>
      <c r="CU363" s="256"/>
      <c r="CV363" s="256" t="s">
        <v>1594</v>
      </c>
      <c r="CW363" s="256"/>
      <c r="CX363" s="256"/>
      <c r="CY363" s="256" t="s">
        <v>1594</v>
      </c>
      <c r="CZ363" s="256"/>
    </row>
    <row r="364" spans="1:104">
      <c r="A364" s="260"/>
      <c r="B364" s="260"/>
      <c r="M364" s="1105"/>
      <c r="N364" s="1105"/>
      <c r="O364" s="1105"/>
      <c r="Q364" s="256"/>
      <c r="R364" s="256"/>
      <c r="S364" s="1676">
        <v>0.86699999999999999</v>
      </c>
      <c r="T364" s="1676"/>
      <c r="U364" s="1676"/>
      <c r="V364" s="1676">
        <v>0.86</v>
      </c>
      <c r="W364" s="1676"/>
      <c r="X364" s="1676"/>
      <c r="Y364" s="1676">
        <v>0.85</v>
      </c>
      <c r="Z364" s="1676"/>
      <c r="AA364" s="1676"/>
      <c r="AB364" s="1676">
        <v>1</v>
      </c>
      <c r="AC364" s="1676"/>
      <c r="AD364" s="1676"/>
      <c r="AE364" s="1676">
        <v>0.87</v>
      </c>
      <c r="AF364" s="1676"/>
      <c r="AG364" s="1676"/>
      <c r="AH364" s="1676">
        <v>0.85599999999999998</v>
      </c>
      <c r="AI364" s="1676"/>
      <c r="AJ364" s="1676"/>
      <c r="AK364" s="1676">
        <v>0.876</v>
      </c>
      <c r="AL364" s="1676"/>
      <c r="AM364" s="1676"/>
      <c r="AN364" s="1676">
        <v>0.87</v>
      </c>
      <c r="AO364" s="1676"/>
      <c r="AP364" s="1676"/>
      <c r="AQ364" s="1676">
        <v>0.87</v>
      </c>
      <c r="AR364" s="256"/>
      <c r="AS364" s="256"/>
      <c r="AT364" s="1676">
        <v>0.87</v>
      </c>
      <c r="AU364" s="256"/>
      <c r="AV364" s="256"/>
      <c r="AW364" s="1676">
        <v>0.87</v>
      </c>
      <c r="AX364" s="256"/>
      <c r="AY364" s="256"/>
      <c r="AZ364" s="1676">
        <v>0.87</v>
      </c>
      <c r="BA364" s="256"/>
      <c r="BB364" s="256"/>
      <c r="BC364" s="1676">
        <v>0.87</v>
      </c>
      <c r="BD364" s="256"/>
      <c r="BE364" s="256"/>
      <c r="BF364" s="1676">
        <v>0.87</v>
      </c>
      <c r="BG364" s="256"/>
      <c r="BH364" s="256"/>
      <c r="BI364" s="1676">
        <v>0.87</v>
      </c>
      <c r="BJ364" s="256"/>
      <c r="BK364" s="256"/>
      <c r="BL364" s="1676">
        <v>0.87</v>
      </c>
      <c r="BM364" s="256"/>
      <c r="BN364" s="256"/>
      <c r="BO364" s="1676">
        <v>0.87</v>
      </c>
      <c r="BP364" s="256"/>
      <c r="BQ364" s="256"/>
      <c r="BR364" s="1676">
        <v>0.87</v>
      </c>
      <c r="BS364" s="256"/>
      <c r="BT364" s="256"/>
      <c r="BU364" s="1676">
        <v>0.87</v>
      </c>
      <c r="BV364" s="256"/>
      <c r="BW364" s="256"/>
      <c r="BX364" s="1676">
        <v>0.87</v>
      </c>
      <c r="BY364" s="256"/>
      <c r="BZ364" s="256"/>
      <c r="CA364" s="1676">
        <v>0.87</v>
      </c>
      <c r="CB364" s="256"/>
      <c r="CC364" s="256"/>
      <c r="CD364" s="1676">
        <v>0.87</v>
      </c>
      <c r="CE364" s="256"/>
      <c r="CF364" s="256"/>
      <c r="CG364" s="1676">
        <v>0.87</v>
      </c>
      <c r="CH364" s="256"/>
      <c r="CI364" s="256"/>
      <c r="CJ364" s="1676">
        <v>0.87</v>
      </c>
      <c r="CK364" s="256"/>
      <c r="CL364" s="256"/>
      <c r="CM364" s="1676">
        <v>0.87</v>
      </c>
      <c r="CN364" s="256"/>
      <c r="CO364" s="256"/>
      <c r="CP364" s="1676">
        <v>0.87</v>
      </c>
      <c r="CQ364" s="256"/>
      <c r="CR364" s="256"/>
      <c r="CS364" s="1676">
        <v>0.87</v>
      </c>
      <c r="CT364" s="256"/>
      <c r="CU364" s="256"/>
      <c r="CV364" s="1676">
        <v>0.87</v>
      </c>
      <c r="CW364" s="256"/>
      <c r="CX364" s="256"/>
      <c r="CY364" s="1676">
        <v>0.87</v>
      </c>
      <c r="CZ364" s="256"/>
    </row>
    <row r="365" spans="1:104">
      <c r="O365" s="582"/>
    </row>
    <row r="366" spans="1:104">
      <c r="O366" s="582"/>
    </row>
    <row r="367" spans="1:104">
      <c r="O367" s="582"/>
    </row>
    <row r="368" spans="1:104">
      <c r="O368" s="582"/>
    </row>
    <row r="369" spans="15:15">
      <c r="O369" s="582"/>
    </row>
    <row r="370" spans="15:15">
      <c r="O370" s="582"/>
    </row>
    <row r="371" spans="15:15">
      <c r="O371" s="582"/>
    </row>
    <row r="372" spans="15:15">
      <c r="O372" s="582"/>
    </row>
    <row r="373" spans="15:15">
      <c r="O373" s="582"/>
    </row>
    <row r="374" spans="15:15">
      <c r="O374" s="582"/>
    </row>
    <row r="375" spans="15:15">
      <c r="O375" s="582"/>
    </row>
    <row r="376" spans="15:15">
      <c r="O376" s="582"/>
    </row>
    <row r="377" spans="15:15">
      <c r="O377" s="582"/>
    </row>
    <row r="378" spans="15:15">
      <c r="O378" s="582"/>
    </row>
    <row r="379" spans="15:15">
      <c r="O379" s="582"/>
    </row>
    <row r="380" spans="15:15">
      <c r="O380" s="582"/>
    </row>
    <row r="381" spans="15:15">
      <c r="O381" s="582"/>
    </row>
    <row r="382" spans="15:15">
      <c r="O382" s="582"/>
    </row>
    <row r="383" spans="15:15">
      <c r="O383" s="582"/>
    </row>
    <row r="384" spans="15:15">
      <c r="O384" s="582"/>
    </row>
    <row r="385" spans="15:15">
      <c r="O385" s="582"/>
    </row>
    <row r="386" spans="15:15">
      <c r="O386" s="582"/>
    </row>
    <row r="387" spans="15:15">
      <c r="O387" s="582"/>
    </row>
    <row r="388" spans="15:15">
      <c r="O388" s="582"/>
    </row>
    <row r="389" spans="15:15">
      <c r="O389" s="582"/>
    </row>
    <row r="390" spans="15:15">
      <c r="O390" s="582"/>
    </row>
    <row r="391" spans="15:15">
      <c r="O391" s="582"/>
    </row>
  </sheetData>
  <mergeCells count="20">
    <mergeCell ref="CA6:CB6"/>
    <mergeCell ref="CD6:CE6"/>
    <mergeCell ref="G4:K4"/>
    <mergeCell ref="M4:O4"/>
    <mergeCell ref="AW6:AX6"/>
    <mergeCell ref="AZ6:BA6"/>
    <mergeCell ref="BC6:BD6"/>
    <mergeCell ref="BX6:BY6"/>
    <mergeCell ref="BO6:BP6"/>
    <mergeCell ref="BU6:BV6"/>
    <mergeCell ref="BI6:BJ6"/>
    <mergeCell ref="BL6:BM6"/>
    <mergeCell ref="BR6:BS6"/>
    <mergeCell ref="CV6:CW6"/>
    <mergeCell ref="CY6:CZ6"/>
    <mergeCell ref="CG6:CH6"/>
    <mergeCell ref="CJ6:CK6"/>
    <mergeCell ref="CM6:CN6"/>
    <mergeCell ref="CP6:CQ6"/>
    <mergeCell ref="CS6:CT6"/>
  </mergeCells>
  <phoneticPr fontId="12" type="noConversion"/>
  <printOptions horizontalCentered="1"/>
  <pageMargins left="0.25" right="0.25" top="0.45" bottom="0.2" header="0.3" footer="0.3"/>
  <pageSetup scale="72" fitToHeight="0" orientation="landscape" verticalDpi="300" r:id="rId1"/>
  <headerFooter alignWithMargins="0"/>
  <rowBreaks count="5" manualBreakCount="5">
    <brk id="38" max="14" man="1"/>
    <brk id="138" max="14" man="1"/>
    <brk id="186" max="14" man="1"/>
    <brk id="235" max="14" man="1"/>
    <brk id="333" max="14"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CB413-7CAE-4FFE-A43E-C7DF64DF27E6}">
  <sheetPr>
    <pageSetUpPr fitToPage="1"/>
  </sheetPr>
  <dimension ref="A3:G41"/>
  <sheetViews>
    <sheetView tabSelected="1" workbookViewId="0">
      <pane xSplit="1" ySplit="5" topLeftCell="B21" activePane="bottomRight" state="frozen"/>
      <selection pane="topRight" activeCell="B1" sqref="B1"/>
      <selection pane="bottomLeft" activeCell="A6" sqref="A6"/>
      <selection pane="bottomRight" activeCell="B32" sqref="B32"/>
    </sheetView>
  </sheetViews>
  <sheetFormatPr defaultRowHeight="12.75"/>
  <cols>
    <col min="1" max="1" width="9.33203125" style="62" bestFit="1"/>
    <col min="2" max="2" width="89.33203125" bestFit="1" customWidth="1"/>
    <col min="3" max="3" width="22" bestFit="1" customWidth="1"/>
    <col min="4" max="4" width="22.33203125" style="62" customWidth="1"/>
    <col min="5" max="5" width="22.33203125" customWidth="1"/>
    <col min="7" max="7" width="12.83203125" bestFit="1" customWidth="1"/>
  </cols>
  <sheetData>
    <row r="3" spans="1:7" ht="15.75">
      <c r="A3" s="1786" t="s">
        <v>1684</v>
      </c>
      <c r="B3" s="1787"/>
      <c r="C3" s="1787"/>
      <c r="D3" s="1787"/>
      <c r="E3" s="1787"/>
    </row>
    <row r="4" spans="1:7" s="62" customFormat="1" ht="15.75">
      <c r="A4" s="1788" t="s">
        <v>1600</v>
      </c>
      <c r="B4" s="1789"/>
      <c r="C4" s="1789"/>
      <c r="D4" s="1789"/>
      <c r="E4" s="1789"/>
    </row>
    <row r="5" spans="1:7" s="1" customFormat="1">
      <c r="A5" s="1743" t="s">
        <v>117</v>
      </c>
      <c r="B5" s="1743" t="s">
        <v>1564</v>
      </c>
      <c r="C5" s="1743" t="s">
        <v>883</v>
      </c>
      <c r="D5" s="1743" t="s">
        <v>347</v>
      </c>
      <c r="E5" s="1743" t="s">
        <v>1596</v>
      </c>
    </row>
    <row r="6" spans="1:7" s="62" customFormat="1">
      <c r="A6" s="1670"/>
      <c r="B6" s="1680"/>
      <c r="C6" s="1681"/>
      <c r="D6" s="1682"/>
      <c r="E6" s="1682"/>
      <c r="F6" s="8"/>
      <c r="G6" s="8"/>
    </row>
    <row r="7" spans="1:7" s="62" customFormat="1">
      <c r="A7" s="1670">
        <f>A6+1</f>
        <v>1</v>
      </c>
      <c r="B7" s="1680" t="s">
        <v>1597</v>
      </c>
      <c r="C7" s="1681" t="s">
        <v>398</v>
      </c>
      <c r="D7" s="1682">
        <f>-'Stmt N'!Q352</f>
        <v>11733365.348830439</v>
      </c>
      <c r="E7" s="1682">
        <v>17295841.178232599</v>
      </c>
      <c r="F7" s="8"/>
      <c r="G7" s="8"/>
    </row>
    <row r="8" spans="1:7" s="1" customFormat="1">
      <c r="A8" s="1670">
        <f>A7+1</f>
        <v>2</v>
      </c>
      <c r="B8" s="1669" t="s">
        <v>1602</v>
      </c>
      <c r="C8" s="1671" t="s">
        <v>1567</v>
      </c>
      <c r="D8" s="1679">
        <f>'Stmt N'!S361</f>
        <v>-453997.1288645491</v>
      </c>
      <c r="E8" s="1679">
        <f>'Stmt N'!T357</f>
        <v>-428145.53425435349</v>
      </c>
      <c r="F8" s="8" t="s">
        <v>1531</v>
      </c>
      <c r="G8" s="1683"/>
    </row>
    <row r="9" spans="1:7" s="1" customFormat="1">
      <c r="A9" s="1670">
        <f>A8+1</f>
        <v>3</v>
      </c>
      <c r="B9" s="1669" t="s">
        <v>1599</v>
      </c>
      <c r="C9" s="1671" t="s">
        <v>103</v>
      </c>
      <c r="D9" s="1679">
        <f>+'Stmt N'!V361</f>
        <v>1252.1135422810912</v>
      </c>
      <c r="E9" s="1679">
        <f>+'Stmt N'!W357</f>
        <v>1091.313613191247</v>
      </c>
      <c r="F9" s="8" t="s">
        <v>1531</v>
      </c>
      <c r="G9" s="1683"/>
    </row>
    <row r="10" spans="1:7" s="1" customFormat="1">
      <c r="A10" s="1670">
        <f>A9+1</f>
        <v>4</v>
      </c>
      <c r="B10" s="1669" t="s">
        <v>1568</v>
      </c>
      <c r="C10" s="1671" t="s">
        <v>10</v>
      </c>
      <c r="D10" s="1679">
        <f>+'Stmt N'!Y361</f>
        <v>41114.538886195049</v>
      </c>
      <c r="E10" s="1679">
        <f>+'Stmt N'!Z357</f>
        <v>37319.809121798724</v>
      </c>
      <c r="F10" s="8" t="s">
        <v>1531</v>
      </c>
      <c r="G10" s="1683"/>
    </row>
    <row r="11" spans="1:7" s="1" customFormat="1">
      <c r="A11" s="1670">
        <f t="shared" ref="A11:A38" si="0">A10+1</f>
        <v>5</v>
      </c>
      <c r="B11" s="1669" t="s">
        <v>1554</v>
      </c>
      <c r="C11" s="1671" t="s">
        <v>156</v>
      </c>
      <c r="D11" s="1679">
        <f>+'Stmt N'!AB361</f>
        <v>-34132.521269761026</v>
      </c>
      <c r="E11" s="1679">
        <f>+'Stmt N'!AC357</f>
        <v>-35817.650385092944</v>
      </c>
      <c r="F11" s="8" t="s">
        <v>1531</v>
      </c>
      <c r="G11" s="1683"/>
    </row>
    <row r="12" spans="1:7" s="1" customFormat="1">
      <c r="A12" s="1670">
        <f t="shared" si="0"/>
        <v>6</v>
      </c>
      <c r="B12" s="1669" t="s">
        <v>1569</v>
      </c>
      <c r="C12" s="1671" t="s">
        <v>156</v>
      </c>
      <c r="D12" s="1679">
        <f>+'Stmt N'!AE361</f>
        <v>-31596.459087327123</v>
      </c>
      <c r="E12" s="1679">
        <f>+'Stmt N'!AF357</f>
        <v>-27536.840804196894</v>
      </c>
      <c r="F12" s="8" t="s">
        <v>1531</v>
      </c>
      <c r="G12" s="1683"/>
    </row>
    <row r="13" spans="1:7">
      <c r="A13" s="1670">
        <f t="shared" si="0"/>
        <v>7</v>
      </c>
      <c r="B13" s="1669" t="s">
        <v>1565</v>
      </c>
      <c r="C13" s="1671" t="s">
        <v>1566</v>
      </c>
      <c r="D13" s="1679">
        <f>+'Stmt N'!AH361</f>
        <v>-582886.59361224622</v>
      </c>
      <c r="E13" s="1679">
        <f>+'Stmt N'!AI357</f>
        <v>-501033.9002830945</v>
      </c>
      <c r="F13" s="8" t="s">
        <v>1531</v>
      </c>
      <c r="G13" s="1683"/>
    </row>
    <row r="14" spans="1:7">
      <c r="A14" s="1670">
        <f t="shared" si="0"/>
        <v>8</v>
      </c>
      <c r="B14" s="1669" t="s">
        <v>1601</v>
      </c>
      <c r="C14" s="1671" t="s">
        <v>1603</v>
      </c>
      <c r="D14" s="1679">
        <f>+'Stmt N'!AK361</f>
        <v>-148232.77200345136</v>
      </c>
      <c r="E14" s="1679">
        <f>+'Stmt N'!AL357</f>
        <v>-130021.4879827071</v>
      </c>
      <c r="F14" s="8" t="s">
        <v>1531</v>
      </c>
      <c r="G14" s="1683"/>
    </row>
    <row r="15" spans="1:7">
      <c r="A15" s="1670">
        <f t="shared" si="0"/>
        <v>9</v>
      </c>
      <c r="B15" s="1669" t="s">
        <v>1570</v>
      </c>
      <c r="C15" s="1671" t="s">
        <v>103</v>
      </c>
      <c r="D15" s="1679">
        <f>+'Stmt N'!AN361</f>
        <v>-56689.741477299482</v>
      </c>
      <c r="E15" s="1679">
        <f>+'Stmt N'!AO357</f>
        <v>-48928.105269705877</v>
      </c>
      <c r="F15" s="8" t="s">
        <v>1531</v>
      </c>
      <c r="G15" s="1683"/>
    </row>
    <row r="16" spans="1:7">
      <c r="A16" s="1670">
        <f t="shared" si="0"/>
        <v>10</v>
      </c>
      <c r="B16" s="1669" t="s">
        <v>1571</v>
      </c>
      <c r="C16" s="1671" t="s">
        <v>25</v>
      </c>
      <c r="D16" s="1679">
        <f>+'Stmt N'!AQ361</f>
        <v>-598592.14657717571</v>
      </c>
      <c r="E16" s="1679">
        <f>+'Stmt N'!AR357</f>
        <v>-521680.47771909088</v>
      </c>
      <c r="F16" s="8" t="s">
        <v>1531</v>
      </c>
      <c r="G16" s="1683"/>
    </row>
    <row r="17" spans="1:7">
      <c r="A17" s="1670">
        <f t="shared" si="0"/>
        <v>11</v>
      </c>
      <c r="B17" s="1669" t="s">
        <v>1586</v>
      </c>
      <c r="C17" s="1671" t="s">
        <v>23</v>
      </c>
      <c r="D17" s="1679">
        <f>+'Stmt N'!AT361</f>
        <v>15985.870052224025</v>
      </c>
      <c r="E17" s="1679">
        <f>+'Stmt N'!AU357</f>
        <v>13802.072347290814</v>
      </c>
      <c r="F17" s="8" t="s">
        <v>1531</v>
      </c>
      <c r="G17" s="1683"/>
    </row>
    <row r="18" spans="1:7" s="62" customFormat="1">
      <c r="A18" s="1670">
        <f t="shared" si="0"/>
        <v>12</v>
      </c>
      <c r="B18" s="1680" t="s">
        <v>1598</v>
      </c>
      <c r="C18" s="1681" t="s">
        <v>398</v>
      </c>
      <c r="D18" s="1682">
        <f>SUM(D7:D17)</f>
        <v>9885590.5084193293</v>
      </c>
      <c r="E18" s="1682">
        <f>SUM(E7:E17)</f>
        <v>15654890.376616638</v>
      </c>
      <c r="F18" s="8" t="s">
        <v>1642</v>
      </c>
      <c r="G18" s="8"/>
    </row>
    <row r="19" spans="1:7" s="62" customFormat="1">
      <c r="A19" s="1670">
        <f t="shared" si="0"/>
        <v>13</v>
      </c>
      <c r="B19" s="1669" t="s">
        <v>1606</v>
      </c>
      <c r="C19" s="1671" t="s">
        <v>156</v>
      </c>
      <c r="D19" s="1679">
        <f>'Stmt N'!AW361</f>
        <v>-77594.951350646093</v>
      </c>
      <c r="E19" s="1679">
        <f>'Stmt N'!AX361</f>
        <v>-67624.961567305028</v>
      </c>
      <c r="F19" s="1" t="s">
        <v>1531</v>
      </c>
      <c r="G19" s="157"/>
    </row>
    <row r="20" spans="1:7" s="62" customFormat="1">
      <c r="A20" s="1670">
        <f t="shared" si="0"/>
        <v>14</v>
      </c>
      <c r="B20" s="1669" t="s">
        <v>1607</v>
      </c>
      <c r="C20" s="1671" t="s">
        <v>1632</v>
      </c>
      <c r="D20" s="1679">
        <f>+'Stmt N'!AZ357</f>
        <v>-932813.02781658992</v>
      </c>
      <c r="E20" s="1679">
        <f>+'Stmt N'!BA357</f>
        <v>-828532.51633268408</v>
      </c>
      <c r="F20" s="1" t="s">
        <v>1531</v>
      </c>
      <c r="G20" s="1683"/>
    </row>
    <row r="21" spans="1:7" s="62" customFormat="1">
      <c r="A21" s="1670">
        <f t="shared" si="0"/>
        <v>15</v>
      </c>
      <c r="B21" s="1669" t="s">
        <v>1628</v>
      </c>
      <c r="C21" s="1671" t="s">
        <v>1633</v>
      </c>
      <c r="D21" s="1679">
        <f>+'Stmt N'!BC357</f>
        <v>0</v>
      </c>
      <c r="E21" s="1679">
        <f>+'Stmt N'!BD361</f>
        <v>0</v>
      </c>
      <c r="F21" s="1"/>
      <c r="G21" s="1683"/>
    </row>
    <row r="22" spans="1:7" s="62" customFormat="1">
      <c r="A22" s="1670">
        <f t="shared" si="0"/>
        <v>16</v>
      </c>
      <c r="B22" s="1669" t="s">
        <v>1629</v>
      </c>
      <c r="C22" s="1671" t="s">
        <v>1634</v>
      </c>
      <c r="D22" s="1679">
        <f>+'Stmt N'!BF357</f>
        <v>-273475.23246908002</v>
      </c>
      <c r="E22" s="1679">
        <f>+'Stmt N'!BG357</f>
        <v>-238337.15054851025</v>
      </c>
      <c r="F22" s="1" t="s">
        <v>1531</v>
      </c>
      <c r="G22" s="1683"/>
    </row>
    <row r="23" spans="1:7" s="62" customFormat="1">
      <c r="A23" s="1670">
        <f t="shared" si="0"/>
        <v>17</v>
      </c>
      <c r="B23" s="1669" t="s">
        <v>1608</v>
      </c>
      <c r="C23" s="1671" t="s">
        <v>25</v>
      </c>
      <c r="D23" s="1679">
        <f>+'Stmt N'!BI357</f>
        <v>-266898.56203523092</v>
      </c>
      <c r="E23" s="1679">
        <f>+'Stmt N'!BJ357</f>
        <v>-232605.4902080074</v>
      </c>
      <c r="F23" s="1" t="s">
        <v>1531</v>
      </c>
      <c r="G23" s="1683"/>
    </row>
    <row r="24" spans="1:7" s="62" customFormat="1">
      <c r="A24" s="1670">
        <f t="shared" si="0"/>
        <v>18</v>
      </c>
      <c r="B24" s="1669" t="s">
        <v>1605</v>
      </c>
      <c r="C24" s="1671" t="s">
        <v>25</v>
      </c>
      <c r="D24" s="1679">
        <f>+'Stmt N'!BL357</f>
        <v>-225595.58297836129</v>
      </c>
      <c r="E24" s="1679">
        <f>+'Stmt N'!BM357</f>
        <v>-196609.42380588688</v>
      </c>
      <c r="F24" s="1" t="s">
        <v>1531</v>
      </c>
      <c r="G24" s="1683"/>
    </row>
    <row r="25" spans="1:7" s="62" customFormat="1">
      <c r="A25" s="1670">
        <f t="shared" si="0"/>
        <v>19</v>
      </c>
      <c r="B25" s="1669" t="s">
        <v>1625</v>
      </c>
      <c r="C25" s="1671" t="s">
        <v>893</v>
      </c>
      <c r="D25" s="1679">
        <f>+'Stmt N'!BO357</f>
        <v>-2344407.1703319801</v>
      </c>
      <c r="E25" s="1679">
        <f>+'Stmt N'!BP357</f>
        <v>-2021422.7073445041</v>
      </c>
      <c r="F25" s="1" t="s">
        <v>1531</v>
      </c>
      <c r="G25" s="1683"/>
    </row>
    <row r="26" spans="1:7" s="62" customFormat="1">
      <c r="A26" s="1670">
        <f t="shared" si="0"/>
        <v>20</v>
      </c>
      <c r="B26" s="1669" t="s">
        <v>1643</v>
      </c>
      <c r="C26" s="1671" t="s">
        <v>802</v>
      </c>
      <c r="D26" s="1679">
        <f>+'Stmt N'!BR357</f>
        <v>-1730307.1870487421</v>
      </c>
      <c r="E26" s="1679">
        <f>+'Stmt N'!BS357</f>
        <v>-1483093.0012494083</v>
      </c>
      <c r="F26" s="1" t="s">
        <v>1531</v>
      </c>
      <c r="G26" s="1767"/>
    </row>
    <row r="27" spans="1:7" s="62" customFormat="1">
      <c r="A27" s="1670">
        <f t="shared" si="0"/>
        <v>21</v>
      </c>
      <c r="B27" s="1669" t="s">
        <v>1651</v>
      </c>
      <c r="C27" s="1671" t="s">
        <v>23</v>
      </c>
      <c r="D27" s="1679">
        <f>'Stmt N'!BU357</f>
        <v>-674722.2707939744</v>
      </c>
      <c r="E27" s="1679">
        <f>'Stmt N'!BV357</f>
        <v>-582505.46024058387</v>
      </c>
      <c r="F27" s="1" t="s">
        <v>1531</v>
      </c>
      <c r="G27" s="1683"/>
    </row>
    <row r="28" spans="1:7" s="62" customFormat="1">
      <c r="A28" s="1670">
        <f t="shared" si="0"/>
        <v>22</v>
      </c>
      <c r="B28" s="1669" t="s">
        <v>1640</v>
      </c>
      <c r="C28" s="1671" t="s">
        <v>399</v>
      </c>
      <c r="D28" s="1679">
        <f>+'Stmt N'!BX357</f>
        <v>109104.17227126285</v>
      </c>
      <c r="E28" s="1679">
        <f>+'Stmt N'!BY357</f>
        <v>93721.389263300225</v>
      </c>
      <c r="F28" s="1" t="s">
        <v>1531</v>
      </c>
      <c r="G28" s="1683"/>
    </row>
    <row r="29" spans="1:7" s="62" customFormat="1">
      <c r="A29" s="1670">
        <f t="shared" si="0"/>
        <v>23</v>
      </c>
      <c r="B29" s="1669" t="s">
        <v>1641</v>
      </c>
      <c r="C29" s="1671" t="s">
        <v>540</v>
      </c>
      <c r="D29" s="1679">
        <f>'Stmt N'!CA357</f>
        <v>1015248.4911350221</v>
      </c>
      <c r="E29" s="1679">
        <f>'Stmt N'!CB357</f>
        <v>998401.03725289926</v>
      </c>
      <c r="F29" s="1" t="s">
        <v>1531</v>
      </c>
      <c r="G29" s="1683"/>
    </row>
    <row r="30" spans="1:7" s="62" customFormat="1">
      <c r="A30" s="1670">
        <f t="shared" si="0"/>
        <v>24</v>
      </c>
      <c r="B30" s="1669" t="s">
        <v>1586</v>
      </c>
      <c r="C30" s="1671" t="s">
        <v>23</v>
      </c>
      <c r="D30" s="1679">
        <f>'Stmt N'!CD357</f>
        <v>0</v>
      </c>
      <c r="E30" s="1679">
        <f>'Stmt N'!CE357</f>
        <v>0</v>
      </c>
      <c r="F30" s="8" t="s">
        <v>1531</v>
      </c>
      <c r="G30" s="1683"/>
    </row>
    <row r="31" spans="1:7" s="62" customFormat="1">
      <c r="A31" s="1670">
        <f t="shared" si="0"/>
        <v>25</v>
      </c>
      <c r="B31" s="1669" t="s">
        <v>1635</v>
      </c>
      <c r="C31" s="1671"/>
      <c r="D31" s="1682">
        <f>SUM(D18:D30)</f>
        <v>4484129.1870010095</v>
      </c>
      <c r="E31" s="1682">
        <f>SUM(E18:E30)</f>
        <v>11096282.091835948</v>
      </c>
      <c r="F31" s="8"/>
      <c r="G31" s="8"/>
    </row>
    <row r="32" spans="1:7" s="62" customFormat="1">
      <c r="A32" s="1670">
        <f t="shared" si="0"/>
        <v>26</v>
      </c>
      <c r="B32" s="1669" t="s">
        <v>1653</v>
      </c>
      <c r="C32" s="1671" t="s">
        <v>25</v>
      </c>
      <c r="D32" s="1679">
        <f>'Stmt N'!CD352-'Stmt N'!CG352</f>
        <v>-33384.555524225347</v>
      </c>
      <c r="E32" s="1679">
        <f>'Stmt N'!CE352-'Stmt N'!CH352</f>
        <v>-29114.976300204173</v>
      </c>
      <c r="F32" s="8" t="s">
        <v>1531</v>
      </c>
      <c r="G32" s="1683"/>
    </row>
    <row r="33" spans="1:7" s="62" customFormat="1">
      <c r="A33" s="1670">
        <f t="shared" si="0"/>
        <v>27</v>
      </c>
      <c r="B33" s="1669" t="s">
        <v>1671</v>
      </c>
      <c r="C33" s="1671" t="s">
        <v>540</v>
      </c>
      <c r="D33" s="1679">
        <f>'Stmt N'!CG352-'Stmt N'!CJ352</f>
        <v>0</v>
      </c>
      <c r="E33" s="1679">
        <f>'Stmt N'!CH352-'Stmt N'!CK352</f>
        <v>0</v>
      </c>
      <c r="F33" s="8" t="s">
        <v>1657</v>
      </c>
      <c r="G33" s="1683"/>
    </row>
    <row r="34" spans="1:7" s="62" customFormat="1">
      <c r="A34" s="1670">
        <f t="shared" si="0"/>
        <v>28</v>
      </c>
      <c r="B34" s="1669" t="s">
        <v>1672</v>
      </c>
      <c r="C34" s="1671" t="s">
        <v>103</v>
      </c>
      <c r="D34" s="1679">
        <f>'Stmt N'!CJ352-'Stmt N'!CM352</f>
        <v>-594729.09461935703</v>
      </c>
      <c r="E34" s="1679">
        <f>'Stmt N'!CK352-'Stmt N'!CN352</f>
        <v>-512589.65612150356</v>
      </c>
      <c r="F34" s="8" t="s">
        <v>1531</v>
      </c>
      <c r="G34" s="1683"/>
    </row>
    <row r="35" spans="1:7" s="62" customFormat="1">
      <c r="A35" s="1670">
        <f t="shared" si="0"/>
        <v>29</v>
      </c>
      <c r="B35" s="1669" t="s">
        <v>1674</v>
      </c>
      <c r="C35" s="1671" t="s">
        <v>25</v>
      </c>
      <c r="D35" s="1679">
        <f>'Stmt N'!CM352-'Stmt N'!CP352</f>
        <v>311119.4730889299</v>
      </c>
      <c r="E35" s="1679">
        <f>'Stmt N'!CN352-'Stmt N'!CQ352</f>
        <v>271352.72613971122</v>
      </c>
      <c r="F35" s="8" t="s">
        <v>1531</v>
      </c>
      <c r="G35" s="1683"/>
    </row>
    <row r="36" spans="1:7" s="62" customFormat="1">
      <c r="A36" s="1670">
        <f t="shared" si="0"/>
        <v>30</v>
      </c>
      <c r="B36" s="1669" t="s">
        <v>1662</v>
      </c>
      <c r="C36" s="1671" t="s">
        <v>25</v>
      </c>
      <c r="D36" s="1679">
        <f>'Stmt N'!CP352-'Stmt N'!CS352</f>
        <v>-134840.93202788709</v>
      </c>
      <c r="E36" s="1679">
        <f>'Stmt N'!CQ352-'Stmt N'!CT352</f>
        <v>-109294.57570471428</v>
      </c>
      <c r="F36" s="8" t="s">
        <v>1531</v>
      </c>
      <c r="G36" s="1683"/>
    </row>
    <row r="37" spans="1:7" s="62" customFormat="1">
      <c r="A37" s="1670">
        <f t="shared" si="0"/>
        <v>31</v>
      </c>
      <c r="B37" s="1669" t="s">
        <v>1682</v>
      </c>
      <c r="C37" s="1671" t="s">
        <v>1683</v>
      </c>
      <c r="D37" s="1679">
        <f>'Stmt N'!CS352-'Stmt N'!CV352</f>
        <v>-60098.393348779064</v>
      </c>
      <c r="E37" s="1679">
        <f>'Stmt N'!CT352-'Stmt N'!CW352</f>
        <v>-28298.722446294501</v>
      </c>
      <c r="F37" s="8" t="s">
        <v>1531</v>
      </c>
      <c r="G37" s="1683"/>
    </row>
    <row r="38" spans="1:7" s="62" customFormat="1">
      <c r="A38" s="1670">
        <f t="shared" si="0"/>
        <v>32</v>
      </c>
      <c r="B38" s="1680" t="s">
        <v>1675</v>
      </c>
      <c r="C38" s="1681" t="s">
        <v>398</v>
      </c>
      <c r="D38" s="1682">
        <f>SUM(D31:D37)</f>
        <v>3972195.6845696908</v>
      </c>
      <c r="E38" s="1682">
        <f>SUM(E31:E37)</f>
        <v>10688336.887402942</v>
      </c>
      <c r="F38" s="8" t="s">
        <v>1657</v>
      </c>
      <c r="G38" s="1683"/>
    </row>
    <row r="39" spans="1:7">
      <c r="E39" s="1237"/>
      <c r="G39" s="899"/>
    </row>
    <row r="40" spans="1:7">
      <c r="E40" s="899">
        <f>E31-E38</f>
        <v>407945.2044330053</v>
      </c>
      <c r="G40" s="899"/>
    </row>
    <row r="41" spans="1:7">
      <c r="D41" s="899"/>
    </row>
  </sheetData>
  <mergeCells count="2">
    <mergeCell ref="A3:E3"/>
    <mergeCell ref="A4:E4"/>
  </mergeCells>
  <pageMargins left="0.5" right="0.5" top="0.75" bottom="0.75" header="0.3" footer="0.3"/>
  <pageSetup scale="98"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2.75"/>
  <sheetData/>
  <pageMargins left="0.7" right="0.7" top="0.75" bottom="0.75" header="0.3" footer="0.3"/>
  <pageSetup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2:I216"/>
  <sheetViews>
    <sheetView workbookViewId="0"/>
  </sheetViews>
  <sheetFormatPr defaultRowHeight="12.75"/>
  <cols>
    <col min="1" max="1" width="41.33203125" style="62" bestFit="1" customWidth="1"/>
    <col min="2" max="4" width="21.1640625" style="62" customWidth="1"/>
    <col min="5" max="5" width="5.33203125" style="62" customWidth="1"/>
    <col min="6" max="8" width="21.1640625" style="62" customWidth="1"/>
  </cols>
  <sheetData>
    <row r="2" spans="1:8">
      <c r="A2" s="8" t="s">
        <v>863</v>
      </c>
      <c r="B2" s="1781" t="s">
        <v>405</v>
      </c>
      <c r="C2" s="1790"/>
      <c r="D2" s="1790"/>
      <c r="F2" s="1781" t="s">
        <v>813</v>
      </c>
      <c r="G2" s="1790"/>
      <c r="H2" s="1790"/>
    </row>
    <row r="4" spans="1:8">
      <c r="A4" s="72" t="s">
        <v>91</v>
      </c>
    </row>
    <row r="5" spans="1:8">
      <c r="A5" s="8" t="s">
        <v>254</v>
      </c>
      <c r="B5" s="8" t="s">
        <v>361</v>
      </c>
      <c r="C5" s="8" t="s">
        <v>364</v>
      </c>
      <c r="D5" s="8" t="s">
        <v>539</v>
      </c>
      <c r="F5" s="8" t="s">
        <v>364</v>
      </c>
      <c r="G5" s="8" t="s">
        <v>539</v>
      </c>
      <c r="H5" s="8" t="s">
        <v>398</v>
      </c>
    </row>
    <row r="6" spans="1:8">
      <c r="A6" s="8" t="s">
        <v>214</v>
      </c>
      <c r="B6" s="1396">
        <f>'Stmt A pg 1'!F9+'Stmt A pg 1'!F12+'Stmt A pg 1'!F16</f>
        <v>856329952.57999992</v>
      </c>
      <c r="C6" s="1396">
        <f>'Stmt D'!J30</f>
        <v>856329951</v>
      </c>
      <c r="D6" s="1396">
        <f>'Sched D-1'!G77</f>
        <v>856329951</v>
      </c>
      <c r="E6" s="896"/>
      <c r="F6" s="1396">
        <f>'Stmt D'!N30</f>
        <v>936940582</v>
      </c>
      <c r="G6" s="1396">
        <f>'Sched D-1'!O77</f>
        <v>936940582</v>
      </c>
      <c r="H6" s="1396">
        <f>'Stmt M'!Q32</f>
        <v>936940582</v>
      </c>
    </row>
    <row r="7" spans="1:8">
      <c r="A7" s="8" t="s">
        <v>864</v>
      </c>
      <c r="B7" s="3">
        <f>B6-C6</f>
        <v>1.5799999237060547</v>
      </c>
      <c r="C7" s="3">
        <f>C6-D6</f>
        <v>0</v>
      </c>
      <c r="D7" s="896"/>
      <c r="E7" s="896"/>
      <c r="F7" s="3">
        <f>F6-G6</f>
        <v>0</v>
      </c>
      <c r="G7" s="3">
        <f>G6-H6</f>
        <v>0</v>
      </c>
      <c r="H7" s="896"/>
    </row>
    <row r="8" spans="1:8">
      <c r="B8" s="896"/>
      <c r="C8" s="896"/>
      <c r="D8" s="896"/>
      <c r="E8" s="896"/>
      <c r="F8" s="896"/>
      <c r="G8" s="896"/>
      <c r="H8" s="896"/>
    </row>
    <row r="9" spans="1:8">
      <c r="A9" s="8" t="s">
        <v>865</v>
      </c>
      <c r="E9" s="896"/>
      <c r="F9" s="8" t="s">
        <v>364</v>
      </c>
      <c r="G9" s="8" t="s">
        <v>539</v>
      </c>
      <c r="H9" s="8" t="s">
        <v>398</v>
      </c>
    </row>
    <row r="10" spans="1:8">
      <c r="A10" s="8" t="s">
        <v>866</v>
      </c>
      <c r="E10" s="896"/>
      <c r="F10" s="1396">
        <f>'Stmt D'!L30</f>
        <v>80610631</v>
      </c>
      <c r="G10" s="1396">
        <f>'Sched D-1'!I77+'Sched D-1'!K77+'Sched D-1'!M77</f>
        <v>80610630.399462432</v>
      </c>
      <c r="H10" s="1396">
        <f>'Stmt M'!K32</f>
        <v>80610631</v>
      </c>
    </row>
    <row r="11" spans="1:8">
      <c r="A11" s="8" t="s">
        <v>864</v>
      </c>
      <c r="E11" s="896"/>
      <c r="F11" s="3">
        <f>F10-G10</f>
        <v>0.60053756833076477</v>
      </c>
      <c r="G11" s="3">
        <f>G10-H10</f>
        <v>-0.60053756833076477</v>
      </c>
      <c r="H11" s="896"/>
    </row>
    <row r="12" spans="1:8">
      <c r="E12" s="896"/>
    </row>
    <row r="13" spans="1:8">
      <c r="A13" s="8" t="s">
        <v>867</v>
      </c>
      <c r="E13" s="896"/>
      <c r="F13" s="8" t="s">
        <v>539</v>
      </c>
      <c r="G13" s="8" t="s">
        <v>540</v>
      </c>
    </row>
    <row r="14" spans="1:8">
      <c r="A14" s="8" t="s">
        <v>868</v>
      </c>
      <c r="E14" s="896"/>
      <c r="F14" s="1396">
        <f>'Sched D-1'!K77</f>
        <v>109999999.83705744</v>
      </c>
      <c r="G14" s="1396">
        <f>'Sched D-2'!E63</f>
        <v>109999999.96705744</v>
      </c>
      <c r="H14" s="896"/>
    </row>
    <row r="15" spans="1:8">
      <c r="A15" s="8" t="s">
        <v>864</v>
      </c>
      <c r="B15" s="896"/>
      <c r="C15" s="896"/>
      <c r="D15" s="896"/>
      <c r="E15" s="896"/>
      <c r="F15" s="3">
        <f>F14-G14</f>
        <v>-0.12999999523162842</v>
      </c>
      <c r="G15" s="896"/>
      <c r="H15" s="896"/>
    </row>
    <row r="16" spans="1:8">
      <c r="B16" s="896"/>
      <c r="C16" s="896"/>
      <c r="D16" s="896"/>
      <c r="E16" s="896"/>
      <c r="F16" s="896"/>
      <c r="G16" s="896"/>
      <c r="H16" s="896"/>
    </row>
    <row r="17" spans="1:8">
      <c r="A17" s="72" t="s">
        <v>712</v>
      </c>
      <c r="B17" s="896"/>
      <c r="C17" s="896"/>
      <c r="D17" s="896"/>
      <c r="E17" s="896"/>
      <c r="F17" s="896"/>
      <c r="G17" s="896"/>
      <c r="H17" s="896"/>
    </row>
    <row r="18" spans="1:8">
      <c r="A18" s="8" t="s">
        <v>752</v>
      </c>
      <c r="B18" s="8" t="s">
        <v>361</v>
      </c>
      <c r="C18" s="897" t="s">
        <v>823</v>
      </c>
      <c r="D18" s="8" t="s">
        <v>398</v>
      </c>
      <c r="E18" s="896"/>
      <c r="F18" s="897" t="s">
        <v>823</v>
      </c>
      <c r="G18" s="8" t="s">
        <v>398</v>
      </c>
      <c r="H18" s="8"/>
    </row>
    <row r="19" spans="1:8">
      <c r="A19" s="8" t="s">
        <v>869</v>
      </c>
      <c r="B19" s="1396">
        <f>-'Stmt A pg 1'!F19-'Stmt A pg 1'!F23-'Stmt A pg 1'!F25</f>
        <v>285893861.36999995</v>
      </c>
      <c r="C19" s="1396">
        <f>+'Stmt E'!E31</f>
        <v>285893862</v>
      </c>
      <c r="D19" s="1396">
        <f>-'Stmt M'!I33</f>
        <v>285893862</v>
      </c>
      <c r="E19" s="896"/>
      <c r="F19" s="1396">
        <f>'Stmt E'!J31</f>
        <v>288430540</v>
      </c>
      <c r="G19" s="1396">
        <f>-'Stmt M'!M33</f>
        <v>288430540</v>
      </c>
      <c r="H19" s="896"/>
    </row>
    <row r="20" spans="1:8">
      <c r="A20" s="8" t="s">
        <v>864</v>
      </c>
      <c r="B20" s="3">
        <f>B19-C19</f>
        <v>-0.63000005483627319</v>
      </c>
      <c r="C20" s="3">
        <f>C19-D19</f>
        <v>0</v>
      </c>
      <c r="D20" s="896"/>
      <c r="E20" s="896"/>
      <c r="F20" s="3">
        <f>F19-G19</f>
        <v>0</v>
      </c>
      <c r="G20" s="896"/>
      <c r="H20" s="896"/>
    </row>
    <row r="21" spans="1:8">
      <c r="B21" s="896"/>
      <c r="C21" s="896"/>
      <c r="D21" s="896"/>
      <c r="E21" s="896"/>
      <c r="F21" s="896"/>
      <c r="G21" s="896"/>
      <c r="H21" s="896"/>
    </row>
    <row r="22" spans="1:8">
      <c r="A22" s="8" t="s">
        <v>870</v>
      </c>
      <c r="B22" s="896"/>
      <c r="C22" s="896"/>
      <c r="D22" s="896"/>
      <c r="E22" s="896"/>
      <c r="F22" s="897" t="s">
        <v>823</v>
      </c>
      <c r="G22" s="897" t="s">
        <v>542</v>
      </c>
      <c r="H22" s="896"/>
    </row>
    <row r="23" spans="1:8">
      <c r="A23" s="8" t="s">
        <v>866</v>
      </c>
      <c r="B23" s="896"/>
      <c r="C23" s="896"/>
      <c r="D23" s="896"/>
      <c r="E23" s="896"/>
      <c r="F23" s="1396">
        <f>'Stmt E'!G31</f>
        <v>1544356</v>
      </c>
      <c r="G23" s="1396">
        <f>'Sched M-2'!F84</f>
        <v>1544355.6197322165</v>
      </c>
      <c r="H23" s="896"/>
    </row>
    <row r="24" spans="1:8">
      <c r="A24" s="8" t="s">
        <v>864</v>
      </c>
      <c r="B24" s="896"/>
      <c r="C24" s="896"/>
      <c r="D24" s="896"/>
      <c r="E24" s="896"/>
      <c r="F24" s="3">
        <f>F23-G23</f>
        <v>0.38026778353378177</v>
      </c>
      <c r="G24" s="896"/>
      <c r="H24" s="896"/>
    </row>
    <row r="25" spans="1:8">
      <c r="B25" s="896"/>
      <c r="C25" s="896"/>
      <c r="D25" s="896"/>
      <c r="E25" s="896"/>
      <c r="F25" s="896"/>
      <c r="G25" s="896"/>
      <c r="H25" s="896"/>
    </row>
    <row r="26" spans="1:8">
      <c r="A26" s="8" t="s">
        <v>871</v>
      </c>
      <c r="B26" s="896"/>
      <c r="C26" s="896"/>
      <c r="D26" s="896"/>
      <c r="E26" s="896"/>
      <c r="F26" s="897" t="s">
        <v>823</v>
      </c>
      <c r="G26" s="8" t="s">
        <v>398</v>
      </c>
      <c r="H26" s="896"/>
    </row>
    <row r="27" spans="1:8">
      <c r="A27" s="8" t="s">
        <v>866</v>
      </c>
      <c r="B27" s="896"/>
      <c r="C27" s="896"/>
      <c r="D27" s="896"/>
      <c r="E27" s="896"/>
      <c r="F27" s="1396">
        <f>-('Stmt E'!F31+'Stmt E'!G31+'Stmt E'!H31+'Stmt E'!I31)</f>
        <v>-2536679</v>
      </c>
      <c r="G27" s="1396">
        <f>'Stmt M'!K33</f>
        <v>-2536678</v>
      </c>
      <c r="H27" s="896"/>
    </row>
    <row r="28" spans="1:8">
      <c r="A28" s="8" t="s">
        <v>864</v>
      </c>
      <c r="B28" s="896"/>
      <c r="C28" s="896"/>
      <c r="D28" s="896"/>
      <c r="E28" s="896"/>
      <c r="F28" s="3">
        <f>F27-G27</f>
        <v>-1</v>
      </c>
      <c r="G28" s="896"/>
      <c r="H28" s="896"/>
    </row>
    <row r="30" spans="1:8">
      <c r="A30" s="72" t="s">
        <v>256</v>
      </c>
    </row>
    <row r="31" spans="1:8">
      <c r="A31" s="8" t="s">
        <v>274</v>
      </c>
      <c r="B31" s="8" t="s">
        <v>824</v>
      </c>
      <c r="C31" s="8" t="s">
        <v>398</v>
      </c>
      <c r="F31" s="8" t="s">
        <v>824</v>
      </c>
      <c r="G31" s="8" t="s">
        <v>398</v>
      </c>
    </row>
    <row r="32" spans="1:8">
      <c r="A32" s="8" t="s">
        <v>274</v>
      </c>
      <c r="B32" s="1396">
        <f ca="1">'Stmt F'!F17</f>
        <v>4210255</v>
      </c>
      <c r="C32" s="1396">
        <f ca="1">'Stmt M'!I34</f>
        <v>4210255</v>
      </c>
      <c r="D32" s="896"/>
      <c r="E32" s="896"/>
      <c r="F32" s="1396">
        <f ca="1">'Stmt F'!L17</f>
        <v>3216193</v>
      </c>
      <c r="G32" s="1396">
        <f ca="1">+'Stmt M'!M34</f>
        <v>3216193</v>
      </c>
    </row>
    <row r="33" spans="1:8">
      <c r="A33" s="8" t="s">
        <v>864</v>
      </c>
      <c r="B33" s="3">
        <f ca="1">B32-C32</f>
        <v>0</v>
      </c>
      <c r="C33" s="896"/>
      <c r="D33" s="896"/>
      <c r="E33" s="896"/>
      <c r="F33" s="3">
        <f ca="1">F32-G32</f>
        <v>0</v>
      </c>
      <c r="G33" s="897" t="s">
        <v>872</v>
      </c>
    </row>
    <row r="34" spans="1:8">
      <c r="B34" s="896"/>
      <c r="C34" s="896"/>
      <c r="D34" s="896"/>
      <c r="E34" s="896"/>
      <c r="F34" s="896"/>
      <c r="G34" s="896"/>
    </row>
    <row r="35" spans="1:8">
      <c r="A35" s="8" t="s">
        <v>873</v>
      </c>
      <c r="B35" s="8" t="s">
        <v>824</v>
      </c>
      <c r="C35" s="897" t="s">
        <v>373</v>
      </c>
      <c r="D35" s="896"/>
      <c r="E35" s="896"/>
      <c r="F35" s="8" t="s">
        <v>824</v>
      </c>
      <c r="G35" s="897" t="s">
        <v>373</v>
      </c>
    </row>
    <row r="36" spans="1:8">
      <c r="A36" s="8" t="s">
        <v>873</v>
      </c>
      <c r="B36" s="1396">
        <f>+'Stmt F'!F13+'Stmt F'!F15</f>
        <v>5887284.2769999998</v>
      </c>
      <c r="C36" s="1396">
        <f>+'Sched F-1'!E22+'Sched F-1'!F22</f>
        <v>5887284.2769999998</v>
      </c>
      <c r="D36" s="896"/>
      <c r="E36" s="896"/>
      <c r="F36" s="1396">
        <f>'Stmt F'!L13+'Stmt F'!L15</f>
        <v>5442306</v>
      </c>
      <c r="G36" s="1396">
        <f>+'Sched F-1'!E24+'Sched F-1'!F24</f>
        <v>5442306</v>
      </c>
    </row>
    <row r="37" spans="1:8">
      <c r="A37" s="8" t="s">
        <v>864</v>
      </c>
      <c r="B37" s="3">
        <f>B36-C36</f>
        <v>0</v>
      </c>
      <c r="C37" s="896"/>
      <c r="D37" s="896"/>
      <c r="E37" s="896"/>
      <c r="F37" s="3">
        <f>F36-G36</f>
        <v>0</v>
      </c>
      <c r="G37" s="896"/>
    </row>
    <row r="38" spans="1:8">
      <c r="B38" s="896"/>
      <c r="C38" s="896"/>
      <c r="D38" s="896"/>
      <c r="E38" s="896"/>
      <c r="F38" s="896"/>
      <c r="G38" s="896"/>
    </row>
    <row r="39" spans="1:8">
      <c r="A39" s="8" t="s">
        <v>874</v>
      </c>
      <c r="B39" s="8" t="s">
        <v>824</v>
      </c>
      <c r="C39" s="897" t="s">
        <v>875</v>
      </c>
      <c r="D39" s="896"/>
      <c r="E39" s="896"/>
      <c r="F39" s="8" t="s">
        <v>824</v>
      </c>
      <c r="G39" s="897" t="s">
        <v>876</v>
      </c>
    </row>
    <row r="40" spans="1:8">
      <c r="A40" s="8" t="s">
        <v>874</v>
      </c>
      <c r="B40" s="1396">
        <f ca="1">'Stmt F'!F11</f>
        <v>-1677028.9634214998</v>
      </c>
      <c r="C40" s="1396">
        <f ca="1">+'Sched F-2 Pg 1'!I31</f>
        <v>-1677028.9634214998</v>
      </c>
      <c r="D40" s="896"/>
      <c r="E40" s="896"/>
      <c r="F40" s="1396">
        <f ca="1">'Stmt F'!L11</f>
        <v>-2226112.9567911117</v>
      </c>
      <c r="G40" s="1396">
        <f ca="1">+'Sched F-2 Pg 2'!I31</f>
        <v>-2226112.9567911117</v>
      </c>
    </row>
    <row r="41" spans="1:8">
      <c r="A41" s="8" t="s">
        <v>864</v>
      </c>
      <c r="B41" s="3">
        <f ca="1">B40-C40</f>
        <v>0</v>
      </c>
      <c r="C41" s="896"/>
      <c r="D41" s="896"/>
      <c r="E41" s="896"/>
      <c r="F41" s="3">
        <f ca="1">F40-G40</f>
        <v>0</v>
      </c>
      <c r="G41" s="896"/>
    </row>
    <row r="42" spans="1:8">
      <c r="B42" s="896"/>
      <c r="C42" s="896"/>
      <c r="D42" s="896"/>
      <c r="E42" s="896"/>
      <c r="F42" s="896"/>
      <c r="G42" s="896"/>
    </row>
    <row r="43" spans="1:8">
      <c r="A43" s="8" t="s">
        <v>877</v>
      </c>
      <c r="B43" s="8"/>
      <c r="C43" s="896"/>
      <c r="D43" s="896"/>
      <c r="E43" s="896"/>
      <c r="F43" s="8" t="s">
        <v>824</v>
      </c>
      <c r="G43" s="8" t="s">
        <v>398</v>
      </c>
    </row>
    <row r="44" spans="1:8">
      <c r="A44" s="8" t="s">
        <v>877</v>
      </c>
      <c r="B44" s="896"/>
      <c r="C44" s="896"/>
      <c r="D44" s="896"/>
      <c r="E44" s="896"/>
      <c r="F44" s="1396">
        <f ca="1">'Stmt F'!H17+'Stmt F'!J17</f>
        <v>-994062</v>
      </c>
      <c r="G44" s="1396">
        <f ca="1">'Stmt M'!K34</f>
        <v>-994062</v>
      </c>
    </row>
    <row r="45" spans="1:8">
      <c r="A45" s="8" t="s">
        <v>864</v>
      </c>
      <c r="B45" s="896"/>
      <c r="C45" s="896"/>
      <c r="D45" s="896"/>
      <c r="E45" s="896"/>
      <c r="F45" s="3">
        <f ca="1">F44-G44</f>
        <v>0</v>
      </c>
      <c r="G45" s="896"/>
    </row>
    <row r="46" spans="1:8">
      <c r="B46" s="896"/>
      <c r="C46" s="896"/>
      <c r="D46" s="896"/>
      <c r="E46" s="896"/>
      <c r="F46" s="896"/>
      <c r="G46" s="896"/>
    </row>
    <row r="47" spans="1:8">
      <c r="A47" s="8" t="s">
        <v>878</v>
      </c>
      <c r="B47" s="896"/>
      <c r="C47" s="896"/>
      <c r="D47" s="896"/>
      <c r="E47" s="896"/>
      <c r="F47" s="897" t="s">
        <v>802</v>
      </c>
      <c r="G47" s="8" t="s">
        <v>398</v>
      </c>
      <c r="H47" s="8" t="s">
        <v>479</v>
      </c>
    </row>
    <row r="48" spans="1:8">
      <c r="A48" s="8" t="s">
        <v>879</v>
      </c>
      <c r="B48" s="896"/>
      <c r="C48" s="896"/>
      <c r="D48" s="896"/>
      <c r="E48" s="896"/>
      <c r="F48" s="1398">
        <f>'Stmt G '!G26</f>
        <v>6.7100000000000007E-2</v>
      </c>
      <c r="G48" s="1398">
        <f ca="1">'Stmt M'!Q29</f>
        <v>6.7099999510150346E-2</v>
      </c>
      <c r="H48" s="1398">
        <f>'Stmt N'!K337</f>
        <v>6.7100000000000007E-2</v>
      </c>
    </row>
    <row r="49" spans="1:8">
      <c r="A49" s="8" t="s">
        <v>864</v>
      </c>
      <c r="B49" s="896"/>
      <c r="C49" s="896"/>
      <c r="D49" s="896"/>
      <c r="E49" s="896"/>
      <c r="F49" s="898">
        <f ca="1">F48-G48</f>
        <v>4.8984966083409631E-10</v>
      </c>
      <c r="G49" s="898">
        <f ca="1">G48-H48</f>
        <v>-4.8984966083409631E-10</v>
      </c>
    </row>
    <row r="50" spans="1:8">
      <c r="B50" s="896"/>
      <c r="C50" s="896"/>
      <c r="D50" s="896"/>
      <c r="E50" s="896"/>
      <c r="F50" s="896"/>
      <c r="G50" s="896"/>
    </row>
    <row r="51" spans="1:8">
      <c r="A51" s="72" t="s">
        <v>880</v>
      </c>
      <c r="B51" s="896"/>
      <c r="C51" s="896"/>
      <c r="D51" s="896"/>
      <c r="E51" s="896"/>
      <c r="F51" s="896"/>
      <c r="G51" s="896"/>
    </row>
    <row r="52" spans="1:8">
      <c r="A52" s="8" t="s">
        <v>881</v>
      </c>
      <c r="B52" s="897" t="s">
        <v>362</v>
      </c>
      <c r="C52" s="897" t="s">
        <v>394</v>
      </c>
      <c r="D52" s="897" t="s">
        <v>398</v>
      </c>
      <c r="E52" s="896"/>
      <c r="F52" s="897" t="s">
        <v>394</v>
      </c>
      <c r="G52" s="897" t="s">
        <v>398</v>
      </c>
      <c r="H52" s="8" t="s">
        <v>479</v>
      </c>
    </row>
    <row r="53" spans="1:8">
      <c r="A53" s="8" t="s">
        <v>881</v>
      </c>
      <c r="B53" s="1396">
        <f>'Stmt B'!F23</f>
        <v>143067313.11999997</v>
      </c>
      <c r="C53" s="1396">
        <f>+'Stmt H'!F173</f>
        <v>143067314</v>
      </c>
      <c r="D53" s="1396">
        <f>'Stmt M'!I18</f>
        <v>143067314</v>
      </c>
      <c r="E53" s="896"/>
      <c r="F53" s="1396">
        <f ca="1">'Stmt H'!U173</f>
        <v>73261868</v>
      </c>
      <c r="G53" s="1396">
        <f ca="1">+'Stmt M'!M18</f>
        <v>73261870</v>
      </c>
      <c r="H53" s="1399">
        <f ca="1">+'Stmt N'!K339</f>
        <v>73261868.646502465</v>
      </c>
    </row>
    <row r="54" spans="1:8">
      <c r="A54" s="8" t="s">
        <v>864</v>
      </c>
      <c r="B54" s="3">
        <f>B53-C53</f>
        <v>-0.88000002503395081</v>
      </c>
      <c r="C54" s="3">
        <f>C53-D53</f>
        <v>0</v>
      </c>
      <c r="D54" s="897" t="s">
        <v>882</v>
      </c>
      <c r="E54" s="896"/>
      <c r="F54" s="3">
        <f ca="1">F53-G53</f>
        <v>-2</v>
      </c>
      <c r="G54" s="3">
        <f ca="1">G53-H53</f>
        <v>1.3534975349903107</v>
      </c>
    </row>
    <row r="55" spans="1:8">
      <c r="B55" s="896"/>
      <c r="C55" s="896"/>
      <c r="D55" s="896"/>
      <c r="E55" s="896"/>
      <c r="F55" s="896"/>
      <c r="G55" s="896"/>
    </row>
    <row r="56" spans="1:8">
      <c r="B56" s="896"/>
      <c r="C56" s="896"/>
      <c r="D56" s="896"/>
      <c r="E56" s="896"/>
      <c r="F56" s="897" t="s">
        <v>394</v>
      </c>
      <c r="G56" s="897" t="s">
        <v>883</v>
      </c>
      <c r="H56" s="8" t="s">
        <v>884</v>
      </c>
    </row>
    <row r="57" spans="1:8">
      <c r="A57" s="8" t="s">
        <v>775</v>
      </c>
      <c r="B57" s="896"/>
      <c r="C57" s="896"/>
      <c r="D57" s="896"/>
      <c r="E57" s="896"/>
      <c r="F57" s="1396">
        <f>'Stmt H'!$H$173</f>
        <v>-1002489</v>
      </c>
      <c r="G57" s="1396">
        <f>'Sched H-1'!K27</f>
        <v>-1002488.89</v>
      </c>
      <c r="H57" s="3">
        <f>F57-G57</f>
        <v>-0.10999999998603016</v>
      </c>
    </row>
    <row r="58" spans="1:8">
      <c r="A58" s="8" t="s">
        <v>774</v>
      </c>
      <c r="B58" s="896"/>
      <c r="C58" s="896"/>
      <c r="D58" s="896"/>
      <c r="E58" s="896"/>
      <c r="F58" s="1396">
        <f>'Stmt H'!$I$173</f>
        <v>-919781</v>
      </c>
      <c r="G58" s="1396">
        <f>+'Sched H-2'!K45</f>
        <v>-919780.9</v>
      </c>
      <c r="H58" s="3">
        <f t="shared" ref="H58:H68" si="0">F58-G58</f>
        <v>-9.9999999976716936E-2</v>
      </c>
    </row>
    <row r="59" spans="1:8">
      <c r="A59" s="8" t="s">
        <v>773</v>
      </c>
      <c r="B59" s="896"/>
      <c r="C59" s="896"/>
      <c r="D59" s="896"/>
      <c r="E59" s="896"/>
      <c r="F59" s="1396">
        <f>'Stmt H'!$J$173</f>
        <v>-75525851</v>
      </c>
      <c r="G59" s="1396">
        <f>-'Sched H-3'!H24</f>
        <v>-75525851.089999989</v>
      </c>
      <c r="H59" s="3">
        <f t="shared" si="0"/>
        <v>8.9999988675117493E-2</v>
      </c>
    </row>
    <row r="60" spans="1:8">
      <c r="A60" s="8" t="s">
        <v>792</v>
      </c>
      <c r="B60" s="896"/>
      <c r="C60" s="896"/>
      <c r="D60" s="896"/>
      <c r="E60" s="896"/>
      <c r="F60" s="1396">
        <f>'Stmt H'!$K$173</f>
        <v>2409265</v>
      </c>
      <c r="G60" s="1396">
        <f>+'Sched H-4'!J139</f>
        <v>2409265</v>
      </c>
      <c r="H60" s="3">
        <f t="shared" si="0"/>
        <v>0</v>
      </c>
    </row>
    <row r="61" spans="1:8">
      <c r="A61" s="8" t="s">
        <v>793</v>
      </c>
      <c r="B61" s="896"/>
      <c r="C61" s="896"/>
      <c r="D61" s="896"/>
      <c r="E61" s="896"/>
      <c r="F61" s="1396">
        <f>'Stmt H'!$L$173</f>
        <v>328708</v>
      </c>
      <c r="G61" s="1396">
        <f>+'Sched H-5'!F21</f>
        <v>328707.85919865966</v>
      </c>
      <c r="H61" s="3">
        <f t="shared" si="0"/>
        <v>0.14080134034156799</v>
      </c>
    </row>
    <row r="62" spans="1:8">
      <c r="A62" s="8" t="s">
        <v>794</v>
      </c>
      <c r="B62" s="896"/>
      <c r="C62" s="896"/>
      <c r="D62" s="896"/>
      <c r="E62" s="896"/>
      <c r="F62" s="1396">
        <f>'Stmt H'!$M$173</f>
        <v>4244914</v>
      </c>
      <c r="G62" s="1396">
        <f>+'Sched H-6'!AC89</f>
        <v>4244913.5348333986</v>
      </c>
      <c r="H62" s="3">
        <f t="shared" si="0"/>
        <v>0.46516660135239363</v>
      </c>
    </row>
    <row r="63" spans="1:8">
      <c r="A63" s="8" t="s">
        <v>795</v>
      </c>
      <c r="B63" s="896"/>
      <c r="C63" s="896"/>
      <c r="D63" s="896"/>
      <c r="E63" s="896"/>
      <c r="F63" s="1396">
        <f ca="1">'Stmt H'!$N$173</f>
        <v>145508</v>
      </c>
      <c r="G63" s="1396">
        <f ca="1">+'Sched H-7'!F29</f>
        <v>145507.70297257428</v>
      </c>
      <c r="H63" s="3">
        <f t="shared" ca="1" si="0"/>
        <v>0.2970274257240817</v>
      </c>
    </row>
    <row r="64" spans="1:8">
      <c r="A64" s="8" t="s">
        <v>796</v>
      </c>
      <c r="B64" s="896"/>
      <c r="C64" s="896"/>
      <c r="D64" s="896"/>
      <c r="E64" s="896"/>
      <c r="F64" s="1396">
        <f>'Stmt H'!$O$173</f>
        <v>243387</v>
      </c>
      <c r="G64" s="1396">
        <f>'Sched H-8'!J8</f>
        <v>243386.85</v>
      </c>
      <c r="H64" s="3">
        <f t="shared" si="0"/>
        <v>0.14999999999417923</v>
      </c>
    </row>
    <row r="65" spans="1:8">
      <c r="A65" s="8" t="s">
        <v>797</v>
      </c>
      <c r="B65" s="896"/>
      <c r="C65" s="896"/>
      <c r="D65" s="896"/>
      <c r="E65" s="896"/>
      <c r="F65" s="1396">
        <f>'Stmt H'!$P$173</f>
        <v>212676</v>
      </c>
      <c r="G65" s="1396">
        <f>+'Sched H-9'!H12</f>
        <v>212676.26749999999</v>
      </c>
      <c r="H65" s="3">
        <f t="shared" si="0"/>
        <v>-0.26749999998719431</v>
      </c>
    </row>
    <row r="66" spans="1:8">
      <c r="A66" s="8" t="s">
        <v>822</v>
      </c>
      <c r="B66" s="896"/>
      <c r="C66" s="896"/>
      <c r="D66" s="896"/>
      <c r="E66" s="896"/>
      <c r="F66" s="1396">
        <f>'Stmt H'!$Q$173</f>
        <v>142854</v>
      </c>
      <c r="G66" s="1396">
        <f>+'Sched H-10'!J8</f>
        <v>142853.5</v>
      </c>
      <c r="H66" s="3">
        <f t="shared" si="0"/>
        <v>0.5</v>
      </c>
    </row>
    <row r="67" spans="1:8">
      <c r="A67" s="8" t="s">
        <v>772</v>
      </c>
      <c r="B67" s="896"/>
      <c r="C67" s="896"/>
      <c r="D67" s="896"/>
      <c r="E67" s="896"/>
      <c r="F67" s="1396">
        <f>'Stmt H'!$R$173</f>
        <v>161999</v>
      </c>
      <c r="G67" s="1396">
        <f>+'Sched H-11'!I13</f>
        <v>161998.95000000019</v>
      </c>
      <c r="H67" s="3">
        <f t="shared" si="0"/>
        <v>4.9999999813735485E-2</v>
      </c>
    </row>
    <row r="68" spans="1:8" s="62" customFormat="1">
      <c r="A68" s="8" t="s">
        <v>771</v>
      </c>
      <c r="B68" s="1397"/>
      <c r="C68" s="896"/>
      <c r="D68" s="896"/>
      <c r="E68" s="896"/>
      <c r="F68" s="1396">
        <f>'Stmt H'!$S$173</f>
        <v>-246633</v>
      </c>
      <c r="G68" s="1396">
        <f>'Sched H-12'!G72</f>
        <v>-246633.34031789051</v>
      </c>
      <c r="H68" s="3">
        <f t="shared" si="0"/>
        <v>0.34031789051368833</v>
      </c>
    </row>
    <row r="69" spans="1:8">
      <c r="A69" s="8"/>
      <c r="B69" s="896"/>
      <c r="C69" s="896"/>
      <c r="D69" s="896"/>
      <c r="E69" s="896"/>
      <c r="F69" s="896"/>
      <c r="G69" s="896"/>
    </row>
    <row r="70" spans="1:8">
      <c r="A70" s="8" t="s">
        <v>866</v>
      </c>
      <c r="B70" s="896"/>
      <c r="C70" s="896"/>
      <c r="D70" s="896"/>
      <c r="E70" s="896"/>
      <c r="F70" s="897" t="s">
        <v>394</v>
      </c>
      <c r="G70" s="897" t="s">
        <v>398</v>
      </c>
      <c r="H70" s="8"/>
    </row>
    <row r="71" spans="1:8">
      <c r="A71" s="8" t="s">
        <v>866</v>
      </c>
      <c r="B71" s="896"/>
      <c r="C71" s="896"/>
      <c r="D71" s="896"/>
      <c r="E71" s="896"/>
      <c r="F71" s="1404">
        <f ca="1">'Stmt H'!T173</f>
        <v>-69805444</v>
      </c>
      <c r="G71" s="1404">
        <f ca="1">+'Stmt M'!K18</f>
        <v>-69805444</v>
      </c>
      <c r="H71" s="3">
        <f t="shared" ref="H71" ca="1" si="1">F71-G71</f>
        <v>0</v>
      </c>
    </row>
    <row r="72" spans="1:8">
      <c r="A72" s="8" t="s">
        <v>864</v>
      </c>
      <c r="B72" s="896"/>
      <c r="C72" s="896"/>
      <c r="D72" s="896"/>
      <c r="E72" s="896"/>
      <c r="F72" s="3">
        <f ca="1">F71-G71</f>
        <v>0</v>
      </c>
      <c r="G72" s="896"/>
    </row>
    <row r="73" spans="1:8">
      <c r="B73" s="896"/>
      <c r="C73" s="896"/>
      <c r="D73" s="896"/>
      <c r="E73" s="896"/>
      <c r="F73" s="896"/>
      <c r="G73" s="896"/>
    </row>
    <row r="74" spans="1:8">
      <c r="A74" s="8" t="s">
        <v>885</v>
      </c>
      <c r="B74" s="896"/>
      <c r="C74" s="896"/>
      <c r="D74" s="896"/>
      <c r="E74" s="896"/>
      <c r="F74" s="897" t="s">
        <v>394</v>
      </c>
      <c r="G74" s="8" t="s">
        <v>479</v>
      </c>
    </row>
    <row r="75" spans="1:8">
      <c r="A75" s="98" t="s">
        <v>696</v>
      </c>
      <c r="B75" s="896"/>
      <c r="C75" s="896"/>
      <c r="D75" s="896"/>
      <c r="E75" s="896"/>
      <c r="F75" s="1396">
        <f>'Stmt H'!U23+'Stmt H'!U33</f>
        <v>0</v>
      </c>
      <c r="G75" s="1396">
        <f>+'Stmt N'!K114+'Stmt N'!K124</f>
        <v>0</v>
      </c>
      <c r="H75" s="3">
        <f t="shared" ref="H75:H84" si="2">F75-G75</f>
        <v>0</v>
      </c>
    </row>
    <row r="76" spans="1:8">
      <c r="A76" s="98" t="s">
        <v>383</v>
      </c>
      <c r="B76" s="896"/>
      <c r="C76" s="896"/>
      <c r="D76" s="896"/>
      <c r="E76" s="896"/>
      <c r="F76" s="1396">
        <f>+'Stmt H'!U47</f>
        <v>0</v>
      </c>
      <c r="G76" s="1396">
        <f>+'Stmt N'!K137</f>
        <v>0</v>
      </c>
      <c r="H76" s="3">
        <f t="shared" si="2"/>
        <v>0</v>
      </c>
    </row>
    <row r="77" spans="1:8">
      <c r="A77" s="245" t="s">
        <v>702</v>
      </c>
      <c r="B77" s="896"/>
      <c r="C77" s="896"/>
      <c r="D77" s="896"/>
      <c r="E77" s="896"/>
      <c r="F77" s="1396">
        <f>+'Stmt H'!U71</f>
        <v>0</v>
      </c>
      <c r="G77" s="1396">
        <f>+'Stmt N'!K161</f>
        <v>0</v>
      </c>
      <c r="H77" s="3">
        <f t="shared" si="2"/>
        <v>0</v>
      </c>
    </row>
    <row r="78" spans="1:8">
      <c r="A78" s="106" t="s">
        <v>379</v>
      </c>
      <c r="B78" s="896"/>
      <c r="C78" s="896"/>
      <c r="D78" s="896"/>
      <c r="E78" s="896"/>
      <c r="F78" s="1396">
        <f>+'Stmt H'!U95</f>
        <v>358694.63113306742</v>
      </c>
      <c r="G78" s="1396">
        <f>+'Stmt N'!K185</f>
        <v>358694.76192960126</v>
      </c>
      <c r="H78" s="3">
        <f t="shared" si="2"/>
        <v>-0.13079653383465484</v>
      </c>
    </row>
    <row r="79" spans="1:8">
      <c r="A79" s="106" t="s">
        <v>431</v>
      </c>
      <c r="B79" s="896"/>
      <c r="C79" s="896"/>
      <c r="D79" s="896"/>
      <c r="E79" s="896"/>
      <c r="F79" s="1396">
        <f>+'Stmt H'!U125</f>
        <v>28527152.454658844</v>
      </c>
      <c r="G79" s="1396">
        <f>+'Stmt N'!K215</f>
        <v>28527152.454658844</v>
      </c>
      <c r="H79" s="3">
        <f t="shared" si="2"/>
        <v>0</v>
      </c>
    </row>
    <row r="80" spans="1:8">
      <c r="A80" s="106" t="s">
        <v>168</v>
      </c>
      <c r="B80" s="896"/>
      <c r="C80" s="896"/>
      <c r="D80" s="896"/>
      <c r="E80" s="896"/>
      <c r="F80" s="1396">
        <f ca="1">+'Stmt H'!U134</f>
        <v>7859285.7782946751</v>
      </c>
      <c r="G80" s="1396">
        <f ca="1">+'Stmt N'!K224</f>
        <v>7859285.7782946751</v>
      </c>
      <c r="H80" s="3">
        <f t="shared" ca="1" si="2"/>
        <v>0</v>
      </c>
    </row>
    <row r="81" spans="1:9">
      <c r="A81" s="98" t="s">
        <v>387</v>
      </c>
      <c r="B81" s="896"/>
      <c r="C81" s="896"/>
      <c r="D81" s="896"/>
      <c r="E81" s="896"/>
      <c r="F81" s="1396">
        <f>+'Stmt H'!U142</f>
        <v>239101.64197600004</v>
      </c>
      <c r="G81" s="1396">
        <f>+'Stmt N'!K232</f>
        <v>239101.64197600004</v>
      </c>
      <c r="H81" s="3">
        <f t="shared" si="2"/>
        <v>0</v>
      </c>
    </row>
    <row r="82" spans="1:9">
      <c r="A82" s="98" t="s">
        <v>110</v>
      </c>
      <c r="B82" s="896"/>
      <c r="C82" s="896"/>
      <c r="D82" s="896"/>
      <c r="E82" s="896"/>
      <c r="F82" s="1396">
        <f>+'Stmt H'!U150</f>
        <v>345833.55959599424</v>
      </c>
      <c r="G82" s="1396">
        <f>+'Stmt N'!K242</f>
        <v>345833.55959599424</v>
      </c>
      <c r="H82" s="3">
        <f t="shared" si="2"/>
        <v>0</v>
      </c>
    </row>
    <row r="83" spans="1:9">
      <c r="A83" s="98" t="s">
        <v>95</v>
      </c>
      <c r="B83" s="896"/>
      <c r="C83" s="896"/>
      <c r="D83" s="896"/>
      <c r="E83" s="896"/>
      <c r="F83" s="1396">
        <f>+'Stmt H'!U171</f>
        <v>35931800</v>
      </c>
      <c r="G83" s="1396">
        <f>+'Stmt N'!K263</f>
        <v>35931800.450047344</v>
      </c>
      <c r="H83" s="3">
        <f t="shared" si="2"/>
        <v>-0.45004734396934509</v>
      </c>
    </row>
    <row r="84" spans="1:9">
      <c r="B84" s="896"/>
      <c r="C84" s="896"/>
      <c r="D84" s="896"/>
      <c r="E84" s="896"/>
      <c r="F84" s="1405">
        <f ca="1">SUM(F75:F83)</f>
        <v>73261868.065658569</v>
      </c>
      <c r="G84" s="1405">
        <f ca="1">+'Stmt N'!K265</f>
        <v>73261868.646502465</v>
      </c>
      <c r="H84" s="900">
        <f t="shared" ca="1" si="2"/>
        <v>-0.58084389567375183</v>
      </c>
    </row>
    <row r="85" spans="1:9">
      <c r="A85" s="72" t="s">
        <v>812</v>
      </c>
      <c r="E85" s="896"/>
      <c r="F85" s="896"/>
      <c r="G85" s="896"/>
    </row>
    <row r="86" spans="1:9">
      <c r="A86" s="8" t="s">
        <v>886</v>
      </c>
      <c r="B86" s="897" t="s">
        <v>362</v>
      </c>
      <c r="C86" s="897" t="s">
        <v>401</v>
      </c>
      <c r="D86" s="897" t="s">
        <v>398</v>
      </c>
      <c r="E86" s="896"/>
      <c r="F86" s="897" t="s">
        <v>401</v>
      </c>
      <c r="G86" s="897" t="s">
        <v>398</v>
      </c>
      <c r="H86" s="8" t="s">
        <v>479</v>
      </c>
    </row>
    <row r="87" spans="1:9">
      <c r="A87" s="8" t="s">
        <v>886</v>
      </c>
      <c r="B87" s="1406">
        <f>'Stmt B'!F10</f>
        <v>218904213.23000002</v>
      </c>
      <c r="C87" s="1396">
        <f>+'Stmt I '!E35</f>
        <v>218904213.23000002</v>
      </c>
      <c r="D87" s="1396">
        <f>+'Stmt M'!I15</f>
        <v>218904213</v>
      </c>
      <c r="E87" s="896"/>
      <c r="F87" s="1396">
        <f>+'Stmt I '!T35</f>
        <v>147043947.28234246</v>
      </c>
      <c r="G87" s="1396">
        <f>+'Stmt M'!M15</f>
        <v>147043948</v>
      </c>
      <c r="H87" s="1396">
        <f>+'Stmt N'!K321</f>
        <v>147043947.28234246</v>
      </c>
    </row>
    <row r="88" spans="1:9">
      <c r="A88" s="8" t="s">
        <v>864</v>
      </c>
      <c r="B88" s="3">
        <f>B87-C87</f>
        <v>0</v>
      </c>
      <c r="C88" s="3">
        <f>C87-D87</f>
        <v>0.23000001907348633</v>
      </c>
      <c r="D88" s="896"/>
      <c r="E88" s="896"/>
      <c r="F88" s="3">
        <f>F87-G87</f>
        <v>-0.71765753626823425</v>
      </c>
      <c r="G88" s="3">
        <f>G87-H87</f>
        <v>0.71765753626823425</v>
      </c>
      <c r="H88" s="8" t="s">
        <v>887</v>
      </c>
    </row>
    <row r="89" spans="1:9">
      <c r="B89" s="896"/>
      <c r="C89" s="896"/>
      <c r="D89" s="896"/>
      <c r="E89" s="896"/>
      <c r="F89" s="896"/>
      <c r="G89" s="896"/>
    </row>
    <row r="90" spans="1:9">
      <c r="A90" s="8" t="s">
        <v>888</v>
      </c>
      <c r="B90" s="1397"/>
      <c r="C90" s="896"/>
      <c r="D90" s="896"/>
      <c r="E90" s="896"/>
      <c r="F90" s="897" t="s">
        <v>401</v>
      </c>
      <c r="G90" s="897" t="s">
        <v>883</v>
      </c>
    </row>
    <row r="91" spans="1:9">
      <c r="A91" s="8" t="s">
        <v>1418</v>
      </c>
      <c r="B91" s="896"/>
      <c r="C91" s="896"/>
      <c r="D91" s="896"/>
      <c r="E91" s="896"/>
      <c r="F91" s="1396">
        <f>'Stmt I '!$H$35</f>
        <v>64843.620000023395</v>
      </c>
      <c r="G91" s="1396">
        <f>('Sched I-1'!U12-'Stmt I '!E12)+('Sched I-1'!V12-'Stmt I '!E19)</f>
        <v>64843.620000023395</v>
      </c>
      <c r="H91" s="3">
        <f t="shared" ref="H91:H100" si="3">F91-G91</f>
        <v>0</v>
      </c>
      <c r="I91" s="1233"/>
    </row>
    <row r="92" spans="1:9">
      <c r="A92" s="8" t="s">
        <v>1419</v>
      </c>
      <c r="B92" s="896"/>
      <c r="C92" s="896"/>
      <c r="D92" s="896"/>
      <c r="E92" s="896"/>
      <c r="F92" s="1396">
        <f>'Stmt I '!$I$35</f>
        <v>862665.64999999816</v>
      </c>
      <c r="G92" s="1396">
        <f>'Sched I-1'!U14+'Sched I-1'!V14</f>
        <v>862665.64999999816</v>
      </c>
      <c r="H92" s="3">
        <f t="shared" si="3"/>
        <v>0</v>
      </c>
      <c r="I92" s="1233"/>
    </row>
    <row r="93" spans="1:9">
      <c r="A93" s="8" t="s">
        <v>1420</v>
      </c>
      <c r="B93" s="896"/>
      <c r="C93" s="896"/>
      <c r="D93" s="896"/>
      <c r="E93" s="896"/>
      <c r="F93" s="1396">
        <f>'Stmt I '!$J$35</f>
        <v>0</v>
      </c>
      <c r="G93" s="1396">
        <f>'Sched I-1'!U16+'Sched I-1'!V16</f>
        <v>0</v>
      </c>
      <c r="H93" s="3">
        <f t="shared" si="3"/>
        <v>0</v>
      </c>
      <c r="I93" s="1233"/>
    </row>
    <row r="94" spans="1:9">
      <c r="A94" s="8" t="s">
        <v>1421</v>
      </c>
      <c r="B94" s="896"/>
      <c r="C94" s="896"/>
      <c r="D94" s="896"/>
      <c r="E94" s="896"/>
      <c r="F94" s="1396">
        <f>'Stmt I '!$L$35</f>
        <v>-4118020</v>
      </c>
      <c r="G94" s="1396">
        <f>'Sched I-1'!U20+'Sched I-1'!V20</f>
        <v>-4118020</v>
      </c>
      <c r="H94" s="3">
        <f t="shared" si="3"/>
        <v>0</v>
      </c>
      <c r="I94" s="1233"/>
    </row>
    <row r="95" spans="1:9">
      <c r="A95" s="8" t="s">
        <v>1422</v>
      </c>
      <c r="B95" s="896"/>
      <c r="C95" s="896"/>
      <c r="D95" s="896"/>
      <c r="E95" s="896"/>
      <c r="F95" s="1396">
        <f>'Stmt I '!$M$35</f>
        <v>898797</v>
      </c>
      <c r="G95" s="1396">
        <f>'Sched I-1'!U22+'Sched I-1'!V22</f>
        <v>898797</v>
      </c>
      <c r="H95" s="3">
        <f t="shared" si="3"/>
        <v>0</v>
      </c>
      <c r="I95" s="1233"/>
    </row>
    <row r="96" spans="1:9">
      <c r="A96" s="8" t="s">
        <v>1423</v>
      </c>
      <c r="B96" s="896"/>
      <c r="C96" s="896"/>
      <c r="D96" s="896"/>
      <c r="E96" s="896"/>
      <c r="F96" s="1396">
        <f>'Stmt I '!$N$35</f>
        <v>2164749.1269999999</v>
      </c>
      <c r="G96" s="1396">
        <f>'Sched I-1'!U30+'Sched I-1'!V30</f>
        <v>2164749.1269999999</v>
      </c>
      <c r="H96" s="3">
        <f t="shared" si="3"/>
        <v>0</v>
      </c>
      <c r="I96" s="1233"/>
    </row>
    <row r="97" spans="1:9">
      <c r="A97" s="8" t="s">
        <v>1424</v>
      </c>
      <c r="B97" s="896"/>
      <c r="C97" s="896"/>
      <c r="D97" s="896"/>
      <c r="E97" s="896"/>
      <c r="F97" s="1396">
        <f>'Stmt I '!O35</f>
        <v>393733.12755877903</v>
      </c>
      <c r="G97" s="1396">
        <f>'Sched I-1'!U24+'Sched I-1'!V24</f>
        <v>393733.12755877903</v>
      </c>
      <c r="H97" s="3">
        <f t="shared" si="3"/>
        <v>0</v>
      </c>
      <c r="I97" s="1233"/>
    </row>
    <row r="98" spans="1:9" s="62" customFormat="1">
      <c r="A98" s="8" t="s">
        <v>1425</v>
      </c>
      <c r="B98" s="896"/>
      <c r="C98" s="896"/>
      <c r="D98" s="896"/>
      <c r="E98" s="896"/>
      <c r="F98" s="1396">
        <f>'Stmt I '!P35</f>
        <v>-692725.98000000021</v>
      </c>
      <c r="G98" s="1396">
        <f>'Sched I-1'!U26+'Sched I-1'!V26</f>
        <v>-692725.98000000021</v>
      </c>
      <c r="H98" s="3">
        <f t="shared" si="3"/>
        <v>0</v>
      </c>
      <c r="I98" s="1233"/>
    </row>
    <row r="99" spans="1:9">
      <c r="A99" s="8" t="s">
        <v>1426</v>
      </c>
      <c r="B99" s="896"/>
      <c r="C99" s="896"/>
      <c r="D99" s="896"/>
      <c r="E99" s="896"/>
      <c r="F99" s="1396">
        <f>'Stmt I '!Q35</f>
        <v>-105688.01564468576</v>
      </c>
      <c r="G99" s="1396">
        <f>'Sched I-1'!U28+'Sched I-1'!V28</f>
        <v>-105688.01564468576</v>
      </c>
      <c r="H99" s="3">
        <f t="shared" si="3"/>
        <v>0</v>
      </c>
      <c r="I99" s="1233"/>
    </row>
    <row r="100" spans="1:9">
      <c r="A100" s="8" t="s">
        <v>889</v>
      </c>
      <c r="B100" s="896"/>
      <c r="C100" s="896"/>
      <c r="D100" s="896"/>
      <c r="E100" s="896"/>
      <c r="F100" s="1396">
        <f>'Stmt I '!$R$35</f>
        <v>998809.62342833867</v>
      </c>
      <c r="G100" s="1396">
        <f>+'Sched I-2'!F28</f>
        <v>998809.62342833867</v>
      </c>
      <c r="H100" s="3">
        <f t="shared" si="3"/>
        <v>0</v>
      </c>
      <c r="I100" s="1233"/>
    </row>
    <row r="101" spans="1:9">
      <c r="A101" s="8"/>
      <c r="B101" s="896"/>
      <c r="C101" s="896"/>
      <c r="D101" s="896"/>
      <c r="E101" s="896"/>
      <c r="F101" s="896"/>
      <c r="G101" s="896"/>
    </row>
    <row r="102" spans="1:9">
      <c r="A102" s="8" t="s">
        <v>1530</v>
      </c>
      <c r="B102" s="896"/>
      <c r="C102" s="896"/>
      <c r="D102" s="896"/>
      <c r="E102" s="896"/>
      <c r="F102" s="8" t="s">
        <v>1427</v>
      </c>
      <c r="G102" s="8" t="s">
        <v>1428</v>
      </c>
    </row>
    <row r="103" spans="1:9">
      <c r="A103" s="23" t="s">
        <v>632</v>
      </c>
      <c r="B103" s="896"/>
      <c r="C103" s="896"/>
      <c r="D103" s="896"/>
      <c r="E103" s="896"/>
      <c r="F103" s="1396">
        <f>+'Sched I-2'!E12</f>
        <v>8666613.8397144321</v>
      </c>
      <c r="G103" s="1396">
        <f>+'Sched I-2 Pg 2'!C31+'Sched I-2 Pg 2'!C51</f>
        <v>8666613.8397144321</v>
      </c>
      <c r="H103" s="3">
        <f t="shared" ref="H103:H106" si="4">F103-G103</f>
        <v>0</v>
      </c>
    </row>
    <row r="104" spans="1:9">
      <c r="A104" s="23" t="s">
        <v>752</v>
      </c>
      <c r="B104" s="896"/>
      <c r="C104" s="896"/>
      <c r="D104" s="896"/>
      <c r="E104" s="896"/>
      <c r="F104" s="1396">
        <f>+'Sched I-2'!E13</f>
        <v>-2239620.5094700218</v>
      </c>
      <c r="G104" s="1396">
        <f>-'Sched I-2 Pg 2'!F31-'Sched I-2 Pg 2'!F51</f>
        <v>-2239620.5094700218</v>
      </c>
      <c r="H104" s="3">
        <f t="shared" si="4"/>
        <v>0</v>
      </c>
    </row>
    <row r="105" spans="1:9">
      <c r="A105" s="23" t="s">
        <v>745</v>
      </c>
      <c r="B105" s="896"/>
      <c r="C105" s="896"/>
      <c r="D105" s="896"/>
      <c r="E105" s="896"/>
      <c r="F105" s="1396">
        <f>+'Sched I-2'!E14</f>
        <v>-470400.79892688186</v>
      </c>
      <c r="G105" s="1396">
        <f>+'Sched I-2 Pg 2'!O31+'Sched I-2 Pg 2'!O51</f>
        <v>-470400.79892688186</v>
      </c>
      <c r="H105" s="3">
        <f t="shared" si="4"/>
        <v>0</v>
      </c>
    </row>
    <row r="106" spans="1:9">
      <c r="A106" s="123" t="s">
        <v>30</v>
      </c>
      <c r="B106" s="896"/>
      <c r="C106" s="896"/>
      <c r="D106" s="896"/>
      <c r="E106" s="896"/>
      <c r="F106" s="1396">
        <f>+'Sched I-2'!E20</f>
        <v>473146.28975151863</v>
      </c>
      <c r="G106" s="1396">
        <f>+'Sched I-2 Pg 2'!E31+'Sched I-2 Pg 2'!E51</f>
        <v>473146.28975151863</v>
      </c>
      <c r="H106" s="3">
        <f t="shared" si="4"/>
        <v>0</v>
      </c>
    </row>
    <row r="107" spans="1:9">
      <c r="B107" s="896"/>
      <c r="C107" s="896"/>
      <c r="D107" s="896"/>
      <c r="E107" s="896"/>
      <c r="F107" s="896"/>
      <c r="G107" s="896"/>
    </row>
    <row r="108" spans="1:9">
      <c r="A108" s="8" t="s">
        <v>890</v>
      </c>
      <c r="B108" s="896"/>
      <c r="C108" s="896"/>
      <c r="D108" s="896"/>
      <c r="E108" s="896"/>
      <c r="F108" s="897" t="s">
        <v>401</v>
      </c>
      <c r="G108" s="897" t="s">
        <v>398</v>
      </c>
    </row>
    <row r="109" spans="1:9">
      <c r="A109" s="8" t="s">
        <v>890</v>
      </c>
      <c r="B109" s="896"/>
      <c r="C109" s="896"/>
      <c r="D109" s="896"/>
      <c r="E109" s="896"/>
      <c r="F109" s="1396">
        <f>'Stmt I '!F35+'Stmt I '!G35+'Stmt I '!H35+'Stmt I '!I35+'Stmt I '!J35+'Stmt I '!K35+'Stmt I '!L35+'Stmt I '!M35+'Stmt I '!N35+'Stmt I '!O35+'Stmt I '!P35+'Stmt I '!Q35+'Stmt I '!R35</f>
        <v>-72314238.94765754</v>
      </c>
      <c r="G109" s="1396">
        <f>'Stmt M'!K15</f>
        <v>-71860266</v>
      </c>
    </row>
    <row r="110" spans="1:9">
      <c r="A110" s="8" t="s">
        <v>864</v>
      </c>
      <c r="B110" s="3">
        <f>B109-C109</f>
        <v>0</v>
      </c>
      <c r="C110" s="3">
        <f>C109-D109</f>
        <v>0</v>
      </c>
      <c r="D110" s="896"/>
      <c r="E110" s="896"/>
      <c r="F110" s="3">
        <f>F109-G109</f>
        <v>-453972.94765754044</v>
      </c>
      <c r="G110" s="3"/>
    </row>
    <row r="111" spans="1:9">
      <c r="B111" s="896"/>
      <c r="C111" s="896"/>
      <c r="D111" s="896"/>
      <c r="E111" s="896"/>
      <c r="F111" s="896"/>
      <c r="G111" s="896"/>
    </row>
    <row r="112" spans="1:9">
      <c r="A112" s="72" t="s">
        <v>84</v>
      </c>
      <c r="B112" s="896"/>
      <c r="C112" s="896"/>
      <c r="D112" s="896"/>
      <c r="E112" s="896"/>
      <c r="F112" s="896"/>
      <c r="G112" s="896"/>
    </row>
    <row r="113" spans="1:8">
      <c r="A113" s="8" t="s">
        <v>891</v>
      </c>
      <c r="B113" s="897" t="s">
        <v>362</v>
      </c>
      <c r="C113" s="897" t="s">
        <v>400</v>
      </c>
      <c r="D113" s="897" t="s">
        <v>398</v>
      </c>
      <c r="E113" s="896"/>
      <c r="F113" s="897" t="s">
        <v>400</v>
      </c>
      <c r="G113" s="897" t="s">
        <v>398</v>
      </c>
      <c r="H113" s="897" t="s">
        <v>479</v>
      </c>
    </row>
    <row r="114" spans="1:8">
      <c r="A114" s="8" t="s">
        <v>891</v>
      </c>
      <c r="B114" s="1396">
        <f>+'Stmt B'!F25</f>
        <v>24036686.740000002</v>
      </c>
      <c r="C114" s="1396">
        <f>'Stmt J'!K30</f>
        <v>24036686.740000002</v>
      </c>
      <c r="D114" s="1396">
        <f>+'Stmt M'!I19</f>
        <v>24036686.740000002</v>
      </c>
      <c r="E114" s="896"/>
      <c r="F114" s="1396">
        <f>+'Stmt J'!I30</f>
        <v>21685113.424647354</v>
      </c>
      <c r="G114" s="1396">
        <f>+'Stmt M'!M19</f>
        <v>21685113</v>
      </c>
      <c r="H114" s="1396">
        <f>+'Stmt N'!K276</f>
        <v>21685113.424647357</v>
      </c>
    </row>
    <row r="115" spans="1:8">
      <c r="A115" s="8" t="s">
        <v>864</v>
      </c>
      <c r="B115" s="3">
        <f>B114-C114</f>
        <v>0</v>
      </c>
      <c r="C115" s="3">
        <f>C114-D114</f>
        <v>0</v>
      </c>
      <c r="D115" s="896"/>
      <c r="E115" s="896"/>
      <c r="F115" s="3">
        <f>F114-G114</f>
        <v>0.42464735358953476</v>
      </c>
      <c r="G115" s="3">
        <f>G114-H114</f>
        <v>-0.42464735731482506</v>
      </c>
    </row>
    <row r="116" spans="1:8">
      <c r="B116" s="896"/>
      <c r="C116" s="896"/>
      <c r="D116" s="896"/>
      <c r="E116" s="896"/>
      <c r="F116" s="896"/>
      <c r="G116" s="896"/>
    </row>
    <row r="117" spans="1:8">
      <c r="A117" s="8" t="s">
        <v>892</v>
      </c>
      <c r="B117" s="896"/>
      <c r="C117" s="896"/>
      <c r="D117" s="896"/>
      <c r="E117" s="896"/>
      <c r="F117" s="897" t="s">
        <v>400</v>
      </c>
      <c r="G117" s="897" t="s">
        <v>893</v>
      </c>
    </row>
    <row r="118" spans="1:8">
      <c r="A118" s="123" t="s">
        <v>397</v>
      </c>
      <c r="B118" s="896"/>
      <c r="C118" s="896"/>
      <c r="D118" s="896"/>
      <c r="E118" s="896"/>
      <c r="F118" s="1396">
        <f>+'Stmt J'!I13</f>
        <v>75057</v>
      </c>
      <c r="G118" s="1396">
        <f>+'Sched J-1'!M15</f>
        <v>75057</v>
      </c>
      <c r="H118" s="3">
        <f t="shared" ref="H118:H125" si="5">F118-G118</f>
        <v>0</v>
      </c>
    </row>
    <row r="119" spans="1:8">
      <c r="A119" s="66" t="s">
        <v>695</v>
      </c>
      <c r="B119" s="896"/>
      <c r="C119" s="896"/>
      <c r="D119" s="896"/>
      <c r="E119" s="896"/>
      <c r="F119" s="1396">
        <f>+'Stmt J'!I15</f>
        <v>0</v>
      </c>
      <c r="G119" s="1396">
        <f>+'Sched J-1'!M16</f>
        <v>0</v>
      </c>
      <c r="H119" s="3">
        <f t="shared" si="5"/>
        <v>0</v>
      </c>
    </row>
    <row r="120" spans="1:8">
      <c r="A120" s="66" t="s">
        <v>694</v>
      </c>
      <c r="B120" s="896"/>
      <c r="C120" s="896"/>
      <c r="D120" s="896"/>
      <c r="E120" s="896"/>
      <c r="F120" s="1396">
        <f>+'Stmt J'!I17</f>
        <v>0</v>
      </c>
      <c r="G120" s="1396">
        <f>+'Sched J-1'!M16</f>
        <v>0</v>
      </c>
      <c r="H120" s="3">
        <f t="shared" si="5"/>
        <v>0</v>
      </c>
    </row>
    <row r="121" spans="1:8">
      <c r="A121" s="8" t="s">
        <v>86</v>
      </c>
      <c r="B121" s="896"/>
      <c r="C121" s="896"/>
      <c r="D121" s="896"/>
      <c r="E121" s="896"/>
      <c r="F121" s="1396">
        <f>+'Stmt J'!I19</f>
        <v>40586</v>
      </c>
      <c r="G121" s="1396">
        <f>+'Sched J-1'!M22</f>
        <v>40586</v>
      </c>
      <c r="H121" s="3">
        <f t="shared" si="5"/>
        <v>0</v>
      </c>
    </row>
    <row r="122" spans="1:8">
      <c r="A122" s="8" t="s">
        <v>454</v>
      </c>
      <c r="B122" s="896"/>
      <c r="C122" s="896"/>
      <c r="D122" s="896"/>
      <c r="E122" s="896"/>
      <c r="F122" s="1396">
        <f>+'Stmt J'!I21</f>
        <v>16164555</v>
      </c>
      <c r="G122" s="1396">
        <f>+'Sched J-1'!M42</f>
        <v>16164555</v>
      </c>
      <c r="H122" s="3">
        <f t="shared" si="5"/>
        <v>0</v>
      </c>
    </row>
    <row r="123" spans="1:8">
      <c r="A123" s="8" t="s">
        <v>396</v>
      </c>
      <c r="B123" s="896"/>
      <c r="C123" s="896"/>
      <c r="D123" s="896"/>
      <c r="E123" s="896"/>
      <c r="F123" s="1396">
        <f>+'Stmt J'!I23+'Stmt J'!I32</f>
        <v>4539326</v>
      </c>
      <c r="G123" s="1396">
        <f>+'Sched J-1'!M68</f>
        <v>4539326</v>
      </c>
      <c r="H123" s="3">
        <f t="shared" si="5"/>
        <v>0</v>
      </c>
    </row>
    <row r="124" spans="1:8" s="62" customFormat="1">
      <c r="A124" s="8" t="s">
        <v>1332</v>
      </c>
      <c r="B124" s="896"/>
      <c r="C124" s="896"/>
      <c r="D124" s="896"/>
      <c r="E124" s="896"/>
      <c r="F124" s="1396">
        <f>+'Stmt J'!I33</f>
        <v>102895</v>
      </c>
      <c r="G124" s="1396">
        <f>+'Sched J-1'!M86</f>
        <v>102895</v>
      </c>
      <c r="H124" s="3">
        <f t="shared" si="5"/>
        <v>0</v>
      </c>
    </row>
    <row r="125" spans="1:8">
      <c r="A125" s="8" t="s">
        <v>679</v>
      </c>
      <c r="B125" s="896"/>
      <c r="C125" s="896"/>
      <c r="D125" s="896"/>
      <c r="E125" s="896"/>
      <c r="F125" s="1396">
        <f>+'Stmt J'!I26</f>
        <v>2954994</v>
      </c>
      <c r="G125" s="1396">
        <f>+'Sched J-1'!M78</f>
        <v>2954994</v>
      </c>
      <c r="H125" s="3">
        <f t="shared" si="5"/>
        <v>0</v>
      </c>
    </row>
    <row r="126" spans="1:8">
      <c r="A126" s="8" t="s">
        <v>859</v>
      </c>
      <c r="B126" s="896"/>
      <c r="C126" s="896"/>
      <c r="D126" s="896"/>
      <c r="E126" s="896"/>
      <c r="F126" s="1396">
        <f>+'Stmt J'!I24</f>
        <v>212172.4</v>
      </c>
      <c r="G126" s="1404" t="s">
        <v>894</v>
      </c>
    </row>
    <row r="127" spans="1:8">
      <c r="B127" s="896"/>
      <c r="C127" s="896"/>
      <c r="D127" s="896"/>
      <c r="E127" s="896"/>
      <c r="F127" s="896"/>
      <c r="G127" s="896"/>
    </row>
    <row r="128" spans="1:8">
      <c r="A128" s="72" t="s">
        <v>895</v>
      </c>
      <c r="B128" s="896"/>
      <c r="C128" s="896"/>
      <c r="D128" s="896"/>
      <c r="E128" s="896"/>
      <c r="F128" s="896"/>
      <c r="G128" s="896"/>
    </row>
    <row r="129" spans="1:8">
      <c r="A129" s="8" t="s">
        <v>896</v>
      </c>
      <c r="B129" s="897" t="s">
        <v>399</v>
      </c>
      <c r="C129" s="897" t="s">
        <v>398</v>
      </c>
      <c r="E129" s="896"/>
      <c r="F129" s="897" t="s">
        <v>399</v>
      </c>
      <c r="G129" s="897" t="s">
        <v>398</v>
      </c>
      <c r="H129" s="897" t="s">
        <v>479</v>
      </c>
    </row>
    <row r="130" spans="1:8">
      <c r="A130" s="8" t="s">
        <v>896</v>
      </c>
      <c r="B130" s="1396">
        <f ca="1">+'Stmt K'!E78</f>
        <v>9574528.7595300004</v>
      </c>
      <c r="C130" s="1396">
        <f ca="1">+'Stmt M'!I25</f>
        <v>9574528.7595300004</v>
      </c>
      <c r="E130" s="896"/>
      <c r="F130" s="1396">
        <f ca="1">'Stmt K'!I78</f>
        <v>8617293.5380410012</v>
      </c>
      <c r="G130" s="1396">
        <f ca="1">+'Stmt M'!M25</f>
        <v>8617294</v>
      </c>
      <c r="H130" s="1396">
        <f ca="1">+'Stmt N'!K307</f>
        <v>8617293.5380410012</v>
      </c>
    </row>
    <row r="131" spans="1:8">
      <c r="A131" s="8" t="s">
        <v>864</v>
      </c>
      <c r="B131" s="3">
        <f ca="1">B130-C130</f>
        <v>0</v>
      </c>
      <c r="C131" s="896"/>
      <c r="D131" s="896"/>
      <c r="E131" s="896"/>
      <c r="F131" s="3">
        <f ca="1">F130-G130</f>
        <v>-0.4619589988142252</v>
      </c>
      <c r="G131" s="3">
        <f ca="1">G130-H130</f>
        <v>0.4619589988142252</v>
      </c>
    </row>
    <row r="132" spans="1:8">
      <c r="B132" s="896"/>
      <c r="C132" s="896"/>
      <c r="D132" s="896"/>
      <c r="E132" s="896"/>
      <c r="F132" s="896"/>
      <c r="G132" s="896"/>
    </row>
    <row r="133" spans="1:8">
      <c r="A133" s="8" t="s">
        <v>99</v>
      </c>
      <c r="B133" s="897" t="s">
        <v>399</v>
      </c>
      <c r="C133" s="897" t="s">
        <v>398</v>
      </c>
      <c r="D133" s="896"/>
      <c r="E133" s="896"/>
      <c r="F133" s="897" t="s">
        <v>399</v>
      </c>
      <c r="G133" s="897" t="s">
        <v>398</v>
      </c>
      <c r="H133" s="897" t="s">
        <v>479</v>
      </c>
    </row>
    <row r="134" spans="1:8">
      <c r="A134" s="8" t="s">
        <v>99</v>
      </c>
      <c r="B134" s="1396">
        <f>'Stmt K'!E11</f>
        <v>45924360</v>
      </c>
      <c r="C134" s="1396">
        <f>+'Stmt M'!I23</f>
        <v>45924360</v>
      </c>
      <c r="D134" s="896"/>
      <c r="E134" s="896"/>
      <c r="F134" s="1396">
        <f ca="1">'Stmt K'!I11</f>
        <v>45051529</v>
      </c>
      <c r="G134" s="1396">
        <f ca="1">+'Stmt M'!M23</f>
        <v>45051529</v>
      </c>
      <c r="H134" s="1396">
        <f ca="1">+'Stmt N'!K306</f>
        <v>45051528.793463767</v>
      </c>
    </row>
    <row r="135" spans="1:8">
      <c r="A135" s="8" t="s">
        <v>864</v>
      </c>
      <c r="B135" s="3">
        <f>B134-C134</f>
        <v>0</v>
      </c>
      <c r="C135" s="896"/>
      <c r="D135" s="896"/>
      <c r="E135" s="896"/>
      <c r="F135" s="3">
        <f ca="1">F134-G134</f>
        <v>0</v>
      </c>
      <c r="G135" s="3">
        <f ca="1">G134-H134</f>
        <v>0.20653623342514038</v>
      </c>
    </row>
    <row r="136" spans="1:8">
      <c r="A136" s="8"/>
      <c r="B136" s="3"/>
      <c r="C136" s="896"/>
      <c r="D136" s="896"/>
      <c r="E136" s="896"/>
      <c r="F136" s="3"/>
      <c r="G136" s="3"/>
    </row>
    <row r="137" spans="1:8">
      <c r="A137" s="72" t="s">
        <v>257</v>
      </c>
      <c r="B137" s="896"/>
      <c r="C137" s="896"/>
      <c r="D137" s="896"/>
      <c r="E137" s="896"/>
      <c r="F137" s="896"/>
      <c r="G137" s="896"/>
    </row>
    <row r="138" spans="1:8">
      <c r="A138" s="8" t="s">
        <v>566</v>
      </c>
      <c r="B138" s="897" t="s">
        <v>801</v>
      </c>
      <c r="C138" s="897" t="s">
        <v>398</v>
      </c>
      <c r="D138" s="896"/>
      <c r="E138" s="896"/>
      <c r="F138" s="897" t="s">
        <v>801</v>
      </c>
      <c r="G138" s="897" t="s">
        <v>398</v>
      </c>
      <c r="H138" s="897" t="s">
        <v>479</v>
      </c>
    </row>
    <row r="139" spans="1:8">
      <c r="A139" s="8" t="s">
        <v>566</v>
      </c>
      <c r="B139" s="1396">
        <f>'Stmt L'!G53</f>
        <v>5875852.5499999989</v>
      </c>
      <c r="C139" s="1396">
        <f>+'Stmt M'!I20</f>
        <v>5875852.5499999989</v>
      </c>
      <c r="D139" s="896"/>
      <c r="E139" s="896"/>
      <c r="F139" s="1396">
        <f>+'Stmt L'!G56</f>
        <v>7045436.4177288767</v>
      </c>
      <c r="G139" s="1396">
        <f>+'Stmt M'!M20</f>
        <v>7045436</v>
      </c>
      <c r="H139" s="1396">
        <f>'Stmt N'!K284</f>
        <v>7045436.4177288758</v>
      </c>
    </row>
    <row r="140" spans="1:8">
      <c r="A140" s="8" t="s">
        <v>864</v>
      </c>
      <c r="B140" s="3">
        <f>B139-C139</f>
        <v>0</v>
      </c>
      <c r="C140" s="896"/>
      <c r="D140" s="896"/>
      <c r="E140" s="896"/>
      <c r="F140" s="3">
        <f>F139-G139</f>
        <v>0.41772887669503689</v>
      </c>
      <c r="G140" s="3">
        <f>G139-H139</f>
        <v>-0.41772887576371431</v>
      </c>
    </row>
    <row r="141" spans="1:8">
      <c r="B141" s="896"/>
      <c r="C141" s="896"/>
      <c r="D141" s="896"/>
      <c r="E141" s="896"/>
      <c r="F141" s="896"/>
      <c r="G141" s="896"/>
    </row>
    <row r="142" spans="1:8">
      <c r="A142" s="8" t="s">
        <v>897</v>
      </c>
      <c r="D142" s="896"/>
      <c r="E142" s="896"/>
      <c r="F142" s="897" t="s">
        <v>801</v>
      </c>
      <c r="G142" s="897" t="s">
        <v>398</v>
      </c>
    </row>
    <row r="143" spans="1:8">
      <c r="A143" s="8" t="s">
        <v>897</v>
      </c>
      <c r="D143" s="896"/>
      <c r="E143" s="896"/>
      <c r="F143" s="1396">
        <f>'Stmt L'!G12+'Stmt L'!G13+'Stmt L'!G18+'Stmt L'!G19+'Stmt L'!G24+'Stmt L'!G25+'Stmt L'!G30+'Stmt L'!G31+'Stmt L'!G36+'Stmt L'!G37+'Stmt L'!G42+'Stmt L'!G43+'Stmt L'!G48+'Stmt L'!G49</f>
        <v>1169583.8677288778</v>
      </c>
      <c r="G143" s="1396">
        <f>+'Stmt M'!K20</f>
        <v>1169583.8677288778</v>
      </c>
    </row>
    <row r="144" spans="1:8">
      <c r="A144" s="8" t="s">
        <v>864</v>
      </c>
      <c r="D144" s="896"/>
      <c r="E144" s="896"/>
      <c r="F144" s="3">
        <f>F143-G143</f>
        <v>0</v>
      </c>
      <c r="G144" s="896"/>
    </row>
    <row r="145" spans="2:7">
      <c r="B145" s="896"/>
      <c r="C145" s="896"/>
      <c r="D145" s="896"/>
      <c r="E145" s="896"/>
      <c r="F145" s="896"/>
      <c r="G145" s="896"/>
    </row>
    <row r="146" spans="2:7">
      <c r="B146" s="896"/>
      <c r="C146" s="896"/>
      <c r="D146" s="896"/>
      <c r="E146" s="896"/>
      <c r="F146" s="896"/>
      <c r="G146" s="896"/>
    </row>
    <row r="147" spans="2:7">
      <c r="B147" s="896"/>
      <c r="C147" s="896"/>
      <c r="D147" s="896"/>
      <c r="E147" s="896"/>
      <c r="F147" s="896"/>
      <c r="G147" s="896"/>
    </row>
    <row r="148" spans="2:7">
      <c r="B148" s="896"/>
      <c r="C148" s="896"/>
      <c r="D148" s="896"/>
      <c r="E148" s="896"/>
      <c r="F148" s="896"/>
      <c r="G148" s="896"/>
    </row>
    <row r="149" spans="2:7">
      <c r="B149" s="896"/>
      <c r="C149" s="896"/>
      <c r="D149" s="896"/>
      <c r="E149" s="896"/>
      <c r="F149" s="896"/>
      <c r="G149" s="896"/>
    </row>
    <row r="150" spans="2:7">
      <c r="B150" s="896"/>
      <c r="C150" s="896"/>
      <c r="D150" s="896"/>
      <c r="E150" s="896"/>
      <c r="F150" s="896"/>
      <c r="G150" s="896"/>
    </row>
    <row r="151" spans="2:7">
      <c r="B151" s="896"/>
      <c r="C151" s="896"/>
      <c r="D151" s="896"/>
      <c r="E151" s="896"/>
      <c r="F151" s="896"/>
      <c r="G151" s="896"/>
    </row>
    <row r="152" spans="2:7">
      <c r="B152" s="896"/>
      <c r="C152" s="896"/>
      <c r="D152" s="896"/>
      <c r="E152" s="896"/>
      <c r="F152" s="896"/>
      <c r="G152" s="896"/>
    </row>
    <row r="153" spans="2:7">
      <c r="B153" s="896"/>
      <c r="C153" s="896"/>
      <c r="D153" s="896"/>
      <c r="E153" s="896"/>
      <c r="F153" s="896"/>
      <c r="G153" s="896"/>
    </row>
    <row r="154" spans="2:7">
      <c r="B154" s="896"/>
      <c r="C154" s="896"/>
      <c r="D154" s="896"/>
      <c r="E154" s="896"/>
      <c r="F154" s="896"/>
      <c r="G154" s="896"/>
    </row>
    <row r="155" spans="2:7">
      <c r="B155" s="896"/>
      <c r="C155" s="896"/>
      <c r="D155" s="896"/>
      <c r="E155" s="896"/>
      <c r="F155" s="896"/>
      <c r="G155" s="896"/>
    </row>
    <row r="156" spans="2:7">
      <c r="B156" s="896"/>
      <c r="C156" s="896"/>
      <c r="D156" s="896"/>
      <c r="E156" s="896"/>
      <c r="F156" s="896"/>
      <c r="G156" s="896"/>
    </row>
    <row r="157" spans="2:7">
      <c r="B157" s="896"/>
      <c r="C157" s="896"/>
      <c r="D157" s="896"/>
      <c r="E157" s="896"/>
      <c r="F157" s="896"/>
      <c r="G157" s="896"/>
    </row>
    <row r="158" spans="2:7">
      <c r="B158" s="896"/>
      <c r="C158" s="896"/>
      <c r="D158" s="896"/>
      <c r="E158" s="896"/>
      <c r="F158" s="896"/>
      <c r="G158" s="896"/>
    </row>
    <row r="159" spans="2:7">
      <c r="B159" s="896"/>
      <c r="C159" s="896"/>
      <c r="D159" s="896"/>
      <c r="E159" s="896"/>
      <c r="F159" s="896"/>
      <c r="G159" s="896"/>
    </row>
    <row r="160" spans="2:7">
      <c r="B160" s="896"/>
      <c r="C160" s="896"/>
      <c r="D160" s="896"/>
      <c r="E160" s="896"/>
      <c r="F160" s="896"/>
      <c r="G160" s="896"/>
    </row>
    <row r="161" spans="2:7">
      <c r="B161" s="896"/>
      <c r="C161" s="896"/>
      <c r="D161" s="896"/>
      <c r="E161" s="896"/>
      <c r="F161" s="896"/>
      <c r="G161" s="896"/>
    </row>
    <row r="162" spans="2:7">
      <c r="B162" s="896"/>
      <c r="C162" s="896"/>
      <c r="D162" s="896"/>
      <c r="E162" s="896"/>
      <c r="F162" s="896"/>
      <c r="G162" s="896"/>
    </row>
    <row r="163" spans="2:7">
      <c r="B163" s="896"/>
      <c r="C163" s="896"/>
      <c r="D163" s="896"/>
      <c r="E163" s="896"/>
      <c r="F163" s="896"/>
      <c r="G163" s="896"/>
    </row>
    <row r="164" spans="2:7">
      <c r="B164" s="896"/>
      <c r="C164" s="896"/>
      <c r="D164" s="896"/>
      <c r="E164" s="896"/>
      <c r="F164" s="896"/>
      <c r="G164" s="896"/>
    </row>
    <row r="165" spans="2:7">
      <c r="B165" s="896"/>
      <c r="C165" s="896"/>
      <c r="D165" s="896"/>
      <c r="E165" s="896"/>
      <c r="F165" s="896"/>
      <c r="G165" s="896"/>
    </row>
    <row r="166" spans="2:7">
      <c r="B166" s="896"/>
      <c r="C166" s="896"/>
      <c r="D166" s="896"/>
      <c r="E166" s="896"/>
      <c r="F166" s="896"/>
      <c r="G166" s="896"/>
    </row>
    <row r="167" spans="2:7">
      <c r="B167" s="896"/>
      <c r="C167" s="896"/>
      <c r="D167" s="896"/>
      <c r="E167" s="896"/>
      <c r="F167" s="896"/>
      <c r="G167" s="896"/>
    </row>
    <row r="168" spans="2:7">
      <c r="B168" s="896"/>
      <c r="C168" s="896"/>
      <c r="D168" s="896"/>
      <c r="E168" s="896"/>
      <c r="F168" s="896"/>
      <c r="G168" s="896"/>
    </row>
    <row r="169" spans="2:7">
      <c r="B169" s="896"/>
      <c r="C169" s="896"/>
      <c r="D169" s="896"/>
      <c r="E169" s="896"/>
      <c r="F169" s="896"/>
      <c r="G169" s="896"/>
    </row>
    <row r="170" spans="2:7">
      <c r="B170" s="896"/>
      <c r="C170" s="896"/>
      <c r="D170" s="896"/>
      <c r="E170" s="896"/>
      <c r="F170" s="896"/>
      <c r="G170" s="896"/>
    </row>
    <row r="171" spans="2:7">
      <c r="B171" s="896"/>
      <c r="C171" s="896"/>
      <c r="D171" s="896"/>
      <c r="E171" s="896"/>
      <c r="F171" s="896"/>
      <c r="G171" s="896"/>
    </row>
    <row r="172" spans="2:7">
      <c r="B172" s="896"/>
      <c r="C172" s="896"/>
      <c r="D172" s="896"/>
      <c r="E172" s="896"/>
      <c r="F172" s="896"/>
      <c r="G172" s="896"/>
    </row>
    <row r="173" spans="2:7">
      <c r="B173" s="896"/>
      <c r="C173" s="896"/>
      <c r="D173" s="896"/>
      <c r="E173" s="896"/>
      <c r="F173" s="896"/>
      <c r="G173" s="896"/>
    </row>
    <row r="174" spans="2:7">
      <c r="B174" s="896"/>
      <c r="C174" s="896"/>
      <c r="D174" s="896"/>
      <c r="E174" s="896"/>
      <c r="F174" s="896"/>
      <c r="G174" s="896"/>
    </row>
    <row r="175" spans="2:7">
      <c r="B175" s="896"/>
      <c r="C175" s="896"/>
      <c r="D175" s="896"/>
      <c r="E175" s="896"/>
      <c r="F175" s="896"/>
      <c r="G175" s="896"/>
    </row>
    <row r="176" spans="2:7">
      <c r="B176" s="896"/>
      <c r="C176" s="896"/>
      <c r="D176" s="896"/>
      <c r="E176" s="896"/>
      <c r="F176" s="896"/>
      <c r="G176" s="896"/>
    </row>
    <row r="177" spans="2:7">
      <c r="B177" s="896"/>
      <c r="C177" s="896"/>
      <c r="D177" s="896"/>
      <c r="E177" s="896"/>
      <c r="F177" s="896"/>
      <c r="G177" s="896"/>
    </row>
    <row r="178" spans="2:7">
      <c r="B178" s="896"/>
      <c r="C178" s="896"/>
      <c r="D178" s="896"/>
      <c r="E178" s="896"/>
      <c r="F178" s="896"/>
      <c r="G178" s="896"/>
    </row>
    <row r="179" spans="2:7">
      <c r="B179" s="896"/>
      <c r="C179" s="896"/>
      <c r="D179" s="896"/>
      <c r="E179" s="896"/>
      <c r="F179" s="896"/>
      <c r="G179" s="896"/>
    </row>
    <row r="180" spans="2:7">
      <c r="B180" s="896"/>
      <c r="C180" s="896"/>
      <c r="D180" s="896"/>
      <c r="E180" s="896"/>
      <c r="F180" s="896"/>
      <c r="G180" s="896"/>
    </row>
    <row r="181" spans="2:7">
      <c r="B181" s="896"/>
      <c r="C181" s="896"/>
      <c r="D181" s="896"/>
      <c r="E181" s="896"/>
      <c r="F181" s="896"/>
      <c r="G181" s="896"/>
    </row>
    <row r="182" spans="2:7">
      <c r="B182" s="896"/>
      <c r="C182" s="896"/>
      <c r="D182" s="896"/>
      <c r="E182" s="896"/>
      <c r="F182" s="896"/>
      <c r="G182" s="896"/>
    </row>
    <row r="183" spans="2:7">
      <c r="B183" s="896"/>
      <c r="C183" s="896"/>
      <c r="D183" s="896"/>
      <c r="E183" s="896"/>
      <c r="F183" s="896"/>
      <c r="G183" s="896"/>
    </row>
    <row r="184" spans="2:7">
      <c r="B184" s="896"/>
      <c r="C184" s="896"/>
      <c r="D184" s="896"/>
      <c r="E184" s="896"/>
      <c r="F184" s="896"/>
      <c r="G184" s="896"/>
    </row>
    <row r="185" spans="2:7">
      <c r="B185" s="896"/>
      <c r="C185" s="896"/>
      <c r="D185" s="896"/>
      <c r="E185" s="896"/>
      <c r="F185" s="896"/>
      <c r="G185" s="896"/>
    </row>
    <row r="186" spans="2:7">
      <c r="B186" s="896"/>
      <c r="C186" s="896"/>
      <c r="D186" s="896"/>
      <c r="E186" s="896"/>
      <c r="F186" s="896"/>
      <c r="G186" s="896"/>
    </row>
    <row r="187" spans="2:7">
      <c r="B187" s="896"/>
      <c r="C187" s="896"/>
      <c r="D187" s="896"/>
      <c r="E187" s="896"/>
      <c r="F187" s="896"/>
      <c r="G187" s="896"/>
    </row>
    <row r="188" spans="2:7">
      <c r="B188" s="896"/>
      <c r="C188" s="896"/>
      <c r="D188" s="896"/>
      <c r="E188" s="896"/>
      <c r="F188" s="896"/>
      <c r="G188" s="896"/>
    </row>
    <row r="189" spans="2:7">
      <c r="B189" s="896"/>
      <c r="C189" s="896"/>
      <c r="D189" s="896"/>
      <c r="E189" s="896"/>
      <c r="F189" s="896"/>
      <c r="G189" s="896"/>
    </row>
    <row r="190" spans="2:7">
      <c r="B190" s="896"/>
      <c r="C190" s="896"/>
      <c r="D190" s="896"/>
      <c r="E190" s="896"/>
      <c r="F190" s="896"/>
      <c r="G190" s="896"/>
    </row>
    <row r="191" spans="2:7">
      <c r="B191" s="896"/>
      <c r="C191" s="896"/>
      <c r="D191" s="896"/>
      <c r="E191" s="896"/>
      <c r="F191" s="896"/>
      <c r="G191" s="896"/>
    </row>
    <row r="192" spans="2:7">
      <c r="B192" s="896"/>
      <c r="C192" s="896"/>
      <c r="D192" s="896"/>
      <c r="E192" s="896"/>
      <c r="F192" s="896"/>
      <c r="G192" s="896"/>
    </row>
    <row r="193" spans="2:7">
      <c r="B193" s="896"/>
      <c r="C193" s="896"/>
      <c r="D193" s="896"/>
      <c r="E193" s="896"/>
      <c r="F193" s="896"/>
      <c r="G193" s="896"/>
    </row>
    <row r="194" spans="2:7">
      <c r="B194" s="896"/>
      <c r="C194" s="896"/>
      <c r="D194" s="896"/>
      <c r="E194" s="896"/>
      <c r="F194" s="896"/>
      <c r="G194" s="896"/>
    </row>
    <row r="195" spans="2:7">
      <c r="B195" s="896"/>
      <c r="C195" s="896"/>
      <c r="D195" s="896"/>
      <c r="E195" s="896"/>
      <c r="F195" s="896"/>
      <c r="G195" s="896"/>
    </row>
    <row r="196" spans="2:7">
      <c r="B196" s="896"/>
      <c r="C196" s="896"/>
      <c r="D196" s="896"/>
      <c r="E196" s="896"/>
      <c r="F196" s="896"/>
      <c r="G196" s="896"/>
    </row>
    <row r="197" spans="2:7">
      <c r="B197" s="896"/>
      <c r="C197" s="896"/>
      <c r="D197" s="896"/>
      <c r="E197" s="896"/>
      <c r="F197" s="896"/>
      <c r="G197" s="896"/>
    </row>
    <row r="198" spans="2:7">
      <c r="B198" s="896"/>
      <c r="C198" s="896"/>
      <c r="D198" s="896"/>
      <c r="E198" s="896"/>
      <c r="F198" s="896"/>
      <c r="G198" s="896"/>
    </row>
    <row r="199" spans="2:7">
      <c r="B199" s="896"/>
      <c r="C199" s="896"/>
      <c r="D199" s="896"/>
      <c r="E199" s="896"/>
      <c r="F199" s="896"/>
      <c r="G199" s="896"/>
    </row>
    <row r="200" spans="2:7">
      <c r="B200" s="896"/>
      <c r="C200" s="896"/>
      <c r="D200" s="896"/>
      <c r="E200" s="896"/>
      <c r="F200" s="896"/>
      <c r="G200" s="896"/>
    </row>
    <row r="201" spans="2:7">
      <c r="B201" s="896"/>
      <c r="C201" s="896"/>
      <c r="D201" s="896"/>
      <c r="E201" s="896"/>
      <c r="F201" s="896"/>
      <c r="G201" s="896"/>
    </row>
    <row r="202" spans="2:7">
      <c r="B202" s="896"/>
      <c r="C202" s="896"/>
      <c r="D202" s="896"/>
      <c r="E202" s="896"/>
      <c r="F202" s="896"/>
      <c r="G202" s="896"/>
    </row>
    <row r="203" spans="2:7">
      <c r="B203" s="896"/>
      <c r="C203" s="896"/>
      <c r="D203" s="896"/>
      <c r="E203" s="896"/>
      <c r="F203" s="896"/>
      <c r="G203" s="896"/>
    </row>
    <row r="204" spans="2:7">
      <c r="B204" s="896"/>
      <c r="C204" s="896"/>
      <c r="D204" s="896"/>
      <c r="E204" s="896"/>
      <c r="F204" s="896"/>
      <c r="G204" s="896"/>
    </row>
    <row r="205" spans="2:7">
      <c r="B205" s="896"/>
      <c r="C205" s="896"/>
      <c r="D205" s="896"/>
      <c r="E205" s="896"/>
      <c r="F205" s="896"/>
      <c r="G205" s="896"/>
    </row>
    <row r="206" spans="2:7">
      <c r="B206" s="896"/>
      <c r="C206" s="896"/>
      <c r="D206" s="896"/>
      <c r="E206" s="896"/>
      <c r="F206" s="896"/>
      <c r="G206" s="896"/>
    </row>
    <row r="207" spans="2:7">
      <c r="B207" s="896"/>
      <c r="C207" s="896"/>
      <c r="D207" s="896"/>
      <c r="E207" s="896"/>
      <c r="F207" s="896"/>
      <c r="G207" s="896"/>
    </row>
    <row r="208" spans="2:7">
      <c r="B208" s="896"/>
      <c r="C208" s="896"/>
      <c r="D208" s="896"/>
      <c r="E208" s="896"/>
      <c r="F208" s="896"/>
      <c r="G208" s="896"/>
    </row>
    <row r="209" spans="2:7">
      <c r="B209" s="896"/>
      <c r="C209" s="896"/>
      <c r="D209" s="896"/>
      <c r="E209" s="896"/>
      <c r="F209" s="896"/>
      <c r="G209" s="896"/>
    </row>
    <row r="210" spans="2:7">
      <c r="B210" s="896"/>
      <c r="C210" s="896"/>
      <c r="D210" s="896"/>
      <c r="E210" s="896"/>
      <c r="F210" s="896"/>
      <c r="G210" s="896"/>
    </row>
    <row r="211" spans="2:7">
      <c r="B211" s="896"/>
      <c r="C211" s="896"/>
      <c r="D211" s="896"/>
      <c r="E211" s="896"/>
      <c r="F211" s="896"/>
      <c r="G211" s="896"/>
    </row>
    <row r="212" spans="2:7">
      <c r="B212" s="896"/>
      <c r="C212" s="896"/>
      <c r="D212" s="896"/>
      <c r="E212" s="896"/>
      <c r="F212" s="896"/>
      <c r="G212" s="896"/>
    </row>
    <row r="213" spans="2:7">
      <c r="B213" s="896"/>
      <c r="C213" s="896"/>
      <c r="D213" s="896"/>
      <c r="E213" s="896"/>
      <c r="F213" s="896"/>
      <c r="G213" s="896"/>
    </row>
    <row r="214" spans="2:7">
      <c r="B214" s="896"/>
      <c r="C214" s="896"/>
      <c r="D214" s="896"/>
      <c r="E214" s="896"/>
      <c r="F214" s="896"/>
      <c r="G214" s="896"/>
    </row>
    <row r="215" spans="2:7">
      <c r="B215" s="896"/>
      <c r="C215" s="896"/>
      <c r="D215" s="896"/>
      <c r="E215" s="896"/>
      <c r="F215" s="896"/>
      <c r="G215" s="896"/>
    </row>
    <row r="216" spans="2:7">
      <c r="B216" s="896"/>
      <c r="C216" s="896"/>
      <c r="D216" s="896"/>
      <c r="E216" s="896"/>
      <c r="F216" s="896"/>
      <c r="G216" s="896"/>
    </row>
  </sheetData>
  <mergeCells count="2">
    <mergeCell ref="B2:D2"/>
    <mergeCell ref="F2:H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O50"/>
  <sheetViews>
    <sheetView workbookViewId="0"/>
  </sheetViews>
  <sheetFormatPr defaultColWidth="10.6640625" defaultRowHeight="12.75" zeroHeight="1"/>
  <cols>
    <col min="1" max="1" width="6.83203125" style="86" customWidth="1"/>
    <col min="2" max="2" width="43" style="85" bestFit="1" customWidth="1"/>
    <col min="3" max="3" width="3.33203125" style="85" customWidth="1"/>
    <col min="4" max="4" width="19.1640625" style="86" bestFit="1" customWidth="1"/>
    <col min="5" max="5" width="3.33203125" style="86" customWidth="1"/>
    <col min="6" max="6" width="24.83203125" style="85" bestFit="1" customWidth="1"/>
    <col min="7" max="7" width="2.33203125" style="85" customWidth="1"/>
    <col min="8" max="8" width="4.1640625" style="85" customWidth="1"/>
    <col min="9" max="11" width="18.83203125" style="85" customWidth="1"/>
    <col min="12" max="16384" width="10.6640625" style="85"/>
  </cols>
  <sheetData>
    <row r="1" spans="1:11" ht="14.25" customHeight="1">
      <c r="A1" s="69" t="str">
        <f>Company</f>
        <v>BLACK HILLS NEBRASKA GAS, LLC</v>
      </c>
      <c r="B1" s="69"/>
      <c r="C1" s="69"/>
      <c r="D1" s="69"/>
      <c r="E1" s="69"/>
      <c r="F1" s="72" t="str">
        <f>Attach</f>
        <v>FINAL - BH January 15, 2021 Rev. Req. Model</v>
      </c>
      <c r="G1" s="30"/>
    </row>
    <row r="2" spans="1:11" ht="14.25" customHeight="1">
      <c r="A2" s="69" t="s">
        <v>329</v>
      </c>
      <c r="B2" s="69"/>
      <c r="C2" s="69"/>
      <c r="D2" s="69"/>
      <c r="E2" s="69"/>
      <c r="F2" s="72" t="s">
        <v>362</v>
      </c>
      <c r="G2" s="30"/>
    </row>
    <row r="3" spans="1:11">
      <c r="A3" s="1" t="str">
        <f>References!B2</f>
        <v>FOR THE BASE YEAR ENDED DECEMBER 31, 2019</v>
      </c>
      <c r="F3" s="73"/>
    </row>
    <row r="4" spans="1:11">
      <c r="A4" s="1375"/>
    </row>
    <row r="5" spans="1:11">
      <c r="A5" s="68" t="s">
        <v>59</v>
      </c>
      <c r="B5" s="30"/>
      <c r="C5" s="30"/>
      <c r="D5" s="68"/>
      <c r="E5" s="68"/>
      <c r="F5" s="15"/>
      <c r="G5" s="86"/>
      <c r="H5" s="130">
        <v>1</v>
      </c>
      <c r="I5" s="86" t="str">
        <f>References!$C$17</f>
        <v>Exhibit No. MCC-2 NEG</v>
      </c>
      <c r="J5" s="86" t="str">
        <f>References!$D$17</f>
        <v>Exhibit No. MCC-2 NEGD</v>
      </c>
      <c r="K5" s="86" t="str">
        <f>References!$E$17</f>
        <v>FINAL - BH January 15, 2021 Rev. Req. Model</v>
      </c>
    </row>
    <row r="6" spans="1:11">
      <c r="A6" s="427" t="s">
        <v>195</v>
      </c>
      <c r="B6" s="427" t="s">
        <v>196</v>
      </c>
      <c r="C6" s="428"/>
      <c r="D6" s="125" t="s">
        <v>285</v>
      </c>
      <c r="E6" s="429"/>
      <c r="F6" s="435">
        <v>43830</v>
      </c>
      <c r="G6" s="102"/>
      <c r="H6" s="130">
        <f>H5+1</f>
        <v>2</v>
      </c>
      <c r="I6" s="913" t="s">
        <v>955</v>
      </c>
      <c r="J6" s="913" t="s">
        <v>958</v>
      </c>
      <c r="K6" s="913" t="s">
        <v>347</v>
      </c>
    </row>
    <row r="7" spans="1:11">
      <c r="H7" s="130">
        <f t="shared" ref="H7:H40" si="0">H6+1</f>
        <v>3</v>
      </c>
      <c r="I7" s="914"/>
      <c r="J7" s="914"/>
      <c r="K7" s="914"/>
    </row>
    <row r="8" spans="1:11">
      <c r="A8" s="477">
        <v>1</v>
      </c>
      <c r="B8" s="478" t="s">
        <v>149</v>
      </c>
      <c r="C8" s="478"/>
      <c r="D8" s="469" t="s">
        <v>579</v>
      </c>
      <c r="E8" s="85"/>
      <c r="F8" s="353">
        <f>HLOOKUP(Attach,$I$5:$K$40,H8,FALSE)</f>
        <v>145980107.66</v>
      </c>
      <c r="G8" s="54"/>
      <c r="H8" s="130">
        <f t="shared" si="0"/>
        <v>4</v>
      </c>
      <c r="I8" s="931">
        <f>145979655.67+256.53</f>
        <v>145979912.19999999</v>
      </c>
      <c r="J8" s="934">
        <f>-45620.12+37799.73+7155.21+469.72+390.92</f>
        <v>195.46000000000066</v>
      </c>
      <c r="K8" s="935">
        <f t="shared" ref="K8:K40" si="1">SUM(I8:J8)</f>
        <v>145980107.66</v>
      </c>
    </row>
    <row r="9" spans="1:11">
      <c r="A9" s="477">
        <v>2</v>
      </c>
      <c r="B9" s="478" t="s">
        <v>154</v>
      </c>
      <c r="C9" s="478"/>
      <c r="D9" s="469" t="s">
        <v>639</v>
      </c>
      <c r="E9" s="85"/>
      <c r="F9" s="687">
        <f>HLOOKUP(Attach,$I$5:$K$40,H9,FALSE)</f>
        <v>72924105.570000008</v>
      </c>
      <c r="G9" s="54"/>
      <c r="H9" s="130">
        <f t="shared" si="0"/>
        <v>5</v>
      </c>
      <c r="I9" s="982">
        <v>16371378.200000003</v>
      </c>
      <c r="J9" s="933">
        <f>56598347.49-37799.73-7155.21-665.18</f>
        <v>56552727.370000005</v>
      </c>
      <c r="K9" s="936">
        <f t="shared" si="1"/>
        <v>72924105.570000008</v>
      </c>
    </row>
    <row r="10" spans="1:11">
      <c r="A10" s="477">
        <v>3</v>
      </c>
      <c r="B10" s="479" t="s">
        <v>155</v>
      </c>
      <c r="C10" s="479"/>
      <c r="D10" s="469"/>
      <c r="E10" s="85"/>
      <c r="F10" s="361">
        <f>SUM(F8:F9)</f>
        <v>218904213.23000002</v>
      </c>
      <c r="G10" s="54"/>
      <c r="H10" s="130">
        <f t="shared" si="0"/>
        <v>6</v>
      </c>
      <c r="I10" s="935">
        <f>SUM(I8:I9)</f>
        <v>162351290.39999998</v>
      </c>
      <c r="J10" s="935">
        <f>SUM(J8:J9)</f>
        <v>56552922.830000006</v>
      </c>
      <c r="K10" s="935">
        <f t="shared" si="1"/>
        <v>218904213.22999999</v>
      </c>
    </row>
    <row r="11" spans="1:11">
      <c r="A11" s="477">
        <v>4</v>
      </c>
      <c r="B11" s="478"/>
      <c r="C11" s="478"/>
      <c r="D11" s="469"/>
      <c r="E11" s="85"/>
      <c r="F11" s="361"/>
      <c r="G11" s="54"/>
      <c r="H11" s="130">
        <f t="shared" si="0"/>
        <v>7</v>
      </c>
      <c r="I11" s="915"/>
      <c r="J11" s="790"/>
      <c r="K11" s="935"/>
    </row>
    <row r="12" spans="1:11">
      <c r="A12" s="477">
        <v>5</v>
      </c>
      <c r="B12" s="82"/>
      <c r="C12" s="82"/>
      <c r="D12" s="469"/>
      <c r="E12" s="85"/>
      <c r="F12" s="361"/>
      <c r="G12" s="54"/>
      <c r="H12" s="130">
        <f t="shared" si="0"/>
        <v>8</v>
      </c>
      <c r="I12" s="915"/>
      <c r="J12" s="82"/>
      <c r="K12" s="935"/>
    </row>
    <row r="13" spans="1:11">
      <c r="A13" s="477">
        <v>6</v>
      </c>
      <c r="B13" s="480" t="s">
        <v>580</v>
      </c>
      <c r="C13" s="478"/>
      <c r="D13" s="469" t="s">
        <v>581</v>
      </c>
      <c r="E13" s="85"/>
      <c r="F13" s="353">
        <f t="shared" ref="F13:F22" si="2">HLOOKUP(Attach,$I$5:$K$40,H13,FALSE)</f>
        <v>0</v>
      </c>
      <c r="G13" s="54"/>
      <c r="H13" s="130">
        <f t="shared" si="0"/>
        <v>9</v>
      </c>
      <c r="I13" s="983">
        <v>0</v>
      </c>
      <c r="J13" s="984">
        <v>0</v>
      </c>
      <c r="K13" s="935">
        <f t="shared" si="1"/>
        <v>0</v>
      </c>
    </row>
    <row r="14" spans="1:11">
      <c r="A14" s="477">
        <v>7</v>
      </c>
      <c r="B14" s="481" t="s">
        <v>392</v>
      </c>
      <c r="C14" s="478"/>
      <c r="D14" s="469" t="s">
        <v>582</v>
      </c>
      <c r="E14" s="85"/>
      <c r="F14" s="688">
        <f t="shared" si="2"/>
        <v>75525851.089999989</v>
      </c>
      <c r="G14" s="54"/>
      <c r="H14" s="130">
        <f t="shared" si="0"/>
        <v>10</v>
      </c>
      <c r="I14" s="983">
        <v>75525851.099999994</v>
      </c>
      <c r="J14" s="984">
        <v>-0.01</v>
      </c>
      <c r="K14" s="935">
        <f t="shared" si="1"/>
        <v>75525851.089999989</v>
      </c>
    </row>
    <row r="15" spans="1:11">
      <c r="A15" s="477">
        <v>8</v>
      </c>
      <c r="B15" s="480" t="s">
        <v>583</v>
      </c>
      <c r="C15" s="478"/>
      <c r="D15" s="469" t="s">
        <v>584</v>
      </c>
      <c r="E15" s="85"/>
      <c r="F15" s="688">
        <f t="shared" si="2"/>
        <v>0</v>
      </c>
      <c r="G15" s="54"/>
      <c r="H15" s="130">
        <f t="shared" si="0"/>
        <v>11</v>
      </c>
      <c r="I15" s="983">
        <v>0</v>
      </c>
      <c r="J15" s="984">
        <v>0</v>
      </c>
      <c r="K15" s="935">
        <f t="shared" si="1"/>
        <v>0</v>
      </c>
    </row>
    <row r="16" spans="1:11">
      <c r="A16" s="477">
        <v>9</v>
      </c>
      <c r="B16" s="480" t="s">
        <v>585</v>
      </c>
      <c r="C16" s="478"/>
      <c r="D16" s="469" t="s">
        <v>586</v>
      </c>
      <c r="E16" s="85"/>
      <c r="F16" s="688">
        <f t="shared" si="2"/>
        <v>0</v>
      </c>
      <c r="G16" s="54"/>
      <c r="H16" s="130">
        <f t="shared" si="0"/>
        <v>12</v>
      </c>
      <c r="I16" s="983">
        <v>0</v>
      </c>
      <c r="J16" s="984">
        <v>0</v>
      </c>
      <c r="K16" s="935">
        <f t="shared" si="1"/>
        <v>0</v>
      </c>
    </row>
    <row r="17" spans="1:14">
      <c r="A17" s="477">
        <v>10</v>
      </c>
      <c r="B17" s="478" t="s">
        <v>243</v>
      </c>
      <c r="C17" s="478"/>
      <c r="D17" s="469" t="s">
        <v>587</v>
      </c>
      <c r="E17" s="85"/>
      <c r="F17" s="688">
        <f t="shared" si="2"/>
        <v>365205.6100000001</v>
      </c>
      <c r="G17" s="54"/>
      <c r="H17" s="130">
        <f t="shared" si="0"/>
        <v>13</v>
      </c>
      <c r="I17" s="983">
        <v>365205.6100000001</v>
      </c>
      <c r="J17" s="984">
        <v>0</v>
      </c>
      <c r="K17" s="935">
        <f t="shared" si="1"/>
        <v>365205.6100000001</v>
      </c>
    </row>
    <row r="18" spans="1:14">
      <c r="A18" s="477">
        <v>11</v>
      </c>
      <c r="B18" s="478" t="s">
        <v>244</v>
      </c>
      <c r="C18" s="478"/>
      <c r="D18" s="469" t="s">
        <v>588</v>
      </c>
      <c r="E18" s="85"/>
      <c r="F18" s="688">
        <f t="shared" si="2"/>
        <v>27047945.5</v>
      </c>
      <c r="G18" s="54"/>
      <c r="H18" s="130">
        <f t="shared" si="0"/>
        <v>14</v>
      </c>
      <c r="I18" s="983">
        <v>14196430.210000005</v>
      </c>
      <c r="J18" s="984">
        <v>12851515.289999997</v>
      </c>
      <c r="K18" s="935">
        <f t="shared" si="1"/>
        <v>27047945.5</v>
      </c>
    </row>
    <row r="19" spans="1:14">
      <c r="A19" s="477">
        <v>12</v>
      </c>
      <c r="B19" s="478" t="s">
        <v>108</v>
      </c>
      <c r="C19" s="478"/>
      <c r="D19" s="469" t="s">
        <v>589</v>
      </c>
      <c r="E19" s="85"/>
      <c r="F19" s="688">
        <f t="shared" si="2"/>
        <v>7364059.5600000005</v>
      </c>
      <c r="G19" s="54"/>
      <c r="H19" s="130">
        <f t="shared" si="0"/>
        <v>15</v>
      </c>
      <c r="I19" s="983">
        <v>4892016.1300000008</v>
      </c>
      <c r="J19" s="984">
        <v>2472043.4300000002</v>
      </c>
      <c r="K19" s="935">
        <f t="shared" si="1"/>
        <v>7364059.5600000005</v>
      </c>
    </row>
    <row r="20" spans="1:14">
      <c r="A20" s="477">
        <v>13</v>
      </c>
      <c r="B20" s="478" t="s">
        <v>109</v>
      </c>
      <c r="C20" s="478"/>
      <c r="D20" s="469" t="s">
        <v>590</v>
      </c>
      <c r="E20" s="85"/>
      <c r="F20" s="688">
        <f t="shared" si="2"/>
        <v>255757.21000000002</v>
      </c>
      <c r="G20" s="54"/>
      <c r="H20" s="130">
        <f t="shared" si="0"/>
        <v>16</v>
      </c>
      <c r="I20" s="983">
        <v>179881.07</v>
      </c>
      <c r="J20" s="984">
        <v>75876.14</v>
      </c>
      <c r="K20" s="935">
        <f t="shared" si="1"/>
        <v>255757.21000000002</v>
      </c>
    </row>
    <row r="21" spans="1:14">
      <c r="A21" s="477">
        <v>14</v>
      </c>
      <c r="B21" s="478" t="s">
        <v>110</v>
      </c>
      <c r="C21" s="478"/>
      <c r="D21" s="469" t="s">
        <v>591</v>
      </c>
      <c r="E21" s="85"/>
      <c r="F21" s="688">
        <f t="shared" si="2"/>
        <v>561523.5</v>
      </c>
      <c r="G21" s="54"/>
      <c r="H21" s="130">
        <f t="shared" si="0"/>
        <v>17</v>
      </c>
      <c r="I21" s="983">
        <v>296804.62</v>
      </c>
      <c r="J21" s="984">
        <v>264718.88</v>
      </c>
      <c r="K21" s="935">
        <f t="shared" si="1"/>
        <v>561523.5</v>
      </c>
    </row>
    <row r="22" spans="1:14">
      <c r="A22" s="477">
        <v>15</v>
      </c>
      <c r="B22" s="478" t="s">
        <v>95</v>
      </c>
      <c r="C22" s="478"/>
      <c r="D22" s="469" t="s">
        <v>833</v>
      </c>
      <c r="E22" s="85"/>
      <c r="F22" s="687">
        <f t="shared" si="2"/>
        <v>31946970.650000002</v>
      </c>
      <c r="G22" s="54"/>
      <c r="H22" s="130">
        <f t="shared" si="0"/>
        <v>18</v>
      </c>
      <c r="I22" s="982">
        <f>18295535.21+256.53</f>
        <v>18295791.740000002</v>
      </c>
      <c r="J22" s="933">
        <f>13650983.45+195.46</f>
        <v>13651178.91</v>
      </c>
      <c r="K22" s="936">
        <f t="shared" si="1"/>
        <v>31946970.650000002</v>
      </c>
    </row>
    <row r="23" spans="1:14">
      <c r="A23" s="477">
        <v>16</v>
      </c>
      <c r="B23" s="479" t="s">
        <v>96</v>
      </c>
      <c r="C23" s="479"/>
      <c r="D23" s="469"/>
      <c r="E23" s="85"/>
      <c r="F23" s="361">
        <f>SUM(F13:F22)</f>
        <v>143067313.11999997</v>
      </c>
      <c r="G23" s="54"/>
      <c r="H23" s="130">
        <f t="shared" si="0"/>
        <v>19</v>
      </c>
      <c r="I23" s="935">
        <f>SUM(I13:I22)</f>
        <v>113751980.47999999</v>
      </c>
      <c r="J23" s="935">
        <f>SUM(J13:J22)</f>
        <v>29315332.640000001</v>
      </c>
      <c r="K23" s="935">
        <f t="shared" si="1"/>
        <v>143067313.12</v>
      </c>
    </row>
    <row r="24" spans="1:14">
      <c r="A24" s="477">
        <v>17</v>
      </c>
      <c r="B24" s="479"/>
      <c r="C24" s="479"/>
      <c r="D24" s="469"/>
      <c r="E24" s="85"/>
      <c r="F24" s="454"/>
      <c r="G24" s="54"/>
      <c r="H24" s="130">
        <f t="shared" si="0"/>
        <v>20</v>
      </c>
      <c r="I24" s="915"/>
      <c r="J24" s="790"/>
      <c r="K24" s="935"/>
    </row>
    <row r="25" spans="1:14">
      <c r="A25" s="477">
        <v>18</v>
      </c>
      <c r="B25" s="478" t="s">
        <v>97</v>
      </c>
      <c r="C25" s="478"/>
      <c r="D25" s="469" t="s">
        <v>645</v>
      </c>
      <c r="E25" s="85"/>
      <c r="F25" s="353">
        <f>HLOOKUP(Attach,$I$5:$K$40,H25,FALSE)</f>
        <v>24036686.740000002</v>
      </c>
      <c r="G25" s="54"/>
      <c r="H25" s="130">
        <f t="shared" si="0"/>
        <v>21</v>
      </c>
      <c r="I25" s="983">
        <v>13519562.000000002</v>
      </c>
      <c r="J25" s="984">
        <v>10517124.74</v>
      </c>
      <c r="K25" s="935">
        <f t="shared" si="1"/>
        <v>24036686.740000002</v>
      </c>
      <c r="N25" s="137"/>
    </row>
    <row r="26" spans="1:14">
      <c r="A26" s="477">
        <v>19</v>
      </c>
      <c r="B26" s="478" t="s">
        <v>98</v>
      </c>
      <c r="C26" s="478"/>
      <c r="D26" s="469">
        <v>408.1</v>
      </c>
      <c r="E26" s="85"/>
      <c r="F26" s="687">
        <f>HLOOKUP(Attach,$I$5:$K$40,H26,FALSE)</f>
        <v>5875852.5500000007</v>
      </c>
      <c r="G26" s="54"/>
      <c r="H26" s="130">
        <f t="shared" si="0"/>
        <v>22</v>
      </c>
      <c r="I26" s="982">
        <v>3091483.5100000007</v>
      </c>
      <c r="J26" s="933">
        <v>2784369.04</v>
      </c>
      <c r="K26" s="936">
        <f t="shared" si="1"/>
        <v>5875852.5500000007</v>
      </c>
    </row>
    <row r="27" spans="1:14">
      <c r="A27" s="477">
        <v>20</v>
      </c>
      <c r="B27" s="479" t="s">
        <v>155</v>
      </c>
      <c r="C27" s="479"/>
      <c r="D27" s="469"/>
      <c r="E27" s="85"/>
      <c r="F27" s="361">
        <f>SUM(F25:F26)</f>
        <v>29912539.290000003</v>
      </c>
      <c r="G27" s="54"/>
      <c r="H27" s="130">
        <f t="shared" si="0"/>
        <v>23</v>
      </c>
      <c r="I27" s="935">
        <f>SUM(I25:I26)</f>
        <v>16611045.510000002</v>
      </c>
      <c r="J27" s="935">
        <f>SUM(J25:J26)</f>
        <v>13301493.780000001</v>
      </c>
      <c r="K27" s="935">
        <f t="shared" si="1"/>
        <v>29912539.290000003</v>
      </c>
    </row>
    <row r="28" spans="1:14">
      <c r="A28" s="477">
        <v>21</v>
      </c>
      <c r="B28" s="478"/>
      <c r="C28" s="478"/>
      <c r="D28" s="469"/>
      <c r="E28" s="85"/>
      <c r="F28" s="361"/>
      <c r="G28" s="19"/>
      <c r="H28" s="130">
        <f t="shared" si="0"/>
        <v>24</v>
      </c>
      <c r="I28" s="915"/>
      <c r="J28" s="790"/>
      <c r="K28" s="935"/>
    </row>
    <row r="29" spans="1:14">
      <c r="A29" s="477">
        <v>22</v>
      </c>
      <c r="B29" s="479" t="s">
        <v>99</v>
      </c>
      <c r="C29" s="479"/>
      <c r="D29" s="477" t="s">
        <v>677</v>
      </c>
      <c r="E29" s="85"/>
      <c r="F29" s="361">
        <f>+F10-F23-F27</f>
        <v>45924360.820000038</v>
      </c>
      <c r="G29" s="19"/>
      <c r="H29" s="130">
        <f t="shared" si="0"/>
        <v>25</v>
      </c>
      <c r="I29" s="935">
        <f>+I10-I23-I27</f>
        <v>31988264.409999985</v>
      </c>
      <c r="J29" s="935">
        <f>+J10-J23-J27</f>
        <v>13936096.410000004</v>
      </c>
      <c r="K29" s="935">
        <f t="shared" si="1"/>
        <v>45924360.819999993</v>
      </c>
    </row>
    <row r="30" spans="1:14">
      <c r="A30" s="477">
        <v>23</v>
      </c>
      <c r="B30" s="478"/>
      <c r="C30" s="478"/>
      <c r="D30" s="469"/>
      <c r="E30" s="85"/>
      <c r="F30" s="361"/>
      <c r="G30" s="54"/>
      <c r="H30" s="130">
        <f t="shared" si="0"/>
        <v>26</v>
      </c>
      <c r="I30" s="915"/>
      <c r="J30" s="790"/>
      <c r="K30" s="935"/>
    </row>
    <row r="31" spans="1:14">
      <c r="A31" s="477">
        <v>24</v>
      </c>
      <c r="B31" s="478" t="s">
        <v>648</v>
      </c>
      <c r="C31" s="478"/>
      <c r="D31" s="469" t="s">
        <v>1334</v>
      </c>
      <c r="E31" s="85"/>
      <c r="F31" s="353">
        <f>HLOOKUP(Attach,$I$5:$K$40,H31,FALSE)</f>
        <v>3969388.2899999982</v>
      </c>
      <c r="G31" s="54"/>
      <c r="H31" s="130">
        <f t="shared" si="0"/>
        <v>27</v>
      </c>
      <c r="I31" s="983">
        <v>1000199.1999999979</v>
      </c>
      <c r="J31" s="984">
        <v>2969189.0900000003</v>
      </c>
      <c r="K31" s="935">
        <f t="shared" si="1"/>
        <v>3969388.2899999982</v>
      </c>
      <c r="N31" s="137"/>
    </row>
    <row r="32" spans="1:14">
      <c r="A32" s="477">
        <v>25</v>
      </c>
      <c r="B32" s="478" t="s">
        <v>100</v>
      </c>
      <c r="C32" s="478"/>
      <c r="D32" s="469" t="s">
        <v>854</v>
      </c>
      <c r="E32" s="85"/>
      <c r="F32" s="688">
        <f>HLOOKUP(Attach,$I$5:$K$40,H32,FALSE)</f>
        <v>-19320605.670000002</v>
      </c>
      <c r="G32" s="54"/>
      <c r="H32" s="130">
        <f t="shared" si="0"/>
        <v>28</v>
      </c>
      <c r="I32" s="983">
        <v>-7392524.2300000004</v>
      </c>
      <c r="J32" s="984">
        <v>-11928081.439999999</v>
      </c>
      <c r="K32" s="935">
        <f t="shared" si="1"/>
        <v>-19320605.670000002</v>
      </c>
    </row>
    <row r="33" spans="1:15">
      <c r="A33" s="477">
        <v>26</v>
      </c>
      <c r="B33" s="478" t="s">
        <v>101</v>
      </c>
      <c r="C33" s="478"/>
      <c r="D33" s="469">
        <v>432</v>
      </c>
      <c r="E33" s="85"/>
      <c r="F33" s="687">
        <f>HLOOKUP(Attach,$I$5:$K$40,H33,FALSE)</f>
        <v>1088103.67</v>
      </c>
      <c r="G33" s="54"/>
      <c r="H33" s="130">
        <f t="shared" si="0"/>
        <v>29</v>
      </c>
      <c r="I33" s="982">
        <v>710201.59000000008</v>
      </c>
      <c r="J33" s="933">
        <v>377902.07999999996</v>
      </c>
      <c r="K33" s="936">
        <f t="shared" si="1"/>
        <v>1088103.67</v>
      </c>
    </row>
    <row r="34" spans="1:15">
      <c r="A34" s="477">
        <v>27</v>
      </c>
      <c r="B34" s="479" t="s">
        <v>102</v>
      </c>
      <c r="C34" s="479"/>
      <c r="D34" s="469" t="s">
        <v>939</v>
      </c>
      <c r="E34" s="85"/>
      <c r="F34" s="361">
        <f>SUM(F31:F33)</f>
        <v>-14263113.710000003</v>
      </c>
      <c r="G34" s="54"/>
      <c r="H34" s="130">
        <f t="shared" si="0"/>
        <v>30</v>
      </c>
      <c r="I34" s="935">
        <f>SUM(I31:I33)</f>
        <v>-5682123.4400000032</v>
      </c>
      <c r="J34" s="935">
        <f>SUM(J31:J33)</f>
        <v>-8580990.2699999996</v>
      </c>
      <c r="K34" s="935">
        <f t="shared" si="1"/>
        <v>-14263113.710000003</v>
      </c>
    </row>
    <row r="35" spans="1:15">
      <c r="A35" s="477">
        <v>28</v>
      </c>
      <c r="B35" s="478"/>
      <c r="C35" s="478"/>
      <c r="D35" s="469"/>
      <c r="E35" s="85"/>
      <c r="F35" s="361"/>
      <c r="G35" s="54"/>
      <c r="H35" s="130">
        <f t="shared" si="0"/>
        <v>31</v>
      </c>
      <c r="I35" s="915"/>
      <c r="J35" s="790"/>
      <c r="K35" s="935"/>
    </row>
    <row r="36" spans="1:15">
      <c r="A36" s="477">
        <v>29</v>
      </c>
      <c r="B36" s="482" t="s">
        <v>225</v>
      </c>
      <c r="C36" s="482"/>
      <c r="D36" s="477" t="s">
        <v>676</v>
      </c>
      <c r="E36" s="85"/>
      <c r="F36" s="361">
        <f>F29+F34</f>
        <v>31661247.110000037</v>
      </c>
      <c r="G36" s="54"/>
      <c r="H36" s="130">
        <f t="shared" si="0"/>
        <v>32</v>
      </c>
      <c r="I36" s="935">
        <f>I29+I34</f>
        <v>26306140.969999984</v>
      </c>
      <c r="J36" s="935">
        <f>J29+J34</f>
        <v>5355106.1400000043</v>
      </c>
      <c r="K36" s="935">
        <f t="shared" si="1"/>
        <v>31661247.109999988</v>
      </c>
    </row>
    <row r="37" spans="1:15">
      <c r="A37" s="477">
        <v>30</v>
      </c>
      <c r="B37" s="478"/>
      <c r="C37" s="478"/>
      <c r="D37" s="469"/>
      <c r="E37" s="85"/>
      <c r="F37" s="361"/>
      <c r="H37" s="130">
        <f t="shared" si="0"/>
        <v>33</v>
      </c>
      <c r="I37" s="914"/>
      <c r="J37" s="790"/>
      <c r="K37" s="935"/>
    </row>
    <row r="38" spans="1:15">
      <c r="A38" s="477">
        <v>31</v>
      </c>
      <c r="B38" s="483" t="s">
        <v>1463</v>
      </c>
      <c r="C38" s="482"/>
      <c r="D38" s="469" t="s">
        <v>646</v>
      </c>
      <c r="E38" s="85"/>
      <c r="F38" s="476">
        <f>HLOOKUP(Attach,$I$5:$K$40,H38,FALSE)</f>
        <v>-2997981.5900000073</v>
      </c>
      <c r="H38" s="130">
        <f t="shared" si="0"/>
        <v>34</v>
      </c>
      <c r="I38" s="985">
        <v>-3857915.2500000051</v>
      </c>
      <c r="J38" s="934">
        <v>859933.65999999805</v>
      </c>
      <c r="K38" s="935">
        <f t="shared" si="1"/>
        <v>-2997981.5900000073</v>
      </c>
    </row>
    <row r="39" spans="1:15">
      <c r="A39" s="477">
        <v>32</v>
      </c>
      <c r="B39" s="478"/>
      <c r="C39" s="478"/>
      <c r="D39" s="469"/>
      <c r="E39" s="85"/>
      <c r="F39" s="54"/>
      <c r="H39" s="130">
        <f t="shared" si="0"/>
        <v>35</v>
      </c>
      <c r="I39" s="914"/>
      <c r="J39" s="790"/>
      <c r="K39" s="935"/>
    </row>
    <row r="40" spans="1:15" ht="13.5" thickBot="1">
      <c r="A40" s="477">
        <v>33</v>
      </c>
      <c r="B40" s="484" t="s">
        <v>226</v>
      </c>
      <c r="C40" s="484"/>
      <c r="D40" s="477" t="s">
        <v>905</v>
      </c>
      <c r="E40" s="85"/>
      <c r="F40" s="358">
        <f>ROUND(F36+F38,0)</f>
        <v>28663266</v>
      </c>
      <c r="H40" s="130">
        <f t="shared" si="0"/>
        <v>36</v>
      </c>
      <c r="I40" s="358">
        <f t="shared" ref="I40:J40" si="3">ROUND(I36+I38,0)</f>
        <v>22448226</v>
      </c>
      <c r="J40" s="358">
        <f t="shared" si="3"/>
        <v>6215040</v>
      </c>
      <c r="K40" s="1472">
        <f t="shared" si="1"/>
        <v>28663266</v>
      </c>
      <c r="N40" s="137"/>
    </row>
    <row r="41" spans="1:15" ht="13.5" thickTop="1">
      <c r="E41" s="85"/>
      <c r="I41" s="914"/>
      <c r="J41" s="914"/>
      <c r="K41" s="914"/>
      <c r="O41" s="137"/>
    </row>
    <row r="42" spans="1:15">
      <c r="E42" s="85"/>
      <c r="G42" s="54"/>
      <c r="I42" s="914"/>
      <c r="J42" s="914"/>
      <c r="K42" s="914"/>
    </row>
    <row r="43" spans="1:15">
      <c r="B43" s="109" t="s">
        <v>1123</v>
      </c>
      <c r="C43" s="109"/>
      <c r="D43" s="68"/>
      <c r="E43" s="30"/>
      <c r="F43" s="474">
        <f>F40-I40-J40</f>
        <v>0</v>
      </c>
      <c r="G43" s="891"/>
      <c r="I43" s="916"/>
      <c r="J43" s="916"/>
      <c r="K43" s="914"/>
    </row>
    <row r="44" spans="1:15">
      <c r="B44" s="109"/>
      <c r="C44" s="109"/>
      <c r="D44" s="68"/>
      <c r="E44" s="30"/>
      <c r="F44" s="892"/>
      <c r="G44" s="892"/>
      <c r="I44" s="892"/>
      <c r="J44" s="892"/>
    </row>
    <row r="45" spans="1:15"/>
    <row r="46" spans="1:15">
      <c r="F46" s="503"/>
    </row>
    <row r="47" spans="1:15"/>
    <row r="48" spans="1:15"/>
    <row r="49"/>
    <row r="50"/>
  </sheetData>
  <phoneticPr fontId="15" type="noConversion"/>
  <printOptions horizontalCentered="1"/>
  <pageMargins left="0.75" right="0.18" top="1" bottom="1" header="1" footer="0.19"/>
  <pageSetup orientation="portrait" r:id="rId1"/>
  <headerFooter alignWithMargins="0"/>
  <customProperties>
    <customPr name="SheetOptions" r:id="rId2"/>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I27"/>
  <sheetViews>
    <sheetView workbookViewId="0"/>
  </sheetViews>
  <sheetFormatPr defaultColWidth="9.33203125" defaultRowHeight="12.75"/>
  <cols>
    <col min="1" max="1" width="9.33203125" style="23"/>
    <col min="2" max="2" width="1.83203125" style="23" customWidth="1"/>
    <col min="3" max="3" width="50.6640625" style="23" customWidth="1"/>
    <col min="4" max="4" width="36.6640625" style="23" customWidth="1"/>
    <col min="5" max="5" width="19.6640625" style="23" bestFit="1" customWidth="1"/>
    <col min="6" max="6" width="3.83203125" style="23" customWidth="1"/>
    <col min="7" max="7" width="13.83203125" style="23" bestFit="1" customWidth="1"/>
    <col min="8" max="8" width="5.33203125" style="23" customWidth="1"/>
    <col min="9" max="16384" width="9.33203125" style="23"/>
  </cols>
  <sheetData>
    <row r="1" spans="1:7">
      <c r="A1" s="25" t="str">
        <f>Company</f>
        <v>BLACK HILLS NEBRASKA GAS, LLC</v>
      </c>
      <c r="E1" s="343" t="str">
        <f>Attach</f>
        <v>FINAL - BH January 15, 2021 Rev. Req. Model</v>
      </c>
    </row>
    <row r="2" spans="1:7">
      <c r="A2" s="25" t="s">
        <v>406</v>
      </c>
      <c r="E2" s="343" t="s">
        <v>946</v>
      </c>
    </row>
    <row r="3" spans="1:7">
      <c r="A3" s="70" t="str">
        <f>TYEnded</f>
        <v>FOR THE TEST YEAR ENDING DECEMBER 31, 2020</v>
      </c>
    </row>
    <row r="7" spans="1:7">
      <c r="A7" s="362" t="s">
        <v>117</v>
      </c>
      <c r="B7" s="1394"/>
      <c r="C7" s="362" t="s">
        <v>196</v>
      </c>
      <c r="D7" s="362" t="s">
        <v>285</v>
      </c>
      <c r="E7" s="362" t="s">
        <v>286</v>
      </c>
      <c r="G7" s="362" t="s">
        <v>1062</v>
      </c>
    </row>
    <row r="9" spans="1:7">
      <c r="A9" s="103">
        <f>1+A8</f>
        <v>1</v>
      </c>
      <c r="C9" s="82" t="s">
        <v>412</v>
      </c>
      <c r="D9" s="82" t="s">
        <v>1302</v>
      </c>
      <c r="E9" s="160">
        <f ca="1">'Stmt M'!M37</f>
        <v>586098201</v>
      </c>
      <c r="G9" s="160">
        <f>'Stmt M'!M76</f>
        <v>504184927</v>
      </c>
    </row>
    <row r="10" spans="1:7">
      <c r="A10" s="103">
        <f t="shared" ref="A10:A27" si="0">1+A9</f>
        <v>2</v>
      </c>
      <c r="C10" s="82" t="s">
        <v>16</v>
      </c>
      <c r="D10" s="82" t="s">
        <v>1301</v>
      </c>
      <c r="E10" s="1395">
        <f>'Stmt G '!G26</f>
        <v>6.7100000000000007E-2</v>
      </c>
      <c r="G10" s="1395">
        <f>'Stmt G '!G26</f>
        <v>6.7100000000000007E-2</v>
      </c>
    </row>
    <row r="11" spans="1:7">
      <c r="A11" s="103">
        <f t="shared" si="0"/>
        <v>3</v>
      </c>
      <c r="C11" s="82" t="s">
        <v>235</v>
      </c>
      <c r="D11" s="82" t="s">
        <v>407</v>
      </c>
      <c r="E11" s="54">
        <f ca="1">E9*E10</f>
        <v>39327189.287100002</v>
      </c>
      <c r="G11" s="54">
        <f>G9*G10</f>
        <v>33830808.6017</v>
      </c>
    </row>
    <row r="12" spans="1:7">
      <c r="A12" s="103">
        <f t="shared" si="0"/>
        <v>4</v>
      </c>
      <c r="C12" s="82"/>
      <c r="D12" s="82"/>
      <c r="E12" s="54"/>
      <c r="G12" s="54"/>
    </row>
    <row r="13" spans="1:7">
      <c r="A13" s="103">
        <f t="shared" si="0"/>
        <v>5</v>
      </c>
      <c r="C13" s="82" t="s">
        <v>342</v>
      </c>
      <c r="D13" s="82" t="s">
        <v>408</v>
      </c>
      <c r="E13" s="140">
        <f ca="1">'Stmt M'!M18</f>
        <v>73261870</v>
      </c>
      <c r="G13" s="140">
        <f>'Stmt M'!M57</f>
        <v>63943406.506258681</v>
      </c>
    </row>
    <row r="14" spans="1:7">
      <c r="A14" s="103">
        <f t="shared" si="0"/>
        <v>6</v>
      </c>
      <c r="C14" s="82" t="s">
        <v>343</v>
      </c>
      <c r="D14" s="82" t="s">
        <v>911</v>
      </c>
      <c r="E14" s="140">
        <f>'Stmt M'!M19</f>
        <v>21685113</v>
      </c>
      <c r="G14" s="140">
        <f>'Stmt M'!M58</f>
        <v>18828862.653161749</v>
      </c>
    </row>
    <row r="15" spans="1:7">
      <c r="A15" s="103">
        <f t="shared" si="0"/>
        <v>7</v>
      </c>
      <c r="C15" s="82" t="s">
        <v>257</v>
      </c>
      <c r="D15" s="82" t="s">
        <v>1122</v>
      </c>
      <c r="E15" s="140">
        <f>'Stmt M'!M20</f>
        <v>7045436</v>
      </c>
      <c r="G15" s="140">
        <f>'Stmt M'!M59</f>
        <v>6106168.8111609984</v>
      </c>
    </row>
    <row r="16" spans="1:7">
      <c r="A16" s="103">
        <f t="shared" si="0"/>
        <v>8</v>
      </c>
      <c r="C16" s="82" t="s">
        <v>344</v>
      </c>
      <c r="D16" s="82" t="s">
        <v>1303</v>
      </c>
      <c r="E16" s="1370">
        <f ca="1">'Stmt M'!M25</f>
        <v>8617294</v>
      </c>
      <c r="G16" s="1370">
        <f>'Stmt M'!M64</f>
        <v>5436689.8859160086</v>
      </c>
    </row>
    <row r="17" spans="1:9">
      <c r="A17" s="103">
        <f t="shared" si="0"/>
        <v>9</v>
      </c>
      <c r="C17" s="82"/>
      <c r="D17" s="82"/>
      <c r="E17" s="156"/>
      <c r="G17" s="156"/>
    </row>
    <row r="18" spans="1:9">
      <c r="A18" s="103">
        <f t="shared" si="0"/>
        <v>10</v>
      </c>
      <c r="C18" s="82" t="s">
        <v>345</v>
      </c>
      <c r="D18" s="82" t="s">
        <v>945</v>
      </c>
      <c r="E18" s="140">
        <f ca="1">SUM(E11:E16)</f>
        <v>149936902.28710002</v>
      </c>
      <c r="G18" s="140">
        <f>SUM(G11:G16)</f>
        <v>128145936.45819743</v>
      </c>
    </row>
    <row r="19" spans="1:9">
      <c r="A19" s="103">
        <f t="shared" si="0"/>
        <v>11</v>
      </c>
      <c r="C19" s="82"/>
      <c r="D19" s="82"/>
    </row>
    <row r="20" spans="1:9">
      <c r="A20" s="103">
        <f t="shared" si="0"/>
        <v>12</v>
      </c>
      <c r="C20" s="82" t="s">
        <v>1307</v>
      </c>
      <c r="D20" s="82" t="s">
        <v>1304</v>
      </c>
      <c r="E20" s="156">
        <f>'Stmt M'!M12+'Stmt M'!M13</f>
        <v>141375985</v>
      </c>
      <c r="F20" s="41"/>
      <c r="G20" s="156">
        <f>'Stmt M'!M51</f>
        <v>115364117.60191412</v>
      </c>
    </row>
    <row r="21" spans="1:9">
      <c r="A21" s="103">
        <f t="shared" si="0"/>
        <v>13</v>
      </c>
      <c r="C21" s="82" t="s">
        <v>644</v>
      </c>
      <c r="D21" s="82" t="s">
        <v>1305</v>
      </c>
      <c r="E21" s="156">
        <f>'Stmt N'!K345</f>
        <v>5667962.7734283386</v>
      </c>
      <c r="F21" s="41"/>
      <c r="G21" s="156">
        <f>'Stmt N'!O345</f>
        <v>4997492.4077305757</v>
      </c>
      <c r="I21" s="977"/>
    </row>
    <row r="22" spans="1:9">
      <c r="A22" s="103">
        <f t="shared" si="0"/>
        <v>14</v>
      </c>
      <c r="C22" s="82"/>
      <c r="D22" s="82"/>
    </row>
    <row r="23" spans="1:9">
      <c r="A23" s="103">
        <f t="shared" si="0"/>
        <v>15</v>
      </c>
      <c r="C23" s="82" t="s">
        <v>346</v>
      </c>
      <c r="D23" s="82" t="s">
        <v>1306</v>
      </c>
      <c r="E23" s="140">
        <f ca="1">E18-E20-E21</f>
        <v>2892954.5136716785</v>
      </c>
      <c r="G23" s="140">
        <f>G18-G20-G21</f>
        <v>7784326.4485527314</v>
      </c>
    </row>
    <row r="24" spans="1:9">
      <c r="A24" s="103">
        <f t="shared" si="0"/>
        <v>16</v>
      </c>
      <c r="C24" s="82"/>
      <c r="D24" s="82"/>
    </row>
    <row r="25" spans="1:9">
      <c r="A25" s="103">
        <f t="shared" si="0"/>
        <v>17</v>
      </c>
      <c r="C25" s="23" t="s">
        <v>409</v>
      </c>
      <c r="D25" s="23" t="s">
        <v>944</v>
      </c>
      <c r="E25" s="815">
        <f>COMPRATE</f>
        <v>0.27169900000000002</v>
      </c>
      <c r="G25" s="815">
        <f>COMPRATE</f>
        <v>0.27169900000000002</v>
      </c>
    </row>
    <row r="26" spans="1:9">
      <c r="A26" s="103">
        <f t="shared" si="0"/>
        <v>18</v>
      </c>
    </row>
    <row r="27" spans="1:9">
      <c r="A27" s="103">
        <f t="shared" si="0"/>
        <v>19</v>
      </c>
      <c r="C27" s="82" t="s">
        <v>410</v>
      </c>
      <c r="D27" s="82" t="s">
        <v>569</v>
      </c>
      <c r="E27" s="129">
        <f ca="1">E23/(1-E25)</f>
        <v>3972196.2673011278</v>
      </c>
      <c r="G27" s="129">
        <f>G23/(1-G25)</f>
        <v>10688336.894433388</v>
      </c>
    </row>
  </sheetData>
  <pageMargins left="0.7" right="0.7" top="0.75" bottom="0.75" header="0.3" footer="0.3"/>
  <pageSetup scale="74"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12"/>
  <sheetViews>
    <sheetView workbookViewId="0"/>
  </sheetViews>
  <sheetFormatPr defaultColWidth="10.6640625" defaultRowHeight="12.75"/>
  <cols>
    <col min="1" max="1" width="6.83203125" style="86" customWidth="1"/>
    <col min="2" max="2" width="40.6640625" style="85" customWidth="1"/>
    <col min="3" max="3" width="3.33203125" style="85" customWidth="1"/>
    <col min="4" max="4" width="27.6640625" style="85" customWidth="1"/>
    <col min="5" max="5" width="3.33203125" style="86" customWidth="1"/>
    <col min="6" max="6" width="21.1640625" style="85" customWidth="1"/>
    <col min="7" max="7" width="13" style="85" bestFit="1" customWidth="1"/>
    <col min="8" max="11" width="15" style="85" customWidth="1"/>
    <col min="12" max="12" width="16.1640625" style="85" bestFit="1" customWidth="1"/>
    <col min="13" max="16384" width="10.6640625" style="85"/>
  </cols>
  <sheetData>
    <row r="1" spans="1:12">
      <c r="A1" s="69" t="str">
        <f>Company</f>
        <v>BLACK HILLS NEBRASKA GAS, LLC</v>
      </c>
      <c r="B1" s="69"/>
      <c r="C1" s="69"/>
      <c r="D1" s="69"/>
      <c r="E1" s="69"/>
      <c r="F1" s="72" t="str">
        <f>Attach</f>
        <v>FINAL - BH January 15, 2021 Rev. Req. Model</v>
      </c>
    </row>
    <row r="2" spans="1:12">
      <c r="A2" s="69" t="s">
        <v>217</v>
      </c>
      <c r="B2" s="69"/>
      <c r="C2" s="69"/>
      <c r="D2" s="69"/>
      <c r="E2" s="69"/>
      <c r="F2" s="72" t="s">
        <v>363</v>
      </c>
    </row>
    <row r="3" spans="1:12">
      <c r="A3" s="70" t="str">
        <f>TYEnded</f>
        <v>FOR THE TEST YEAR ENDING DECEMBER 31, 2020</v>
      </c>
    </row>
    <row r="4" spans="1:12">
      <c r="A4" s="1375"/>
    </row>
    <row r="5" spans="1:12">
      <c r="A5" s="68" t="s">
        <v>59</v>
      </c>
      <c r="B5" s="30"/>
      <c r="C5" s="30"/>
      <c r="D5" s="30"/>
      <c r="E5" s="68"/>
      <c r="F5" s="5"/>
    </row>
    <row r="6" spans="1:12">
      <c r="A6" s="427" t="s">
        <v>195</v>
      </c>
      <c r="B6" s="427" t="s">
        <v>196</v>
      </c>
      <c r="C6" s="428"/>
      <c r="D6" s="125" t="s">
        <v>285</v>
      </c>
      <c r="E6" s="429"/>
      <c r="F6" s="430" t="s">
        <v>286</v>
      </c>
    </row>
    <row r="7" spans="1:12">
      <c r="H7" s="86"/>
      <c r="I7" s="86"/>
      <c r="J7" s="86"/>
      <c r="K7" s="86"/>
      <c r="L7" s="86"/>
    </row>
    <row r="8" spans="1:12">
      <c r="A8" s="86">
        <v>1</v>
      </c>
      <c r="B8" s="85" t="s">
        <v>1281</v>
      </c>
      <c r="D8" s="86" t="s">
        <v>393</v>
      </c>
      <c r="E8" s="85"/>
      <c r="F8" s="55">
        <f>'Stmt A pg 2'!F12</f>
        <v>279593469.76999998</v>
      </c>
      <c r="H8" s="86"/>
      <c r="I8" s="86"/>
      <c r="J8" s="86"/>
      <c r="K8" s="474"/>
      <c r="L8" s="474"/>
    </row>
    <row r="9" spans="1:12">
      <c r="A9" s="86">
        <f>A8+1</f>
        <v>2</v>
      </c>
      <c r="B9" s="85" t="s">
        <v>1280</v>
      </c>
      <c r="D9" s="86" t="s">
        <v>688</v>
      </c>
      <c r="E9" s="85"/>
      <c r="F9" s="361">
        <f>F11-F8</f>
        <v>45406530.230000019</v>
      </c>
    </row>
    <row r="10" spans="1:12">
      <c r="A10" s="86">
        <f t="shared" ref="A10:A11" si="0">A9+1</f>
        <v>3</v>
      </c>
      <c r="D10" s="86"/>
      <c r="E10" s="85"/>
      <c r="F10" s="54"/>
    </row>
    <row r="11" spans="1:12" ht="13.5" thickBot="1">
      <c r="A11" s="86">
        <f t="shared" si="0"/>
        <v>4</v>
      </c>
      <c r="B11" s="85" t="s">
        <v>3</v>
      </c>
      <c r="D11" s="86"/>
      <c r="E11" s="85"/>
      <c r="F11" s="134">
        <f>'Stmt G '!D25</f>
        <v>325000000</v>
      </c>
      <c r="G11" s="354"/>
    </row>
    <row r="12" spans="1:12" ht="13.5" thickTop="1"/>
  </sheetData>
  <phoneticPr fontId="15" type="noConversion"/>
  <printOptions horizontalCentered="1"/>
  <pageMargins left="0.25" right="0.18" top="1" bottom="1" header="1" footer="0.19"/>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Y39"/>
  <sheetViews>
    <sheetView workbookViewId="0"/>
  </sheetViews>
  <sheetFormatPr defaultColWidth="9.33203125" defaultRowHeight="12.75"/>
  <cols>
    <col min="1" max="1" width="6.83203125" style="23" customWidth="1"/>
    <col min="2" max="3" width="3.33203125" style="23" customWidth="1"/>
    <col min="4" max="4" width="31.83203125" style="23" customWidth="1"/>
    <col min="5" max="5" width="3.33203125" style="23" customWidth="1"/>
    <col min="6" max="6" width="19.6640625" style="23" bestFit="1" customWidth="1"/>
    <col min="7" max="7" width="3.33203125" style="23" customWidth="1"/>
    <col min="8" max="8" width="17.1640625" style="23" bestFit="1" customWidth="1"/>
    <col min="9" max="9" width="3.33203125" style="23" customWidth="1"/>
    <col min="10" max="10" width="17.1640625" style="23" customWidth="1"/>
    <col min="11" max="11" width="3.33203125" style="23" customWidth="1"/>
    <col min="12" max="12" width="24.6640625" style="23" bestFit="1" customWidth="1"/>
    <col min="13" max="13" width="3.33203125" style="23" customWidth="1"/>
    <col min="14" max="14" width="24.83203125" style="23" bestFit="1" customWidth="1"/>
    <col min="15" max="15" width="3.33203125" style="23" customWidth="1"/>
    <col min="16" max="16" width="13.6640625" style="123" customWidth="1"/>
    <col min="17" max="17" width="15.33203125" style="123" customWidth="1"/>
    <col min="18" max="18" width="28.83203125" style="123" bestFit="1" customWidth="1"/>
    <col min="19" max="19" width="16.33203125" style="123" bestFit="1" customWidth="1"/>
    <col min="20" max="20" width="19.83203125" style="123" bestFit="1" customWidth="1"/>
    <col min="21" max="21" width="16.83203125" style="123" bestFit="1" customWidth="1"/>
    <col min="22" max="22" width="53.33203125" style="123" customWidth="1"/>
    <col min="23" max="23" width="38.33203125" style="123" bestFit="1" customWidth="1"/>
    <col min="24" max="24" width="56" style="123" bestFit="1" customWidth="1"/>
    <col min="25" max="25" width="16.83203125" style="123" bestFit="1" customWidth="1"/>
    <col min="26" max="16384" width="9.33203125" style="123"/>
  </cols>
  <sheetData>
    <row r="1" spans="1:25">
      <c r="A1" s="69" t="str">
        <f>Company</f>
        <v>BLACK HILLS NEBRASKA GAS, LLC</v>
      </c>
      <c r="B1" s="25"/>
      <c r="C1" s="25"/>
      <c r="D1" s="25"/>
      <c r="E1" s="25"/>
      <c r="F1" s="25"/>
      <c r="G1" s="25"/>
      <c r="H1" s="25"/>
      <c r="I1" s="25"/>
      <c r="J1" s="25"/>
      <c r="K1" s="25"/>
      <c r="M1" s="25"/>
      <c r="N1" s="615" t="s">
        <v>1324</v>
      </c>
      <c r="O1" s="25"/>
    </row>
    <row r="2" spans="1:25">
      <c r="A2" s="25" t="s">
        <v>1267</v>
      </c>
      <c r="B2" s="25"/>
      <c r="C2" s="25"/>
      <c r="D2" s="25"/>
      <c r="E2" s="25"/>
      <c r="F2" s="25"/>
      <c r="G2" s="25"/>
      <c r="H2" s="25"/>
      <c r="I2" s="25"/>
      <c r="J2" s="25"/>
      <c r="K2" s="25"/>
      <c r="L2" s="25"/>
      <c r="M2" s="25"/>
      <c r="N2" s="72" t="str">
        <f>Attach</f>
        <v>FINAL - BH January 15, 2021 Rev. Req. Model</v>
      </c>
      <c r="O2" s="25"/>
    </row>
    <row r="3" spans="1:25">
      <c r="A3" s="70" t="str">
        <f>TYEnded</f>
        <v>FOR THE TEST YEAR ENDING DECEMBER 31, 2020</v>
      </c>
      <c r="B3" s="25"/>
      <c r="C3" s="25"/>
      <c r="D3" s="25"/>
      <c r="E3" s="25"/>
      <c r="F3" s="25"/>
      <c r="G3" s="25"/>
      <c r="H3" s="25"/>
      <c r="I3" s="25"/>
      <c r="J3" s="25"/>
      <c r="K3" s="25"/>
      <c r="L3" s="25"/>
      <c r="M3" s="25"/>
      <c r="N3" s="72" t="s">
        <v>364</v>
      </c>
      <c r="O3" s="25"/>
    </row>
    <row r="4" spans="1:25">
      <c r="A4" s="1376"/>
      <c r="B4" s="15"/>
      <c r="C4" s="15"/>
      <c r="D4" s="15"/>
      <c r="E4" s="15"/>
      <c r="F4" s="15"/>
      <c r="G4" s="15"/>
      <c r="H4" s="15"/>
      <c r="I4" s="15"/>
      <c r="J4" s="15"/>
      <c r="K4" s="15"/>
      <c r="L4" s="15"/>
      <c r="M4" s="15"/>
      <c r="N4" s="15"/>
      <c r="O4" s="15"/>
    </row>
    <row r="5" spans="1:25">
      <c r="A5" s="20"/>
      <c r="B5" s="20"/>
      <c r="C5" s="20"/>
      <c r="D5" s="20"/>
      <c r="E5" s="20"/>
      <c r="F5" s="20"/>
      <c r="G5" s="20"/>
      <c r="H5" s="364" t="s">
        <v>199</v>
      </c>
      <c r="I5" s="364"/>
      <c r="J5" s="364" t="s">
        <v>200</v>
      </c>
      <c r="K5" s="364"/>
      <c r="L5" s="364" t="s">
        <v>41</v>
      </c>
      <c r="M5" s="31"/>
      <c r="N5" s="364" t="s">
        <v>202</v>
      </c>
      <c r="O5" s="41"/>
    </row>
    <row r="6" spans="1:25">
      <c r="A6" s="20"/>
      <c r="B6" s="20"/>
      <c r="C6" s="20"/>
      <c r="D6" s="20"/>
      <c r="E6" s="20"/>
      <c r="F6" s="20"/>
      <c r="G6" s="20"/>
      <c r="H6" s="364"/>
      <c r="I6" s="364"/>
      <c r="J6" s="364"/>
      <c r="K6" s="364"/>
      <c r="L6" s="15" t="s">
        <v>21</v>
      </c>
      <c r="M6" s="31"/>
      <c r="N6" s="364" t="s">
        <v>1043</v>
      </c>
      <c r="O6" s="41"/>
    </row>
    <row r="7" spans="1:25">
      <c r="A7" s="20"/>
      <c r="B7" s="20"/>
      <c r="C7" s="20"/>
      <c r="D7" s="20"/>
      <c r="E7" s="20"/>
      <c r="F7" s="20"/>
      <c r="G7" s="20"/>
      <c r="H7" s="15"/>
      <c r="I7" s="15"/>
      <c r="J7" s="15"/>
      <c r="K7" s="15"/>
      <c r="L7" s="15" t="s">
        <v>809</v>
      </c>
      <c r="M7" s="20"/>
    </row>
    <row r="8" spans="1:25">
      <c r="A8" s="20"/>
      <c r="B8" s="20"/>
      <c r="C8" s="20"/>
      <c r="D8" s="20"/>
      <c r="E8" s="20"/>
      <c r="F8" s="20"/>
      <c r="G8" s="20"/>
      <c r="H8" s="15" t="s">
        <v>52</v>
      </c>
      <c r="I8" s="15"/>
      <c r="J8" s="15" t="s">
        <v>52</v>
      </c>
      <c r="K8" s="20"/>
      <c r="L8" s="15" t="s">
        <v>768</v>
      </c>
      <c r="M8" s="15"/>
      <c r="N8" s="15" t="s">
        <v>212</v>
      </c>
    </row>
    <row r="9" spans="1:25" ht="13.5">
      <c r="A9" s="15" t="s">
        <v>59</v>
      </c>
      <c r="B9" s="20"/>
      <c r="C9" s="20"/>
      <c r="D9" s="20"/>
      <c r="E9" s="20"/>
      <c r="F9" s="20"/>
      <c r="G9" s="20"/>
      <c r="H9" s="364" t="s">
        <v>53</v>
      </c>
      <c r="I9" s="364"/>
      <c r="J9" s="364" t="s">
        <v>53</v>
      </c>
      <c r="K9" s="15"/>
      <c r="L9" s="15" t="s">
        <v>814</v>
      </c>
      <c r="M9" s="15"/>
      <c r="N9" s="15" t="s">
        <v>213</v>
      </c>
      <c r="T9" s="504"/>
    </row>
    <row r="10" spans="1:25" ht="12" customHeight="1">
      <c r="A10" s="362" t="s">
        <v>195</v>
      </c>
      <c r="B10" s="366"/>
      <c r="C10" s="422" t="s">
        <v>196</v>
      </c>
      <c r="D10" s="422"/>
      <c r="E10" s="422"/>
      <c r="F10" s="362" t="s">
        <v>285</v>
      </c>
      <c r="G10" s="366"/>
      <c r="H10" s="1047">
        <f>'Sched D-1'!E8</f>
        <v>43465</v>
      </c>
      <c r="I10" s="1047"/>
      <c r="J10" s="1047">
        <f>'Sched D-1'!G8</f>
        <v>43830</v>
      </c>
      <c r="K10" s="362"/>
      <c r="L10" s="362" t="s">
        <v>767</v>
      </c>
      <c r="M10" s="362"/>
      <c r="N10" s="362" t="s">
        <v>53</v>
      </c>
      <c r="S10" s="754"/>
      <c r="T10" s="1048"/>
      <c r="U10" s="501"/>
      <c r="W10" s="494"/>
      <c r="X10" s="494"/>
    </row>
    <row r="11" spans="1:25" ht="12" customHeight="1">
      <c r="A11" s="103"/>
      <c r="F11" s="33"/>
      <c r="H11" s="54"/>
      <c r="I11" s="54"/>
      <c r="J11" s="54"/>
      <c r="K11" s="54"/>
      <c r="L11" s="54"/>
      <c r="M11" s="54"/>
      <c r="N11" s="54"/>
      <c r="O11" s="54"/>
      <c r="S11" s="754"/>
      <c r="T11" s="754"/>
      <c r="U11" s="501"/>
      <c r="V11" s="792"/>
      <c r="W11" s="794"/>
      <c r="Y11" s="755"/>
    </row>
    <row r="12" spans="1:25">
      <c r="A12" s="103">
        <f>1+A11</f>
        <v>1</v>
      </c>
      <c r="C12" s="23" t="s">
        <v>371</v>
      </c>
      <c r="F12" s="33" t="s">
        <v>663</v>
      </c>
      <c r="H12" s="361">
        <f>'Sched D-1'!E15</f>
        <v>1364199</v>
      </c>
      <c r="I12" s="361"/>
      <c r="J12" s="361">
        <f>'Sched D-1'!G15</f>
        <v>1364199</v>
      </c>
      <c r="K12" s="361"/>
      <c r="L12" s="361">
        <f>N12-J12</f>
        <v>0</v>
      </c>
      <c r="M12" s="361"/>
      <c r="N12" s="361">
        <f>'Sched D-1'!O15</f>
        <v>1364199</v>
      </c>
      <c r="O12" s="54"/>
      <c r="P12" s="1048"/>
    </row>
    <row r="13" spans="1:25" ht="13.5">
      <c r="A13" s="103">
        <f t="shared" ref="A13:A23" si="0">1+A12</f>
        <v>2</v>
      </c>
      <c r="F13" s="33"/>
      <c r="H13" s="361"/>
      <c r="I13" s="361"/>
      <c r="J13" s="361"/>
      <c r="K13" s="361"/>
      <c r="L13" s="361"/>
      <c r="M13" s="361"/>
      <c r="N13" s="361"/>
      <c r="O13" s="54"/>
      <c r="P13" s="1048"/>
      <c r="T13" s="504"/>
    </row>
    <row r="14" spans="1:25">
      <c r="A14" s="103">
        <f t="shared" si="0"/>
        <v>3</v>
      </c>
      <c r="C14" s="123" t="s">
        <v>695</v>
      </c>
      <c r="F14" s="33" t="s">
        <v>22</v>
      </c>
      <c r="H14" s="209">
        <v>0</v>
      </c>
      <c r="I14" s="209"/>
      <c r="J14" s="209">
        <v>0</v>
      </c>
      <c r="K14" s="209"/>
      <c r="L14" s="688">
        <v>0</v>
      </c>
      <c r="M14" s="209"/>
      <c r="N14" s="209">
        <v>0</v>
      </c>
      <c r="O14" s="54"/>
      <c r="P14" s="1048"/>
      <c r="S14" s="754"/>
      <c r="T14" s="1048"/>
      <c r="U14" s="501"/>
    </row>
    <row r="15" spans="1:25">
      <c r="A15" s="103">
        <f t="shared" si="0"/>
        <v>4</v>
      </c>
      <c r="F15" s="33"/>
      <c r="H15" s="209"/>
      <c r="I15" s="209"/>
      <c r="J15" s="209"/>
      <c r="K15" s="209"/>
      <c r="L15" s="688"/>
      <c r="M15" s="209"/>
      <c r="N15" s="209"/>
      <c r="O15" s="54"/>
      <c r="P15" s="1048"/>
      <c r="S15" s="754"/>
      <c r="T15" s="754"/>
      <c r="U15" s="501"/>
    </row>
    <row r="16" spans="1:25">
      <c r="A16" s="103">
        <f t="shared" si="0"/>
        <v>5</v>
      </c>
      <c r="C16" s="23" t="s">
        <v>694</v>
      </c>
      <c r="F16" s="33" t="s">
        <v>22</v>
      </c>
      <c r="H16" s="209">
        <v>0</v>
      </c>
      <c r="I16" s="209"/>
      <c r="J16" s="209">
        <v>0</v>
      </c>
      <c r="K16" s="209"/>
      <c r="L16" s="688">
        <v>0</v>
      </c>
      <c r="M16" s="209"/>
      <c r="N16" s="209">
        <v>0</v>
      </c>
      <c r="O16" s="54"/>
      <c r="P16" s="1048"/>
    </row>
    <row r="17" spans="1:25" ht="13.5">
      <c r="A17" s="103">
        <f t="shared" si="0"/>
        <v>6</v>
      </c>
      <c r="F17" s="33"/>
      <c r="H17" s="209"/>
      <c r="I17" s="209"/>
      <c r="J17" s="209"/>
      <c r="K17" s="209"/>
      <c r="L17" s="688"/>
      <c r="M17" s="209"/>
      <c r="N17" s="209"/>
      <c r="O17" s="54"/>
      <c r="P17" s="1048"/>
      <c r="T17" s="504"/>
    </row>
    <row r="18" spans="1:25">
      <c r="A18" s="103">
        <f t="shared" si="0"/>
        <v>7</v>
      </c>
      <c r="C18" s="23" t="s">
        <v>851</v>
      </c>
      <c r="F18" s="33" t="s">
        <v>22</v>
      </c>
      <c r="H18" s="209">
        <v>0</v>
      </c>
      <c r="I18" s="209"/>
      <c r="J18" s="209">
        <v>0</v>
      </c>
      <c r="K18" s="209"/>
      <c r="L18" s="688">
        <v>0</v>
      </c>
      <c r="M18" s="209"/>
      <c r="N18" s="209">
        <v>0</v>
      </c>
      <c r="O18" s="54"/>
      <c r="P18" s="1048"/>
      <c r="S18" s="754"/>
      <c r="T18" s="1048"/>
      <c r="U18" s="501"/>
      <c r="V18" s="793"/>
      <c r="W18" s="501"/>
      <c r="X18" s="501"/>
      <c r="Y18" s="755"/>
    </row>
    <row r="19" spans="1:25">
      <c r="A19" s="103">
        <f t="shared" si="0"/>
        <v>8</v>
      </c>
      <c r="F19" s="33"/>
      <c r="H19" s="209"/>
      <c r="I19" s="209"/>
      <c r="J19" s="209"/>
      <c r="K19" s="209"/>
      <c r="L19" s="688"/>
      <c r="M19" s="209"/>
      <c r="N19" s="209"/>
      <c r="O19" s="54"/>
      <c r="P19" s="1048"/>
      <c r="S19" s="754"/>
      <c r="T19" s="754"/>
      <c r="U19" s="501"/>
      <c r="V19" s="494"/>
      <c r="W19" s="794"/>
      <c r="Y19" s="755"/>
    </row>
    <row r="20" spans="1:25">
      <c r="A20" s="103">
        <f t="shared" si="0"/>
        <v>9</v>
      </c>
      <c r="C20" s="23" t="s">
        <v>86</v>
      </c>
      <c r="F20" s="33" t="s">
        <v>1168</v>
      </c>
      <c r="H20" s="688">
        <f>+'Sched D-1'!E22</f>
        <v>6346090</v>
      </c>
      <c r="I20" s="688"/>
      <c r="J20" s="688">
        <f>+'Sched D-1'!G22</f>
        <v>6163725</v>
      </c>
      <c r="K20" s="688"/>
      <c r="L20" s="688">
        <f>N20-J20</f>
        <v>0</v>
      </c>
      <c r="M20" s="688"/>
      <c r="N20" s="688">
        <f>'Sched D-1'!O22</f>
        <v>6163725</v>
      </c>
      <c r="O20" s="54"/>
      <c r="P20" s="1048"/>
    </row>
    <row r="21" spans="1:25" ht="13.5">
      <c r="A21" s="103">
        <f t="shared" si="0"/>
        <v>10</v>
      </c>
      <c r="F21" s="33"/>
      <c r="H21" s="688"/>
      <c r="I21" s="688"/>
      <c r="J21" s="688"/>
      <c r="K21" s="688"/>
      <c r="L21" s="688"/>
      <c r="M21" s="688"/>
      <c r="N21" s="688"/>
      <c r="O21" s="54"/>
      <c r="P21" s="1048"/>
      <c r="T21" s="504"/>
    </row>
    <row r="22" spans="1:25">
      <c r="A22" s="103">
        <f t="shared" si="0"/>
        <v>11</v>
      </c>
      <c r="C22" s="23" t="s">
        <v>87</v>
      </c>
      <c r="F22" s="33" t="s">
        <v>1169</v>
      </c>
      <c r="H22" s="688">
        <f>+'Sched D-1'!E42</f>
        <v>623395574</v>
      </c>
      <c r="I22" s="688"/>
      <c r="J22" s="688">
        <f>+'Sched D-1'!G42</f>
        <v>715468698</v>
      </c>
      <c r="K22" s="688"/>
      <c r="L22" s="688">
        <f>N22-J22</f>
        <v>81013000</v>
      </c>
      <c r="M22" s="688"/>
      <c r="N22" s="688">
        <f>'Sched D-1'!O42</f>
        <v>796481698</v>
      </c>
      <c r="O22" s="54"/>
      <c r="P22" s="1048"/>
      <c r="S22" s="754"/>
      <c r="T22" s="1048"/>
      <c r="U22" s="501"/>
    </row>
    <row r="23" spans="1:25">
      <c r="A23" s="103">
        <f t="shared" si="0"/>
        <v>12</v>
      </c>
      <c r="F23" s="33"/>
      <c r="H23" s="688"/>
      <c r="I23" s="688"/>
      <c r="J23" s="688"/>
      <c r="K23" s="688"/>
      <c r="L23" s="688"/>
      <c r="M23" s="688"/>
      <c r="N23" s="688"/>
      <c r="O23" s="54"/>
      <c r="P23" s="1048"/>
      <c r="S23" s="754"/>
      <c r="T23" s="754"/>
      <c r="U23" s="501"/>
    </row>
    <row r="24" spans="1:25">
      <c r="A24" s="103">
        <f t="shared" ref="A24:A33" si="1">1+A23</f>
        <v>13</v>
      </c>
      <c r="C24" s="23" t="s">
        <v>88</v>
      </c>
      <c r="F24" s="33" t="s">
        <v>1170</v>
      </c>
      <c r="H24" s="688">
        <f>+'Sched D-1'!E68</f>
        <v>49010994</v>
      </c>
      <c r="I24" s="688"/>
      <c r="J24" s="688">
        <f>+'Sched D-1'!G68</f>
        <v>87797857</v>
      </c>
      <c r="K24" s="688"/>
      <c r="L24" s="688">
        <f>N24-J24</f>
        <v>16228386</v>
      </c>
      <c r="M24" s="688"/>
      <c r="N24" s="688">
        <f>'Sched D-1'!O68</f>
        <v>104026243</v>
      </c>
      <c r="O24" s="54"/>
      <c r="P24" s="1048"/>
      <c r="S24" s="501"/>
      <c r="T24" s="501"/>
      <c r="U24" s="494"/>
    </row>
    <row r="25" spans="1:25" ht="13.5">
      <c r="A25" s="103">
        <f t="shared" si="1"/>
        <v>14</v>
      </c>
      <c r="H25" s="708"/>
      <c r="I25" s="708"/>
      <c r="J25" s="708"/>
      <c r="K25" s="708"/>
      <c r="L25" s="708"/>
      <c r="M25" s="708"/>
      <c r="N25" s="708"/>
      <c r="P25" s="1048"/>
      <c r="T25" s="504"/>
      <c r="U25" s="501"/>
    </row>
    <row r="26" spans="1:25">
      <c r="A26" s="103">
        <f t="shared" si="1"/>
        <v>15</v>
      </c>
      <c r="C26" s="23" t="s">
        <v>848</v>
      </c>
      <c r="F26" s="33" t="s">
        <v>1408</v>
      </c>
      <c r="H26" s="688">
        <f>+'Sched D-1'!E75</f>
        <v>40650508</v>
      </c>
      <c r="I26" s="688"/>
      <c r="J26" s="688">
        <f>+'Sched D-1'!G75</f>
        <v>45535472</v>
      </c>
      <c r="K26" s="708"/>
      <c r="L26" s="688">
        <f>N26-J26</f>
        <v>-16630755</v>
      </c>
      <c r="M26" s="708"/>
      <c r="N26" s="688">
        <f>'Sched D-1'!O75</f>
        <v>28904717</v>
      </c>
      <c r="P26" s="1048"/>
      <c r="S26" s="501"/>
      <c r="T26" s="1048"/>
      <c r="U26" s="754"/>
    </row>
    <row r="27" spans="1:25">
      <c r="A27" s="103">
        <f t="shared" si="1"/>
        <v>16</v>
      </c>
      <c r="H27" s="476"/>
      <c r="I27" s="361"/>
      <c r="J27" s="476"/>
      <c r="K27" s="353"/>
      <c r="L27" s="476"/>
      <c r="M27" s="353"/>
      <c r="N27" s="476"/>
      <c r="P27" s="1048"/>
      <c r="S27" s="501"/>
      <c r="T27" s="501"/>
      <c r="U27" s="754"/>
    </row>
    <row r="28" spans="1:25">
      <c r="A28" s="103">
        <f t="shared" si="1"/>
        <v>17</v>
      </c>
      <c r="B28" s="23" t="s">
        <v>254</v>
      </c>
      <c r="F28" s="33" t="s">
        <v>1041</v>
      </c>
      <c r="H28" s="361">
        <f>H12+H20+H22+H24+H26+H14+H16+H18</f>
        <v>720767365</v>
      </c>
      <c r="I28" s="361"/>
      <c r="J28" s="361">
        <f>J12+J20+J22+J24+J26+J14+J16+J18</f>
        <v>856329951</v>
      </c>
      <c r="K28" s="361"/>
      <c r="L28" s="361">
        <f>L12+L20+L22+L24+L26+L18+L16+L14</f>
        <v>80610631</v>
      </c>
      <c r="M28" s="361"/>
      <c r="N28" s="361">
        <f>N12+N20+N22+N24+N26+N16+N14+N18</f>
        <v>936940582</v>
      </c>
      <c r="O28" s="54"/>
      <c r="P28" s="1048"/>
    </row>
    <row r="29" spans="1:25">
      <c r="A29" s="103">
        <f t="shared" si="1"/>
        <v>18</v>
      </c>
      <c r="F29" s="33"/>
      <c r="H29" s="361"/>
      <c r="I29" s="361"/>
      <c r="J29" s="361"/>
      <c r="K29" s="573"/>
      <c r="L29" s="361"/>
      <c r="M29" s="571"/>
      <c r="N29" s="361"/>
      <c r="O29" s="54"/>
    </row>
    <row r="30" spans="1:25" ht="13.5" thickBot="1">
      <c r="A30" s="103">
        <f t="shared" si="1"/>
        <v>19</v>
      </c>
      <c r="B30" s="23" t="s">
        <v>214</v>
      </c>
      <c r="F30" s="33" t="s">
        <v>1042</v>
      </c>
      <c r="H30" s="355">
        <f>SUM(H28:H28)</f>
        <v>720767365</v>
      </c>
      <c r="I30" s="361"/>
      <c r="J30" s="355">
        <f>SUM(J28:J28)</f>
        <v>856329951</v>
      </c>
      <c r="K30" s="573"/>
      <c r="L30" s="355">
        <f>SUM(L28:L28)</f>
        <v>80610631</v>
      </c>
      <c r="M30" s="571"/>
      <c r="N30" s="355">
        <f>SUM(N28:N28)</f>
        <v>936940582</v>
      </c>
      <c r="O30" s="54"/>
      <c r="P30" s="193"/>
    </row>
    <row r="31" spans="1:25" ht="13.5" thickTop="1">
      <c r="A31" s="103">
        <f t="shared" si="1"/>
        <v>20</v>
      </c>
      <c r="F31" s="33"/>
      <c r="H31" s="54"/>
      <c r="I31" s="54"/>
      <c r="J31" s="54"/>
      <c r="K31" s="19"/>
      <c r="L31" s="19"/>
      <c r="M31" s="147"/>
      <c r="N31" s="54"/>
      <c r="O31" s="54"/>
      <c r="P31" s="194"/>
    </row>
    <row r="32" spans="1:25">
      <c r="A32" s="103">
        <f t="shared" si="1"/>
        <v>21</v>
      </c>
      <c r="B32" s="23" t="s">
        <v>1137</v>
      </c>
      <c r="K32" s="54"/>
      <c r="M32" s="85"/>
      <c r="O32" s="54"/>
      <c r="P32" s="172"/>
    </row>
    <row r="33" spans="1:15">
      <c r="A33" s="103">
        <f t="shared" si="1"/>
        <v>22</v>
      </c>
      <c r="B33" s="23" t="s">
        <v>1409</v>
      </c>
      <c r="K33" s="54"/>
      <c r="L33" s="54"/>
      <c r="M33" s="54"/>
      <c r="N33" s="54"/>
      <c r="O33" s="54"/>
    </row>
    <row r="34" spans="1:15">
      <c r="A34" s="103"/>
      <c r="K34" s="54"/>
      <c r="L34" s="54"/>
      <c r="M34" s="54"/>
      <c r="N34" s="54"/>
      <c r="O34" s="54"/>
    </row>
    <row r="35" spans="1:15">
      <c r="A35" s="123"/>
      <c r="B35" s="123"/>
      <c r="C35" s="123"/>
      <c r="D35" s="123"/>
      <c r="E35" s="123"/>
      <c r="F35" s="123"/>
      <c r="G35" s="123"/>
      <c r="H35" s="123"/>
      <c r="I35" s="123"/>
      <c r="J35" s="1208" t="s">
        <v>1135</v>
      </c>
      <c r="K35" s="54"/>
      <c r="L35" s="54">
        <f>L30-SUM('Sched D-1'!I77:N77)</f>
        <v>0.60053756833076477</v>
      </c>
      <c r="M35" s="54"/>
      <c r="N35" s="54">
        <f>N30-'Sched D-1'!O77</f>
        <v>0</v>
      </c>
      <c r="O35" s="54"/>
    </row>
    <row r="36" spans="1:15">
      <c r="A36" s="123"/>
      <c r="B36" s="123"/>
      <c r="C36" s="123"/>
      <c r="D36" s="123"/>
      <c r="E36" s="123"/>
      <c r="F36" s="123"/>
      <c r="G36" s="123"/>
      <c r="H36" s="123"/>
      <c r="I36" s="123"/>
      <c r="J36" s="123"/>
      <c r="K36" s="54"/>
      <c r="L36" s="54"/>
      <c r="M36" s="54"/>
      <c r="N36" s="54"/>
      <c r="O36" s="54"/>
    </row>
    <row r="37" spans="1:15">
      <c r="A37" s="123"/>
      <c r="B37" s="123"/>
      <c r="C37" s="123"/>
      <c r="D37" s="123"/>
      <c r="E37" s="123"/>
      <c r="F37" s="123"/>
      <c r="G37" s="123"/>
      <c r="H37" s="123"/>
      <c r="I37" s="123"/>
      <c r="J37" s="123"/>
      <c r="K37" s="54"/>
      <c r="L37" s="54"/>
      <c r="M37" s="54"/>
      <c r="N37" s="54"/>
      <c r="O37" s="54"/>
    </row>
    <row r="38" spans="1:15">
      <c r="A38" s="123"/>
      <c r="B38" s="123"/>
      <c r="C38" s="123"/>
      <c r="D38" s="123"/>
      <c r="E38" s="123"/>
      <c r="F38" s="123"/>
      <c r="G38" s="123"/>
      <c r="H38" s="123"/>
      <c r="I38" s="123"/>
      <c r="J38" s="123"/>
      <c r="N38" s="140"/>
    </row>
    <row r="39" spans="1:15">
      <c r="A39" s="123"/>
      <c r="B39" s="123"/>
      <c r="C39" s="123"/>
      <c r="D39" s="123"/>
      <c r="E39" s="123"/>
      <c r="F39" s="123"/>
      <c r="G39" s="123"/>
      <c r="H39" s="123"/>
      <c r="I39" s="123"/>
      <c r="J39" s="123"/>
    </row>
  </sheetData>
  <phoneticPr fontId="12" type="noConversion"/>
  <pageMargins left="0.75" right="0.43" top="1" bottom="1" header="1" footer="0.19"/>
  <pageSetup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13">
    <pageSetUpPr fitToPage="1"/>
  </sheetPr>
  <dimension ref="A1:AD91"/>
  <sheetViews>
    <sheetView topLeftCell="H58" workbookViewId="0"/>
  </sheetViews>
  <sheetFormatPr defaultColWidth="9.33203125" defaultRowHeight="12.75"/>
  <cols>
    <col min="1" max="1" width="6.83203125" style="75" customWidth="1"/>
    <col min="2" max="2" width="9.33203125" style="75" customWidth="1"/>
    <col min="3" max="3" width="51.6640625" style="75" customWidth="1"/>
    <col min="4" max="4" width="1.83203125" style="75" customWidth="1"/>
    <col min="5" max="5" width="14.1640625" style="75" customWidth="1"/>
    <col min="6" max="6" width="1.83203125" style="75" customWidth="1"/>
    <col min="7" max="7" width="16" style="75" customWidth="1"/>
    <col min="8" max="8" width="1.83203125" style="75" customWidth="1"/>
    <col min="9" max="9" width="17.33203125" style="82" customWidth="1"/>
    <col min="10" max="10" width="1.83203125" style="81" customWidth="1"/>
    <col min="11" max="11" width="17.33203125" style="82" customWidth="1"/>
    <col min="12" max="12" width="1.83203125" style="81" customWidth="1"/>
    <col min="13" max="13" width="17.33203125" style="82" customWidth="1"/>
    <col min="14" max="14" width="1.83203125" style="81" customWidth="1"/>
    <col min="15" max="15" width="18.33203125" style="75" customWidth="1"/>
    <col min="16" max="16" width="3.1640625" style="75" customWidth="1"/>
    <col min="17" max="17" width="5.33203125" style="75" customWidth="1"/>
    <col min="18" max="19" width="17.6640625" style="75" customWidth="1"/>
    <col min="20" max="20" width="21.6640625" style="75" customWidth="1"/>
    <col min="21" max="21" width="1.33203125" style="75" customWidth="1"/>
    <col min="22" max="22" width="5.33203125" style="75" customWidth="1"/>
    <col min="23" max="24" width="17.6640625" style="75" customWidth="1"/>
    <col min="25" max="25" width="21.6640625" style="75" bestFit="1" customWidth="1"/>
    <col min="26" max="26" width="1.83203125" style="75" customWidth="1"/>
    <col min="27" max="27" width="5.33203125" style="75" customWidth="1"/>
    <col min="28" max="28" width="18.83203125" style="75" customWidth="1"/>
    <col min="29" max="29" width="17.6640625" style="75" customWidth="1"/>
    <col min="30" max="30" width="21.6640625" style="75" bestFit="1" customWidth="1"/>
    <col min="31" max="16384" width="9.33203125" style="75"/>
  </cols>
  <sheetData>
    <row r="1" spans="1:30">
      <c r="A1" s="69" t="str">
        <f>Company</f>
        <v>BLACK HILLS NEBRASKA GAS, LLC</v>
      </c>
      <c r="B1" s="74"/>
      <c r="C1" s="74"/>
      <c r="D1" s="74"/>
      <c r="E1" s="74"/>
      <c r="F1" s="74"/>
      <c r="H1" s="74"/>
      <c r="I1" s="1183"/>
      <c r="J1" s="343"/>
      <c r="K1" s="1183"/>
      <c r="L1" s="343"/>
      <c r="M1" s="1166"/>
      <c r="N1" s="343"/>
      <c r="O1" s="615" t="s">
        <v>1324</v>
      </c>
      <c r="P1" s="72"/>
      <c r="Q1" s="72"/>
      <c r="R1" s="1000"/>
      <c r="S1" s="1000"/>
      <c r="T1" s="1000"/>
      <c r="U1" s="72"/>
      <c r="W1" s="1000"/>
      <c r="X1" s="1000"/>
      <c r="Y1" s="1000"/>
    </row>
    <row r="2" spans="1:30">
      <c r="A2" s="74" t="s">
        <v>1268</v>
      </c>
      <c r="B2" s="74"/>
      <c r="C2" s="74"/>
      <c r="D2" s="74"/>
      <c r="E2" s="1178"/>
      <c r="F2" s="74"/>
      <c r="H2" s="74"/>
      <c r="I2" s="1184"/>
      <c r="J2" s="925"/>
      <c r="K2" s="803"/>
      <c r="L2" s="925"/>
      <c r="M2" s="803"/>
      <c r="N2" s="925"/>
      <c r="O2" s="72" t="str">
        <f>Attach</f>
        <v>FINAL - BH January 15, 2021 Rev. Req. Model</v>
      </c>
      <c r="P2" s="84"/>
      <c r="Q2" s="84"/>
      <c r="R2" s="84"/>
      <c r="S2" s="84"/>
      <c r="T2" s="84"/>
      <c r="U2" s="84"/>
    </row>
    <row r="3" spans="1:30">
      <c r="A3" s="70" t="str">
        <f>TYEnded</f>
        <v>FOR THE TEST YEAR ENDING DECEMBER 31, 2020</v>
      </c>
      <c r="B3" s="74"/>
      <c r="C3" s="74"/>
      <c r="D3" s="74"/>
      <c r="E3" s="74"/>
      <c r="F3" s="74"/>
      <c r="G3" s="887"/>
      <c r="H3" s="74"/>
      <c r="I3" s="803"/>
      <c r="J3" s="925"/>
      <c r="K3" s="803"/>
      <c r="L3" s="925"/>
      <c r="M3" s="803"/>
      <c r="N3" s="925"/>
      <c r="O3" s="84" t="s">
        <v>120</v>
      </c>
      <c r="P3" s="84"/>
      <c r="Q3" s="84"/>
      <c r="R3" s="84"/>
      <c r="S3" s="84"/>
      <c r="T3" s="84"/>
      <c r="U3" s="84"/>
    </row>
    <row r="4" spans="1:30">
      <c r="A4" s="76"/>
      <c r="B4" s="76"/>
      <c r="E4" s="364" t="s">
        <v>199</v>
      </c>
      <c r="G4" s="364" t="s">
        <v>200</v>
      </c>
      <c r="H4" s="364"/>
      <c r="I4" s="364" t="s">
        <v>41</v>
      </c>
      <c r="J4" s="364"/>
      <c r="K4" s="364" t="s">
        <v>202</v>
      </c>
      <c r="L4" s="364"/>
      <c r="M4" s="364" t="s">
        <v>203</v>
      </c>
      <c r="O4" s="364" t="s">
        <v>204</v>
      </c>
      <c r="P4" s="364"/>
      <c r="Q4" s="364"/>
      <c r="R4" s="364"/>
      <c r="S4" s="364"/>
      <c r="T4" s="364"/>
    </row>
    <row r="5" spans="1:30">
      <c r="A5" s="76"/>
      <c r="B5" s="76"/>
      <c r="G5" s="364"/>
      <c r="H5" s="364"/>
      <c r="I5" s="364" t="s">
        <v>843</v>
      </c>
      <c r="J5" s="364"/>
      <c r="K5" s="364"/>
      <c r="L5" s="364"/>
      <c r="M5" s="364"/>
      <c r="N5" s="364"/>
      <c r="O5" s="364"/>
      <c r="P5" s="364"/>
      <c r="Q5" s="364"/>
      <c r="R5" s="364"/>
      <c r="S5" s="364"/>
      <c r="T5" s="364"/>
    </row>
    <row r="6" spans="1:30">
      <c r="A6" s="423"/>
      <c r="B6" s="423"/>
      <c r="C6" s="80"/>
      <c r="D6" s="80"/>
      <c r="E6" s="15" t="s">
        <v>52</v>
      </c>
      <c r="F6" s="80"/>
      <c r="G6" s="15" t="s">
        <v>52</v>
      </c>
      <c r="H6" s="80"/>
      <c r="I6" s="424" t="s">
        <v>840</v>
      </c>
      <c r="J6" s="448"/>
      <c r="K6" s="424" t="s">
        <v>806</v>
      </c>
      <c r="L6" s="448"/>
      <c r="M6" s="424" t="s">
        <v>996</v>
      </c>
      <c r="N6" s="448"/>
      <c r="O6" s="423" t="s">
        <v>212</v>
      </c>
      <c r="P6" s="423"/>
      <c r="Q6" s="993" t="s">
        <v>995</v>
      </c>
      <c r="R6" s="994"/>
      <c r="S6" s="995"/>
      <c r="T6" s="995"/>
      <c r="U6" s="423"/>
      <c r="V6" s="993" t="s">
        <v>1109</v>
      </c>
      <c r="W6" s="994"/>
      <c r="X6" s="995"/>
      <c r="Y6" s="995"/>
      <c r="AA6" s="993" t="s">
        <v>1282</v>
      </c>
      <c r="AB6" s="994"/>
      <c r="AC6" s="995"/>
      <c r="AD6" s="995"/>
    </row>
    <row r="7" spans="1:30">
      <c r="A7" s="423" t="s">
        <v>365</v>
      </c>
      <c r="B7" s="423" t="s">
        <v>241</v>
      </c>
      <c r="C7" s="423"/>
      <c r="D7" s="423"/>
      <c r="E7" s="364" t="s">
        <v>53</v>
      </c>
      <c r="F7" s="423"/>
      <c r="G7" s="364" t="s">
        <v>53</v>
      </c>
      <c r="H7" s="423"/>
      <c r="I7" s="448" t="s">
        <v>841</v>
      </c>
      <c r="J7" s="448"/>
      <c r="K7" s="424" t="s">
        <v>815</v>
      </c>
      <c r="L7" s="448"/>
      <c r="M7" s="448" t="s">
        <v>815</v>
      </c>
      <c r="N7" s="448"/>
      <c r="O7" s="423" t="s">
        <v>568</v>
      </c>
      <c r="P7" s="423"/>
      <c r="Q7" s="75">
        <f>1+Q6</f>
        <v>1</v>
      </c>
      <c r="R7" s="86" t="str">
        <f>References!$C$17</f>
        <v>Exhibit No. MCC-2 NEG</v>
      </c>
      <c r="S7" s="86" t="str">
        <f>References!$D$17</f>
        <v>Exhibit No. MCC-2 NEGD</v>
      </c>
      <c r="T7" s="86" t="str">
        <f>References!$E$17</f>
        <v>FINAL - BH January 15, 2021 Rev. Req. Model</v>
      </c>
      <c r="U7" s="423"/>
      <c r="V7" s="75">
        <f>1+V6</f>
        <v>1</v>
      </c>
      <c r="W7" s="86" t="str">
        <f>References!$C$17</f>
        <v>Exhibit No. MCC-2 NEG</v>
      </c>
      <c r="X7" s="86" t="str">
        <f>References!$D$17</f>
        <v>Exhibit No. MCC-2 NEGD</v>
      </c>
      <c r="Y7" s="86" t="str">
        <f>References!$E$17</f>
        <v>FINAL - BH January 15, 2021 Rev. Req. Model</v>
      </c>
      <c r="AA7" s="75">
        <f>1+AA6</f>
        <v>1</v>
      </c>
      <c r="AB7" s="86" t="str">
        <f>References!$C$17</f>
        <v>Exhibit No. MCC-2 NEG</v>
      </c>
      <c r="AC7" s="86" t="str">
        <f>References!$D$17</f>
        <v>Exhibit No. MCC-2 NEGD</v>
      </c>
      <c r="AD7" s="86" t="str">
        <f>References!$E$17</f>
        <v>FINAL - BH January 15, 2021 Rev. Req. Model</v>
      </c>
    </row>
    <row r="8" spans="1:30">
      <c r="A8" s="425" t="s">
        <v>195</v>
      </c>
      <c r="B8" s="425" t="s">
        <v>515</v>
      </c>
      <c r="C8" s="425" t="s">
        <v>196</v>
      </c>
      <c r="D8" s="425"/>
      <c r="E8" s="992">
        <v>43465</v>
      </c>
      <c r="F8" s="425"/>
      <c r="G8" s="992">
        <v>43830</v>
      </c>
      <c r="H8" s="425"/>
      <c r="I8" s="426" t="s">
        <v>12</v>
      </c>
      <c r="J8" s="448"/>
      <c r="K8" s="426" t="s">
        <v>744</v>
      </c>
      <c r="L8" s="448"/>
      <c r="M8" s="426" t="s">
        <v>997</v>
      </c>
      <c r="N8" s="448"/>
      <c r="O8" s="992">
        <v>44196</v>
      </c>
      <c r="P8" s="466"/>
      <c r="Q8" s="75">
        <f t="shared" ref="Q8:Q29" si="0">1+Q7</f>
        <v>2</v>
      </c>
      <c r="R8" s="75" t="str">
        <f>References!$C$18</f>
        <v>NEG</v>
      </c>
      <c r="S8" s="75" t="str">
        <f>References!$D$18</f>
        <v>NEGD</v>
      </c>
      <c r="T8" s="75" t="str">
        <f>References!$E$18</f>
        <v>Tot Co</v>
      </c>
      <c r="U8" s="466"/>
      <c r="V8" s="75">
        <f t="shared" ref="V8:V77" si="1">1+V7</f>
        <v>2</v>
      </c>
      <c r="W8" s="75" t="str">
        <f>References!$C$18</f>
        <v>NEG</v>
      </c>
      <c r="X8" s="75" t="str">
        <f>References!$D$18</f>
        <v>NEGD</v>
      </c>
      <c r="Y8" s="75" t="str">
        <f>References!$E$18</f>
        <v>Tot Co</v>
      </c>
      <c r="AA8" s="75">
        <f t="shared" ref="AA8:AA31" si="2">1+AA7</f>
        <v>2</v>
      </c>
      <c r="AB8" s="75" t="str">
        <f>References!$C$18</f>
        <v>NEG</v>
      </c>
      <c r="AC8" s="75" t="str">
        <f>References!$D$18</f>
        <v>NEGD</v>
      </c>
      <c r="AD8" s="75" t="str">
        <f>References!$E$18</f>
        <v>Tot Co</v>
      </c>
    </row>
    <row r="9" spans="1:30">
      <c r="A9" s="76"/>
      <c r="B9" s="76"/>
      <c r="Q9" s="75">
        <f t="shared" si="0"/>
        <v>3</v>
      </c>
      <c r="V9" s="75">
        <f t="shared" si="1"/>
        <v>3</v>
      </c>
      <c r="AA9" s="75">
        <f t="shared" si="2"/>
        <v>3</v>
      </c>
    </row>
    <row r="10" spans="1:30">
      <c r="A10" s="76">
        <f>1+A9</f>
        <v>1</v>
      </c>
      <c r="B10" s="76"/>
      <c r="C10" s="80" t="s">
        <v>366</v>
      </c>
      <c r="G10" s="82"/>
      <c r="H10" s="82"/>
      <c r="O10" s="82"/>
      <c r="P10" s="82"/>
      <c r="Q10" s="75">
        <f t="shared" si="0"/>
        <v>4</v>
      </c>
      <c r="V10" s="75">
        <f t="shared" si="1"/>
        <v>4</v>
      </c>
      <c r="AA10" s="75">
        <f t="shared" si="2"/>
        <v>4</v>
      </c>
    </row>
    <row r="11" spans="1:30">
      <c r="A11" s="469">
        <f t="shared" ref="A11:A78" si="3">1+A10</f>
        <v>2</v>
      </c>
      <c r="B11" s="469">
        <v>301</v>
      </c>
      <c r="C11" s="23" t="s">
        <v>547</v>
      </c>
      <c r="E11" s="574">
        <f>HLOOKUP(Attach,$R$7:$T$78,Q11,FALSE)</f>
        <v>256</v>
      </c>
      <c r="G11" s="574">
        <f>HLOOKUP(Attach,$W$7:$Y$78,V11,FALSE)</f>
        <v>256</v>
      </c>
      <c r="H11" s="574"/>
      <c r="I11" s="683">
        <v>0</v>
      </c>
      <c r="J11" s="683"/>
      <c r="K11" s="683">
        <f>IFERROR(VLOOKUP(B11,'Sched D-2'!B:E,4,FALSE),0)</f>
        <v>0</v>
      </c>
      <c r="L11" s="683"/>
      <c r="M11" s="683">
        <f>IFERROR(VLOOKUP(B11,'Sched D-3'!B:E,4,FALSE),0)</f>
        <v>0</v>
      </c>
      <c r="N11" s="683"/>
      <c r="O11" s="574">
        <f>SUM(G11:M11)</f>
        <v>256</v>
      </c>
      <c r="P11" s="574"/>
      <c r="Q11" s="75">
        <f t="shared" si="0"/>
        <v>5</v>
      </c>
      <c r="R11" s="938">
        <v>256</v>
      </c>
      <c r="S11" s="938">
        <v>0</v>
      </c>
      <c r="T11" s="937">
        <f>+R11+S11</f>
        <v>256</v>
      </c>
      <c r="V11" s="75">
        <f t="shared" si="1"/>
        <v>5</v>
      </c>
      <c r="W11" s="938">
        <v>256</v>
      </c>
      <c r="X11" s="938">
        <v>0</v>
      </c>
      <c r="Y11" s="937">
        <f>+W11+X11</f>
        <v>256</v>
      </c>
      <c r="AA11" s="75">
        <f t="shared" si="2"/>
        <v>5</v>
      </c>
      <c r="AB11" s="938"/>
      <c r="AC11" s="938"/>
      <c r="AD11" s="937">
        <f>AB11+AC11</f>
        <v>0</v>
      </c>
    </row>
    <row r="12" spans="1:30">
      <c r="A12" s="469">
        <f t="shared" si="3"/>
        <v>3</v>
      </c>
      <c r="B12" s="469">
        <v>302</v>
      </c>
      <c r="C12" s="23" t="s">
        <v>549</v>
      </c>
      <c r="E12" s="680">
        <f>HLOOKUP(Attach,$R$7:$T$78,Q12,FALSE)</f>
        <v>121062.49</v>
      </c>
      <c r="G12" s="680">
        <f>HLOOKUP(Attach,$W$7:$Y$78,V12,FALSE)</f>
        <v>121062.49</v>
      </c>
      <c r="H12" s="680"/>
      <c r="I12" s="831">
        <v>0</v>
      </c>
      <c r="J12" s="831"/>
      <c r="K12" s="831">
        <f>IFERROR(VLOOKUP(B12,'Sched D-2'!B:E,4,FALSE),0)</f>
        <v>0</v>
      </c>
      <c r="L12" s="668"/>
      <c r="M12" s="831">
        <f>IFERROR(VLOOKUP(B12,'Sched D-3'!B:E,4,FALSE),0)</f>
        <v>0</v>
      </c>
      <c r="N12" s="831"/>
      <c r="O12" s="790">
        <f>SUM(G12:M12)</f>
        <v>121062.49</v>
      </c>
      <c r="P12" s="790"/>
      <c r="Q12" s="75">
        <f t="shared" si="0"/>
        <v>6</v>
      </c>
      <c r="R12" s="938">
        <v>88072.960000000006</v>
      </c>
      <c r="S12" s="938">
        <v>32989.53</v>
      </c>
      <c r="T12" s="937">
        <f t="shared" ref="T12:T14" si="4">+R12+S12</f>
        <v>121062.49</v>
      </c>
      <c r="U12" s="456"/>
      <c r="V12" s="75">
        <f t="shared" si="1"/>
        <v>6</v>
      </c>
      <c r="W12" s="938">
        <v>88072.960000000006</v>
      </c>
      <c r="X12" s="938">
        <v>32989.53</v>
      </c>
      <c r="Y12" s="937">
        <f t="shared" ref="Y12:Y14" si="5">+W12+X12</f>
        <v>121062.49</v>
      </c>
      <c r="AA12" s="75">
        <f t="shared" si="2"/>
        <v>6</v>
      </c>
      <c r="AB12" s="938"/>
      <c r="AC12" s="938"/>
      <c r="AD12" s="937">
        <f t="shared" ref="AD12:AD14" si="6">AB12+AC12</f>
        <v>0</v>
      </c>
    </row>
    <row r="13" spans="1:30">
      <c r="A13" s="469">
        <f t="shared" si="3"/>
        <v>4</v>
      </c>
      <c r="B13" s="469">
        <v>303</v>
      </c>
      <c r="C13" s="23" t="s">
        <v>548</v>
      </c>
      <c r="E13" s="680">
        <f>HLOOKUP(Attach,$R$7:$T$78,Q13,FALSE)</f>
        <v>742880.94</v>
      </c>
      <c r="G13" s="680">
        <f>HLOOKUP(Attach,$W$7:$Y$78,V13,FALSE)</f>
        <v>742880.94</v>
      </c>
      <c r="H13" s="680"/>
      <c r="I13" s="831">
        <v>0</v>
      </c>
      <c r="J13" s="831"/>
      <c r="K13" s="831">
        <f>IFERROR(VLOOKUP(B13,'Sched D-2'!B:E,4,FALSE),0)</f>
        <v>0</v>
      </c>
      <c r="L13" s="668"/>
      <c r="M13" s="831">
        <f>IFERROR(VLOOKUP(B13,'Sched D-3'!B:E,4,FALSE),0)</f>
        <v>0</v>
      </c>
      <c r="N13" s="831"/>
      <c r="O13" s="790">
        <f>SUM(G13:M13)</f>
        <v>742880.94</v>
      </c>
      <c r="P13" s="790"/>
      <c r="Q13" s="75">
        <f t="shared" si="0"/>
        <v>7</v>
      </c>
      <c r="R13" s="938">
        <v>581377.35</v>
      </c>
      <c r="S13" s="938">
        <v>161503.59</v>
      </c>
      <c r="T13" s="937">
        <f t="shared" si="4"/>
        <v>742880.94</v>
      </c>
      <c r="U13" s="456"/>
      <c r="V13" s="75">
        <f t="shared" si="1"/>
        <v>7</v>
      </c>
      <c r="W13" s="938">
        <v>581377.35</v>
      </c>
      <c r="X13" s="938">
        <v>161503.59</v>
      </c>
      <c r="Y13" s="937">
        <f t="shared" si="5"/>
        <v>742880.94</v>
      </c>
      <c r="AA13" s="75">
        <f t="shared" si="2"/>
        <v>7</v>
      </c>
      <c r="AB13" s="938"/>
      <c r="AC13" s="938"/>
      <c r="AD13" s="937">
        <f t="shared" si="6"/>
        <v>0</v>
      </c>
    </row>
    <row r="14" spans="1:30">
      <c r="A14" s="469">
        <f t="shared" si="3"/>
        <v>5</v>
      </c>
      <c r="B14" s="469">
        <v>303.01</v>
      </c>
      <c r="C14" s="23" t="s">
        <v>1162</v>
      </c>
      <c r="E14" s="680">
        <f>HLOOKUP(Attach,$R$7:$T$78,Q14,FALSE)</f>
        <v>500000</v>
      </c>
      <c r="G14" s="680">
        <f>HLOOKUP(Attach,$W$7:$Y$78,V14,FALSE)</f>
        <v>500000</v>
      </c>
      <c r="H14" s="680"/>
      <c r="I14" s="831">
        <v>0</v>
      </c>
      <c r="J14" s="831"/>
      <c r="K14" s="831">
        <f>IFERROR(VLOOKUP(B14,'Sched D-2'!B:E,4,FALSE),0)</f>
        <v>0</v>
      </c>
      <c r="L14" s="668"/>
      <c r="M14" s="831">
        <f>IFERROR(VLOOKUP(B14,'Sched D-3'!B:E,4,FALSE),0)</f>
        <v>0</v>
      </c>
      <c r="N14" s="831"/>
      <c r="O14" s="791">
        <f>SUM(G14:M14)</f>
        <v>500000</v>
      </c>
      <c r="P14" s="805"/>
      <c r="Q14" s="75">
        <f t="shared" si="0"/>
        <v>8</v>
      </c>
      <c r="R14" s="938">
        <v>500000</v>
      </c>
      <c r="S14" s="938">
        <v>0</v>
      </c>
      <c r="T14" s="937">
        <f t="shared" si="4"/>
        <v>500000</v>
      </c>
      <c r="U14" s="456"/>
      <c r="V14" s="75">
        <f t="shared" si="1"/>
        <v>8</v>
      </c>
      <c r="W14" s="938">
        <v>500000</v>
      </c>
      <c r="X14" s="938">
        <v>0</v>
      </c>
      <c r="Y14" s="937">
        <f t="shared" si="5"/>
        <v>500000</v>
      </c>
      <c r="AA14" s="75">
        <f t="shared" si="2"/>
        <v>8</v>
      </c>
      <c r="AB14" s="938"/>
      <c r="AC14" s="938"/>
      <c r="AD14" s="937">
        <f t="shared" si="6"/>
        <v>0</v>
      </c>
    </row>
    <row r="15" spans="1:30">
      <c r="A15" s="469">
        <f t="shared" si="3"/>
        <v>6</v>
      </c>
      <c r="B15" s="469"/>
      <c r="C15" s="809" t="s">
        <v>367</v>
      </c>
      <c r="E15" s="681">
        <f>ROUND(SUM(E11:E14),0)</f>
        <v>1364199</v>
      </c>
      <c r="G15" s="681">
        <f>ROUND(SUM(G11:G14),0)</f>
        <v>1364199</v>
      </c>
      <c r="H15" s="574"/>
      <c r="I15" s="681">
        <f>ROUND(SUM(I11:I14),0)</f>
        <v>0</v>
      </c>
      <c r="J15" s="683"/>
      <c r="K15" s="681">
        <f>ROUND(SUM(K11:K14),0)</f>
        <v>0</v>
      </c>
      <c r="L15" s="683"/>
      <c r="M15" s="681">
        <f>ROUND(SUM(M11:M14),0)</f>
        <v>0</v>
      </c>
      <c r="N15" s="683"/>
      <c r="O15" s="681">
        <f>ROUND(SUM(O11:O14),0)</f>
        <v>1364199</v>
      </c>
      <c r="P15" s="683"/>
      <c r="Q15" s="75">
        <f t="shared" si="0"/>
        <v>9</v>
      </c>
      <c r="R15" s="939">
        <f t="shared" ref="R15:S15" si="7">ROUND(SUM(R11:R14),0)</f>
        <v>1169706</v>
      </c>
      <c r="S15" s="939">
        <f t="shared" si="7"/>
        <v>194493</v>
      </c>
      <c r="T15" s="939">
        <f>ROUND(SUM(T11:T14),0)</f>
        <v>1364199</v>
      </c>
      <c r="U15" s="79"/>
      <c r="V15" s="75">
        <f t="shared" si="1"/>
        <v>9</v>
      </c>
      <c r="W15" s="939">
        <f t="shared" ref="W15:X15" si="8">ROUND(SUM(W11:W14),0)</f>
        <v>1169706</v>
      </c>
      <c r="X15" s="939">
        <f t="shared" si="8"/>
        <v>194493</v>
      </c>
      <c r="Y15" s="939">
        <f>ROUND(SUM(Y11:Y14),0)</f>
        <v>1364199</v>
      </c>
      <c r="AA15" s="75">
        <f t="shared" si="2"/>
        <v>9</v>
      </c>
      <c r="AB15" s="122">
        <f t="shared" ref="AB15:AC15" si="9">ROUND(SUM(AB11:AB14),0)</f>
        <v>0</v>
      </c>
      <c r="AC15" s="122">
        <f t="shared" si="9"/>
        <v>0</v>
      </c>
      <c r="AD15" s="122">
        <f>ROUND(SUM(AD11:AD14),0)</f>
        <v>0</v>
      </c>
    </row>
    <row r="16" spans="1:30">
      <c r="A16" s="76">
        <f t="shared" si="3"/>
        <v>7</v>
      </c>
      <c r="B16" s="76"/>
      <c r="C16" s="78"/>
      <c r="E16" s="683"/>
      <c r="G16" s="683"/>
      <c r="H16" s="574"/>
      <c r="I16" s="683"/>
      <c r="J16" s="683"/>
      <c r="K16" s="683"/>
      <c r="L16" s="683"/>
      <c r="M16" s="683"/>
      <c r="N16" s="683"/>
      <c r="O16" s="683"/>
      <c r="P16" s="683"/>
      <c r="Q16" s="75">
        <f t="shared" si="0"/>
        <v>10</v>
      </c>
      <c r="R16" s="79"/>
      <c r="S16" s="79"/>
      <c r="T16" s="79"/>
      <c r="U16" s="79"/>
      <c r="V16" s="75">
        <f t="shared" si="1"/>
        <v>10</v>
      </c>
      <c r="W16" s="79"/>
      <c r="X16" s="79"/>
      <c r="Y16" s="79"/>
      <c r="AA16" s="75">
        <f t="shared" si="2"/>
        <v>10</v>
      </c>
      <c r="AB16" s="79"/>
      <c r="AC16" s="79"/>
      <c r="AD16" s="79"/>
    </row>
    <row r="17" spans="1:30">
      <c r="A17" s="76">
        <f t="shared" si="3"/>
        <v>8</v>
      </c>
      <c r="B17" s="76"/>
      <c r="C17" s="20" t="s">
        <v>299</v>
      </c>
      <c r="E17" s="574"/>
      <c r="G17" s="574"/>
      <c r="H17" s="574"/>
      <c r="I17" s="574"/>
      <c r="J17" s="683"/>
      <c r="K17" s="574"/>
      <c r="L17" s="683"/>
      <c r="M17" s="574"/>
      <c r="N17" s="683"/>
      <c r="O17" s="574"/>
      <c r="P17" s="574"/>
      <c r="Q17" s="75">
        <f t="shared" si="0"/>
        <v>11</v>
      </c>
      <c r="T17" s="937">
        <f t="shared" ref="T17:T35" si="10">+R17+S17</f>
        <v>0</v>
      </c>
      <c r="V17" s="75">
        <f t="shared" si="1"/>
        <v>11</v>
      </c>
      <c r="Y17" s="937">
        <f t="shared" ref="Y17:Y34" si="11">+W17+X17</f>
        <v>0</v>
      </c>
      <c r="AA17" s="75">
        <f t="shared" si="2"/>
        <v>11</v>
      </c>
    </row>
    <row r="18" spans="1:30">
      <c r="A18" s="469">
        <f t="shared" si="3"/>
        <v>9</v>
      </c>
      <c r="B18" s="469">
        <v>365.03</v>
      </c>
      <c r="C18" s="23" t="s">
        <v>839</v>
      </c>
      <c r="E18" s="574">
        <f>HLOOKUP(Attach,$R$7:$T$78,Q18,FALSE)</f>
        <v>176833.94</v>
      </c>
      <c r="G18" s="574">
        <f>HLOOKUP(Attach,$W$7:$Y$78,V18,FALSE)</f>
        <v>170272.49</v>
      </c>
      <c r="H18" s="574"/>
      <c r="I18" s="683">
        <v>0</v>
      </c>
      <c r="J18" s="683"/>
      <c r="K18" s="683">
        <f>IFERROR(VLOOKUP(B18,'Sched D-2'!B:E,4,FALSE),0)</f>
        <v>0</v>
      </c>
      <c r="L18" s="683"/>
      <c r="M18" s="683">
        <f>IFERROR(VLOOKUP(B18,'Sched D-3'!B:E,4,FALSE),0)</f>
        <v>0</v>
      </c>
      <c r="N18" s="683"/>
      <c r="O18" s="574">
        <f>SUM(G18:M18)</f>
        <v>170272.49</v>
      </c>
      <c r="P18" s="790"/>
      <c r="Q18" s="75">
        <f t="shared" si="0"/>
        <v>12</v>
      </c>
      <c r="R18" s="938">
        <v>176833.94</v>
      </c>
      <c r="S18" s="938">
        <v>0</v>
      </c>
      <c r="T18" s="937">
        <f t="shared" si="10"/>
        <v>176833.94</v>
      </c>
      <c r="U18" s="77"/>
      <c r="V18" s="75">
        <f t="shared" si="1"/>
        <v>12</v>
      </c>
      <c r="W18" s="938">
        <v>170272.49</v>
      </c>
      <c r="X18" s="938">
        <v>0</v>
      </c>
      <c r="Y18" s="937">
        <f t="shared" si="11"/>
        <v>170272.49</v>
      </c>
      <c r="AA18" s="75">
        <f t="shared" si="2"/>
        <v>12</v>
      </c>
      <c r="AB18" s="948"/>
      <c r="AC18" s="948"/>
      <c r="AD18" s="937">
        <f t="shared" ref="AD18:AD21" si="12">AB18+AC18</f>
        <v>0</v>
      </c>
    </row>
    <row r="19" spans="1:30">
      <c r="A19" s="469">
        <f t="shared" si="3"/>
        <v>10</v>
      </c>
      <c r="B19" s="469">
        <v>366.01</v>
      </c>
      <c r="C19" s="23" t="s">
        <v>551</v>
      </c>
      <c r="E19" s="790">
        <f>HLOOKUP(Attach,$R$7:$T$78,Q19,FALSE)</f>
        <v>8173.65</v>
      </c>
      <c r="G19" s="790">
        <f>HLOOKUP(Attach,$W$7:$Y$78,V19,FALSE)</f>
        <v>8173.65</v>
      </c>
      <c r="H19" s="790"/>
      <c r="I19" s="805">
        <v>0</v>
      </c>
      <c r="J19" s="805"/>
      <c r="K19" s="805">
        <f>IFERROR(VLOOKUP(B19,'Sched D-2'!B:E,4,FALSE),0)</f>
        <v>0</v>
      </c>
      <c r="L19" s="805"/>
      <c r="M19" s="805">
        <f>IFERROR(VLOOKUP(B19,'Sched D-3'!B:E,4,FALSE),0)</f>
        <v>0</v>
      </c>
      <c r="N19" s="805"/>
      <c r="O19" s="790">
        <f>SUM(G19:M19)</f>
        <v>8173.65</v>
      </c>
      <c r="P19" s="790"/>
      <c r="Q19" s="75">
        <f t="shared" si="0"/>
        <v>13</v>
      </c>
      <c r="R19" s="938">
        <v>8173.65</v>
      </c>
      <c r="S19" s="938">
        <v>0</v>
      </c>
      <c r="T19" s="937">
        <f t="shared" si="10"/>
        <v>8173.65</v>
      </c>
      <c r="U19" s="77"/>
      <c r="V19" s="75">
        <f t="shared" si="1"/>
        <v>13</v>
      </c>
      <c r="W19" s="938">
        <v>8173.65</v>
      </c>
      <c r="X19" s="938">
        <v>0</v>
      </c>
      <c r="Y19" s="937">
        <f t="shared" si="11"/>
        <v>8173.65</v>
      </c>
      <c r="AA19" s="75">
        <f t="shared" si="2"/>
        <v>13</v>
      </c>
      <c r="AB19" s="948"/>
      <c r="AC19" s="948"/>
      <c r="AD19" s="937">
        <f t="shared" si="12"/>
        <v>0</v>
      </c>
    </row>
    <row r="20" spans="1:30">
      <c r="A20" s="469">
        <f t="shared" si="3"/>
        <v>11</v>
      </c>
      <c r="B20" s="469">
        <v>367</v>
      </c>
      <c r="C20" s="23" t="s">
        <v>368</v>
      </c>
      <c r="E20" s="790">
        <f>HLOOKUP(Attach,$R$7:$T$78,Q20,FALSE)</f>
        <v>5536951.0600000005</v>
      </c>
      <c r="G20" s="790">
        <f>HLOOKUP(Attach,$W$7:$Y$78,V20,FALSE)</f>
        <v>5361146.8400000008</v>
      </c>
      <c r="H20" s="790"/>
      <c r="I20" s="805">
        <v>0</v>
      </c>
      <c r="J20" s="805"/>
      <c r="K20" s="805">
        <f>IFERROR(VLOOKUP(B20,'Sched D-2'!B:E,4,FALSE),0)</f>
        <v>0</v>
      </c>
      <c r="L20" s="805"/>
      <c r="M20" s="805">
        <f>IFERROR(VLOOKUP(B20,'Sched D-3'!B:E,4,FALSE),0)</f>
        <v>0</v>
      </c>
      <c r="N20" s="805"/>
      <c r="O20" s="790">
        <f>SUM(G20:M20)</f>
        <v>5361146.8400000008</v>
      </c>
      <c r="P20" s="790"/>
      <c r="Q20" s="75">
        <f t="shared" si="0"/>
        <v>14</v>
      </c>
      <c r="R20" s="938">
        <v>5536951.0600000005</v>
      </c>
      <c r="S20" s="938">
        <v>0</v>
      </c>
      <c r="T20" s="937">
        <f t="shared" si="10"/>
        <v>5536951.0600000005</v>
      </c>
      <c r="U20" s="77"/>
      <c r="V20" s="75">
        <f t="shared" si="1"/>
        <v>14</v>
      </c>
      <c r="W20" s="938">
        <v>5361146.8400000008</v>
      </c>
      <c r="X20" s="938">
        <v>0</v>
      </c>
      <c r="Y20" s="937">
        <f t="shared" si="11"/>
        <v>5361146.8400000008</v>
      </c>
      <c r="AA20" s="75">
        <f t="shared" si="2"/>
        <v>14</v>
      </c>
      <c r="AB20" s="948"/>
      <c r="AC20" s="948"/>
      <c r="AD20" s="937">
        <f t="shared" si="12"/>
        <v>0</v>
      </c>
    </row>
    <row r="21" spans="1:30">
      <c r="A21" s="469">
        <f t="shared" si="3"/>
        <v>12</v>
      </c>
      <c r="B21" s="469">
        <v>369.03</v>
      </c>
      <c r="C21" s="23" t="s">
        <v>369</v>
      </c>
      <c r="E21" s="790">
        <f>HLOOKUP(Attach,$R$7:$T$78,Q21,FALSE)</f>
        <v>624131.56999999995</v>
      </c>
      <c r="G21" s="790">
        <f>HLOOKUP(Attach,$W$7:$Y$78,V21,FALSE)</f>
        <v>624131.56999999995</v>
      </c>
      <c r="H21" s="790"/>
      <c r="I21" s="805">
        <v>0</v>
      </c>
      <c r="J21" s="805"/>
      <c r="K21" s="805">
        <f>IFERROR(VLOOKUP(B21,'Sched D-2'!B:E,4,FALSE),0)</f>
        <v>0</v>
      </c>
      <c r="L21" s="805"/>
      <c r="M21" s="805">
        <f>IFERROR(VLOOKUP(B21,'Sched D-3'!B:E,4,FALSE),0)</f>
        <v>0</v>
      </c>
      <c r="N21" s="805"/>
      <c r="O21" s="791">
        <f>SUM(G21:M21)</f>
        <v>624131.56999999995</v>
      </c>
      <c r="P21" s="790"/>
      <c r="Q21" s="75">
        <f t="shared" si="0"/>
        <v>15</v>
      </c>
      <c r="R21" s="938">
        <v>624131.56999999995</v>
      </c>
      <c r="S21" s="938">
        <v>0</v>
      </c>
      <c r="T21" s="937">
        <f t="shared" si="10"/>
        <v>624131.56999999995</v>
      </c>
      <c r="U21" s="77"/>
      <c r="V21" s="75">
        <f t="shared" si="1"/>
        <v>15</v>
      </c>
      <c r="W21" s="938">
        <v>624131.56999999995</v>
      </c>
      <c r="X21" s="938">
        <v>0</v>
      </c>
      <c r="Y21" s="937">
        <f t="shared" si="11"/>
        <v>624131.56999999995</v>
      </c>
      <c r="AA21" s="75">
        <f t="shared" si="2"/>
        <v>15</v>
      </c>
      <c r="AB21" s="948"/>
      <c r="AC21" s="948"/>
      <c r="AD21" s="937">
        <f t="shared" si="12"/>
        <v>0</v>
      </c>
    </row>
    <row r="22" spans="1:30">
      <c r="A22" s="469">
        <f t="shared" si="3"/>
        <v>13</v>
      </c>
      <c r="B22" s="469"/>
      <c r="C22" s="1336" t="s">
        <v>118</v>
      </c>
      <c r="E22" s="682">
        <f>ROUND(SUM(E18:E21),0)</f>
        <v>6346090</v>
      </c>
      <c r="G22" s="682">
        <f>ROUND(SUM(G18:G21),0)</f>
        <v>6163725</v>
      </c>
      <c r="H22" s="574"/>
      <c r="I22" s="682">
        <f>ROUND(SUM(I18:I21),0)</f>
        <v>0</v>
      </c>
      <c r="J22" s="683"/>
      <c r="K22" s="682">
        <f>ROUND(SUM(K18:K21),0)</f>
        <v>0</v>
      </c>
      <c r="L22" s="683"/>
      <c r="M22" s="682">
        <f>ROUND(SUM(M18:M21),0)</f>
        <v>0</v>
      </c>
      <c r="N22" s="683"/>
      <c r="O22" s="682">
        <f>ROUND(SUM(O18:O21),0)</f>
        <v>6163725</v>
      </c>
      <c r="P22" s="683"/>
      <c r="Q22" s="75">
        <f t="shared" si="0"/>
        <v>16</v>
      </c>
      <c r="R22" s="943">
        <f>ROUND(SUM(R18:R21),0)</f>
        <v>6346090</v>
      </c>
      <c r="S22" s="943">
        <f>ROUND(SUM(S18:S21),0)</f>
        <v>0</v>
      </c>
      <c r="T22" s="937">
        <f t="shared" si="10"/>
        <v>6346090</v>
      </c>
      <c r="U22" s="206"/>
      <c r="V22" s="75">
        <f t="shared" si="1"/>
        <v>16</v>
      </c>
      <c r="W22" s="943">
        <f>ROUND(SUM(W18:W21),0)</f>
        <v>6163725</v>
      </c>
      <c r="X22" s="943">
        <f>ROUND(SUM(X18:X21),0)</f>
        <v>0</v>
      </c>
      <c r="Y22" s="937">
        <f t="shared" si="11"/>
        <v>6163725</v>
      </c>
      <c r="AA22" s="75">
        <f t="shared" si="2"/>
        <v>16</v>
      </c>
      <c r="AB22" s="937">
        <f>SUM(AB18:AB21)</f>
        <v>0</v>
      </c>
      <c r="AC22" s="937">
        <f>SUM(AC18:AC21)</f>
        <v>0</v>
      </c>
      <c r="AD22" s="937">
        <f>SUM(AD18:AD21)</f>
        <v>0</v>
      </c>
    </row>
    <row r="23" spans="1:30">
      <c r="A23" s="469">
        <f t="shared" si="3"/>
        <v>14</v>
      </c>
      <c r="B23" s="469"/>
      <c r="C23" s="1336"/>
      <c r="E23" s="683"/>
      <c r="G23" s="683"/>
      <c r="H23" s="574"/>
      <c r="I23" s="683"/>
      <c r="J23" s="683"/>
      <c r="K23" s="683"/>
      <c r="L23" s="683"/>
      <c r="M23" s="683"/>
      <c r="N23" s="683"/>
      <c r="O23" s="683"/>
      <c r="P23" s="683"/>
      <c r="Q23" s="75">
        <f t="shared" si="0"/>
        <v>17</v>
      </c>
      <c r="T23" s="937">
        <f t="shared" si="10"/>
        <v>0</v>
      </c>
      <c r="U23" s="206"/>
      <c r="V23" s="75">
        <f t="shared" si="1"/>
        <v>17</v>
      </c>
      <c r="Y23" s="937">
        <f t="shared" si="11"/>
        <v>0</v>
      </c>
      <c r="AA23" s="75">
        <f t="shared" si="2"/>
        <v>17</v>
      </c>
    </row>
    <row r="24" spans="1:30">
      <c r="A24" s="469">
        <f t="shared" si="3"/>
        <v>15</v>
      </c>
      <c r="B24" s="469"/>
      <c r="C24" s="20" t="s">
        <v>432</v>
      </c>
      <c r="E24" s="683"/>
      <c r="G24" s="683"/>
      <c r="H24" s="574"/>
      <c r="I24" s="683"/>
      <c r="J24" s="683"/>
      <c r="K24" s="683"/>
      <c r="L24" s="683"/>
      <c r="M24" s="683"/>
      <c r="N24" s="683"/>
      <c r="O24" s="683"/>
      <c r="P24" s="683"/>
      <c r="Q24" s="75">
        <f t="shared" si="0"/>
        <v>18</v>
      </c>
      <c r="T24" s="937">
        <f t="shared" si="10"/>
        <v>0</v>
      </c>
      <c r="U24" s="206"/>
      <c r="V24" s="75">
        <f t="shared" si="1"/>
        <v>18</v>
      </c>
      <c r="Y24" s="937">
        <f t="shared" si="11"/>
        <v>0</v>
      </c>
      <c r="AA24" s="75">
        <f t="shared" si="2"/>
        <v>18</v>
      </c>
    </row>
    <row r="25" spans="1:30">
      <c r="A25" s="469">
        <f t="shared" si="3"/>
        <v>16</v>
      </c>
      <c r="B25" s="469">
        <v>374.01</v>
      </c>
      <c r="C25" s="23" t="s">
        <v>550</v>
      </c>
      <c r="E25" s="574">
        <f t="shared" ref="E25:E41" si="13">HLOOKUP(Attach,$R$7:$T$78,Q25,FALSE)</f>
        <v>2832146.39</v>
      </c>
      <c r="G25" s="574">
        <f t="shared" ref="G25:G41" si="14">HLOOKUP(Attach,$W$7:$Y$78,V25,FALSE)</f>
        <v>1358867.6</v>
      </c>
      <c r="H25" s="574"/>
      <c r="I25" s="683">
        <v>0</v>
      </c>
      <c r="J25" s="683"/>
      <c r="K25" s="683">
        <f>IFERROR(VLOOKUP(B25,'Sched D-2'!B:E,4,FALSE),0)</f>
        <v>0</v>
      </c>
      <c r="L25" s="683"/>
      <c r="M25" s="683">
        <f>IFERROR(VLOOKUP(B25,'Sched D-3'!B:E,4,FALSE),0)</f>
        <v>-750374.05</v>
      </c>
      <c r="N25" s="683"/>
      <c r="O25" s="574">
        <f>SUM(G25:M25)</f>
        <v>608493.55000000005</v>
      </c>
      <c r="P25" s="574"/>
      <c r="Q25" s="75">
        <f t="shared" si="0"/>
        <v>19</v>
      </c>
      <c r="R25" s="938">
        <v>1780350.9</v>
      </c>
      <c r="S25" s="938">
        <v>1051795.4900000002</v>
      </c>
      <c r="T25" s="937">
        <f t="shared" si="10"/>
        <v>2832146.39</v>
      </c>
      <c r="U25" s="77"/>
      <c r="V25" s="75">
        <f t="shared" si="1"/>
        <v>19</v>
      </c>
      <c r="W25" s="938">
        <v>354927.23</v>
      </c>
      <c r="X25" s="938">
        <v>1003940.37</v>
      </c>
      <c r="Y25" s="937">
        <f t="shared" si="11"/>
        <v>1358867.6</v>
      </c>
      <c r="AA25" s="75">
        <f t="shared" si="2"/>
        <v>19</v>
      </c>
      <c r="AB25" s="938"/>
      <c r="AC25" s="938"/>
      <c r="AD25" s="937">
        <f t="shared" ref="AD25:AD41" si="15">AB25+AC25</f>
        <v>0</v>
      </c>
    </row>
    <row r="26" spans="1:30">
      <c r="A26" s="469">
        <f t="shared" si="3"/>
        <v>17</v>
      </c>
      <c r="B26" s="469">
        <v>374.02</v>
      </c>
      <c r="C26" s="1316" t="s">
        <v>849</v>
      </c>
      <c r="E26" s="680">
        <f t="shared" si="13"/>
        <v>4606979.22</v>
      </c>
      <c r="G26" s="680">
        <f t="shared" si="14"/>
        <v>176100</v>
      </c>
      <c r="H26" s="680"/>
      <c r="I26" s="805">
        <v>0</v>
      </c>
      <c r="J26" s="805"/>
      <c r="K26" s="805">
        <f>IFERROR(VLOOKUP(B26,'Sched D-2'!B:E,4,FALSE),0)</f>
        <v>1517003.5573682757</v>
      </c>
      <c r="L26" s="805"/>
      <c r="M26" s="805">
        <f>IFERROR(VLOOKUP(B26,'Sched D-3'!B:E,4,FALSE),0)</f>
        <v>0</v>
      </c>
      <c r="N26" s="805"/>
      <c r="O26" s="790">
        <f>SUM(G26:M26)</f>
        <v>1693103.5573682757</v>
      </c>
      <c r="P26" s="680"/>
      <c r="Q26" s="75">
        <f t="shared" si="0"/>
        <v>20</v>
      </c>
      <c r="R26" s="938">
        <v>176100</v>
      </c>
      <c r="S26" s="938">
        <v>4430879.22</v>
      </c>
      <c r="T26" s="937">
        <f t="shared" si="10"/>
        <v>4606979.22</v>
      </c>
      <c r="U26" s="77"/>
      <c r="V26" s="75">
        <f t="shared" si="1"/>
        <v>20</v>
      </c>
      <c r="W26" s="938">
        <v>176100</v>
      </c>
      <c r="X26" s="938">
        <v>0</v>
      </c>
      <c r="Y26" s="937">
        <f t="shared" si="11"/>
        <v>176100</v>
      </c>
      <c r="AA26" s="75">
        <f t="shared" si="2"/>
        <v>20</v>
      </c>
      <c r="AB26" s="938"/>
      <c r="AC26" s="938"/>
      <c r="AD26" s="937">
        <f t="shared" si="15"/>
        <v>0</v>
      </c>
    </row>
    <row r="27" spans="1:30">
      <c r="A27" s="469">
        <f t="shared" si="3"/>
        <v>18</v>
      </c>
      <c r="B27" s="469">
        <v>374.03</v>
      </c>
      <c r="C27" s="1316" t="s">
        <v>1125</v>
      </c>
      <c r="E27" s="680">
        <f t="shared" si="13"/>
        <v>160217.17000000001</v>
      </c>
      <c r="G27" s="680">
        <f t="shared" si="14"/>
        <v>6797135.5700000003</v>
      </c>
      <c r="H27" s="680"/>
      <c r="I27" s="805">
        <v>0</v>
      </c>
      <c r="J27" s="805"/>
      <c r="K27" s="805">
        <f>IFERROR(VLOOKUP(B27,'Sched D-2'!B:E,4,FALSE),0)</f>
        <v>0</v>
      </c>
      <c r="L27" s="805"/>
      <c r="M27" s="805">
        <f>IFERROR(VLOOKUP(B27,'Sched D-3'!B:E,4,FALSE),0)</f>
        <v>0</v>
      </c>
      <c r="N27" s="805"/>
      <c r="O27" s="790">
        <f t="shared" ref="O27:O41" si="16">SUM(G27:M27)</f>
        <v>6797135.5700000003</v>
      </c>
      <c r="P27" s="680"/>
      <c r="Q27" s="75">
        <f t="shared" si="0"/>
        <v>21</v>
      </c>
      <c r="R27" s="938">
        <v>160217.17000000001</v>
      </c>
      <c r="S27" s="938">
        <v>0</v>
      </c>
      <c r="T27" s="937">
        <f t="shared" si="10"/>
        <v>160217.17000000001</v>
      </c>
      <c r="U27" s="77"/>
      <c r="V27" s="75">
        <f t="shared" si="1"/>
        <v>21</v>
      </c>
      <c r="W27" s="938">
        <v>2090535.11</v>
      </c>
      <c r="X27" s="938">
        <v>4706600.46</v>
      </c>
      <c r="Y27" s="937">
        <f t="shared" si="11"/>
        <v>6797135.5700000003</v>
      </c>
      <c r="AA27" s="75">
        <f t="shared" si="2"/>
        <v>21</v>
      </c>
      <c r="AB27" s="938"/>
      <c r="AC27" s="938"/>
      <c r="AD27" s="937">
        <f t="shared" si="15"/>
        <v>0</v>
      </c>
    </row>
    <row r="28" spans="1:30">
      <c r="A28" s="469">
        <f t="shared" si="3"/>
        <v>19</v>
      </c>
      <c r="B28" s="469">
        <v>375.01</v>
      </c>
      <c r="C28" s="23" t="s">
        <v>551</v>
      </c>
      <c r="E28" s="680">
        <f t="shared" si="13"/>
        <v>6470312.8600000003</v>
      </c>
      <c r="G28" s="680">
        <f t="shared" si="14"/>
        <v>4987056.08</v>
      </c>
      <c r="H28" s="680"/>
      <c r="I28" s="805">
        <v>0</v>
      </c>
      <c r="J28" s="805"/>
      <c r="K28" s="805">
        <f>'Sched D-2'!E14</f>
        <v>854346.02922942536</v>
      </c>
      <c r="L28" s="805"/>
      <c r="M28" s="805">
        <f>IFERROR(VLOOKUP(B28,'Sched D-3'!B:E,4,FALSE),0)</f>
        <v>-2379315.2599999998</v>
      </c>
      <c r="N28" s="805"/>
      <c r="O28" s="790">
        <f t="shared" si="16"/>
        <v>3462086.8492294252</v>
      </c>
      <c r="P28" s="680"/>
      <c r="Q28" s="75">
        <f t="shared" si="0"/>
        <v>22</v>
      </c>
      <c r="R28" s="938">
        <v>1478521.72</v>
      </c>
      <c r="S28" s="938">
        <v>4991791.1400000006</v>
      </c>
      <c r="T28" s="937">
        <f t="shared" si="10"/>
        <v>6470312.8600000003</v>
      </c>
      <c r="U28" s="77"/>
      <c r="V28" s="75">
        <f t="shared" si="1"/>
        <v>22</v>
      </c>
      <c r="W28" s="938">
        <v>487147.45</v>
      </c>
      <c r="X28" s="938">
        <v>4499908.63</v>
      </c>
      <c r="Y28" s="937">
        <f t="shared" si="11"/>
        <v>4987056.08</v>
      </c>
      <c r="AA28" s="75">
        <f t="shared" si="2"/>
        <v>22</v>
      </c>
      <c r="AB28" s="938"/>
      <c r="AC28" s="938"/>
      <c r="AD28" s="937">
        <f t="shared" si="15"/>
        <v>0</v>
      </c>
    </row>
    <row r="29" spans="1:30">
      <c r="A29" s="469">
        <f t="shared" si="3"/>
        <v>20</v>
      </c>
      <c r="B29" s="1337">
        <v>375.2</v>
      </c>
      <c r="C29" s="23" t="s">
        <v>1163</v>
      </c>
      <c r="E29" s="680">
        <f t="shared" si="13"/>
        <v>12119.44</v>
      </c>
      <c r="G29" s="680">
        <f t="shared" si="14"/>
        <v>12119.44</v>
      </c>
      <c r="H29" s="680"/>
      <c r="I29" s="805">
        <v>0</v>
      </c>
      <c r="J29" s="805"/>
      <c r="K29" s="805">
        <f>IFERROR(VLOOKUP(B29,'Sched D-2'!B:E,4,FALSE),0)</f>
        <v>0</v>
      </c>
      <c r="L29" s="805"/>
      <c r="M29" s="805">
        <f>IFERROR(VLOOKUP(B29,'Sched D-3'!B:E,4,FALSE),0)</f>
        <v>0</v>
      </c>
      <c r="N29" s="805"/>
      <c r="O29" s="790">
        <f t="shared" si="16"/>
        <v>12119.44</v>
      </c>
      <c r="P29" s="680"/>
      <c r="Q29" s="75">
        <f t="shared" si="0"/>
        <v>23</v>
      </c>
      <c r="R29" s="938">
        <v>0</v>
      </c>
      <c r="S29" s="938">
        <v>12119.44</v>
      </c>
      <c r="T29" s="937">
        <f t="shared" si="10"/>
        <v>12119.44</v>
      </c>
      <c r="U29" s="77"/>
      <c r="V29" s="75">
        <f t="shared" si="1"/>
        <v>23</v>
      </c>
      <c r="W29" s="938">
        <v>0</v>
      </c>
      <c r="X29" s="938">
        <v>12119.44</v>
      </c>
      <c r="Y29" s="937">
        <f t="shared" si="11"/>
        <v>12119.44</v>
      </c>
      <c r="AA29" s="75">
        <f t="shared" si="2"/>
        <v>23</v>
      </c>
      <c r="AB29" s="938"/>
      <c r="AC29" s="938"/>
      <c r="AD29" s="937">
        <f t="shared" si="15"/>
        <v>0</v>
      </c>
    </row>
    <row r="30" spans="1:30">
      <c r="A30" s="469">
        <f t="shared" si="3"/>
        <v>21</v>
      </c>
      <c r="B30" s="469">
        <v>376</v>
      </c>
      <c r="C30" s="23" t="s">
        <v>433</v>
      </c>
      <c r="E30" s="680">
        <f t="shared" si="13"/>
        <v>339340326.30999994</v>
      </c>
      <c r="G30" s="680">
        <f t="shared" si="14"/>
        <v>404011716.14999998</v>
      </c>
      <c r="H30" s="680"/>
      <c r="I30" s="805">
        <v>0</v>
      </c>
      <c r="J30" s="805"/>
      <c r="K30" s="805">
        <f>IFERROR(VLOOKUP(B30,'Sched D-2'!B:E,4,FALSE),0)</f>
        <v>41301424.015580021</v>
      </c>
      <c r="L30" s="805"/>
      <c r="M30" s="805">
        <f>IFERROR(VLOOKUP(B30,'Sched D-3'!B:E,4,FALSE),0)</f>
        <v>-747438.26</v>
      </c>
      <c r="N30" s="805"/>
      <c r="O30" s="790">
        <f t="shared" si="16"/>
        <v>444565701.90557998</v>
      </c>
      <c r="P30" s="680"/>
      <c r="Q30" s="75">
        <f t="shared" ref="Q30:Q77" si="17">1+Q29</f>
        <v>24</v>
      </c>
      <c r="R30" s="938">
        <v>165846831.75999999</v>
      </c>
      <c r="S30" s="938">
        <v>173493494.54999998</v>
      </c>
      <c r="T30" s="937">
        <f t="shared" si="10"/>
        <v>339340326.30999994</v>
      </c>
      <c r="U30" s="77"/>
      <c r="V30" s="75">
        <f t="shared" si="1"/>
        <v>24</v>
      </c>
      <c r="W30" s="938">
        <v>215484462.13999996</v>
      </c>
      <c r="X30" s="938">
        <v>188527254.00999999</v>
      </c>
      <c r="Y30" s="937">
        <f t="shared" si="11"/>
        <v>404011716.14999998</v>
      </c>
      <c r="AA30" s="75">
        <f t="shared" si="2"/>
        <v>24</v>
      </c>
      <c r="AB30" s="938"/>
      <c r="AC30" s="938"/>
      <c r="AD30" s="937">
        <f t="shared" si="15"/>
        <v>0</v>
      </c>
    </row>
    <row r="31" spans="1:30">
      <c r="A31" s="469">
        <f t="shared" si="3"/>
        <v>22</v>
      </c>
      <c r="B31" s="469">
        <v>378</v>
      </c>
      <c r="C31" s="23" t="s">
        <v>437</v>
      </c>
      <c r="E31" s="680">
        <f t="shared" si="13"/>
        <v>18911686.629999999</v>
      </c>
      <c r="G31" s="680">
        <f t="shared" si="14"/>
        <v>23549301.310000002</v>
      </c>
      <c r="H31" s="680"/>
      <c r="I31" s="805">
        <v>0</v>
      </c>
      <c r="J31" s="805"/>
      <c r="K31" s="805">
        <f>IFERROR(VLOOKUP(B31,'Sched D-2'!B:E,4,FALSE),0)</f>
        <v>1889834.4372494253</v>
      </c>
      <c r="L31" s="805"/>
      <c r="M31" s="805">
        <f>IFERROR(VLOOKUP(B31,'Sched D-3'!B:E,4,FALSE),0)</f>
        <v>0</v>
      </c>
      <c r="N31" s="805"/>
      <c r="O31" s="790">
        <f t="shared" si="16"/>
        <v>25439135.747249428</v>
      </c>
      <c r="P31" s="680"/>
      <c r="Q31" s="75">
        <f t="shared" si="17"/>
        <v>25</v>
      </c>
      <c r="R31" s="938">
        <v>11350987.379999999</v>
      </c>
      <c r="S31" s="938">
        <v>7560699.25</v>
      </c>
      <c r="T31" s="937">
        <f t="shared" si="10"/>
        <v>18911686.629999999</v>
      </c>
      <c r="U31" s="77"/>
      <c r="V31" s="75">
        <f t="shared" si="1"/>
        <v>25</v>
      </c>
      <c r="W31" s="938">
        <v>14922956.689999999</v>
      </c>
      <c r="X31" s="938">
        <v>8626344.620000001</v>
      </c>
      <c r="Y31" s="937">
        <f t="shared" si="11"/>
        <v>23549301.310000002</v>
      </c>
      <c r="AA31" s="75">
        <f t="shared" si="2"/>
        <v>25</v>
      </c>
      <c r="AB31" s="938"/>
      <c r="AC31" s="938"/>
      <c r="AD31" s="937">
        <f t="shared" si="15"/>
        <v>0</v>
      </c>
    </row>
    <row r="32" spans="1:30">
      <c r="A32" s="469">
        <f t="shared" si="3"/>
        <v>23</v>
      </c>
      <c r="B32" s="469">
        <v>379</v>
      </c>
      <c r="C32" s="23" t="s">
        <v>943</v>
      </c>
      <c r="E32" s="680">
        <f t="shared" si="13"/>
        <v>4499659.45</v>
      </c>
      <c r="G32" s="680">
        <f t="shared" si="14"/>
        <v>4504804.09</v>
      </c>
      <c r="H32" s="680"/>
      <c r="I32" s="805">
        <v>0</v>
      </c>
      <c r="J32" s="805"/>
      <c r="K32" s="805">
        <f>IFERROR(VLOOKUP(B32,'Sched D-2'!B:E,4,FALSE),0)</f>
        <v>517240.94475999987</v>
      </c>
      <c r="L32" s="805"/>
      <c r="M32" s="805">
        <f>IFERROR(VLOOKUP(B32,'Sched D-3'!B:E,4,FALSE),0)</f>
        <v>0</v>
      </c>
      <c r="N32" s="805"/>
      <c r="O32" s="790">
        <f t="shared" si="16"/>
        <v>5022045.0347600002</v>
      </c>
      <c r="P32" s="680"/>
      <c r="Q32" s="75">
        <f t="shared" si="17"/>
        <v>26</v>
      </c>
      <c r="R32" s="938">
        <v>0</v>
      </c>
      <c r="S32" s="938">
        <v>4499659.45</v>
      </c>
      <c r="T32" s="937">
        <f t="shared" si="10"/>
        <v>4499659.45</v>
      </c>
      <c r="U32" s="77"/>
      <c r="V32" s="75">
        <f t="shared" si="1"/>
        <v>26</v>
      </c>
      <c r="W32" s="938">
        <v>0</v>
      </c>
      <c r="X32" s="938">
        <v>4504804.09</v>
      </c>
      <c r="Y32" s="937">
        <f t="shared" si="11"/>
        <v>4504804.09</v>
      </c>
      <c r="AA32" s="75">
        <f t="shared" ref="AA32:AA77" si="18">1+AA31</f>
        <v>26</v>
      </c>
      <c r="AB32" s="938"/>
      <c r="AC32" s="938"/>
      <c r="AD32" s="937">
        <f t="shared" si="15"/>
        <v>0</v>
      </c>
    </row>
    <row r="33" spans="1:30">
      <c r="A33" s="469">
        <f t="shared" si="3"/>
        <v>24</v>
      </c>
      <c r="B33" s="469">
        <v>380</v>
      </c>
      <c r="C33" s="23" t="s">
        <v>434</v>
      </c>
      <c r="E33" s="680">
        <f t="shared" si="13"/>
        <v>119153976.41</v>
      </c>
      <c r="G33" s="680">
        <f t="shared" si="14"/>
        <v>134854199.39999998</v>
      </c>
      <c r="H33" s="680"/>
      <c r="I33" s="805">
        <v>0</v>
      </c>
      <c r="J33" s="805"/>
      <c r="K33" s="805">
        <f>IFERROR(VLOOKUP(B33,'Sched D-2'!B:E,4,FALSE),0)</f>
        <v>25367944.010447118</v>
      </c>
      <c r="L33" s="805"/>
      <c r="M33" s="805">
        <f>IFERROR(VLOOKUP(B33,'Sched D-3'!B:E,4,FALSE),0)</f>
        <v>-484328.68</v>
      </c>
      <c r="N33" s="805"/>
      <c r="O33" s="790">
        <f t="shared" si="16"/>
        <v>159737814.73044708</v>
      </c>
      <c r="P33" s="680"/>
      <c r="Q33" s="75">
        <f t="shared" si="17"/>
        <v>27</v>
      </c>
      <c r="R33" s="938">
        <v>87404310.870000005</v>
      </c>
      <c r="S33" s="938">
        <v>31749665.539999999</v>
      </c>
      <c r="T33" s="937">
        <f t="shared" si="10"/>
        <v>119153976.41</v>
      </c>
      <c r="U33" s="77"/>
      <c r="V33" s="75">
        <f t="shared" si="1"/>
        <v>27</v>
      </c>
      <c r="W33" s="938">
        <v>98249455.629999995</v>
      </c>
      <c r="X33" s="938">
        <v>36604743.769999996</v>
      </c>
      <c r="Y33" s="937">
        <f t="shared" si="11"/>
        <v>134854199.39999998</v>
      </c>
      <c r="AA33" s="75">
        <f t="shared" si="18"/>
        <v>27</v>
      </c>
      <c r="AB33" s="938"/>
      <c r="AC33" s="938"/>
      <c r="AD33" s="937">
        <f t="shared" si="15"/>
        <v>0</v>
      </c>
    </row>
    <row r="34" spans="1:30">
      <c r="A34" s="469">
        <f t="shared" si="3"/>
        <v>25</v>
      </c>
      <c r="B34" s="469">
        <v>381</v>
      </c>
      <c r="C34" s="23" t="s">
        <v>1164</v>
      </c>
      <c r="E34" s="680">
        <f t="shared" si="13"/>
        <v>58797395.769999996</v>
      </c>
      <c r="G34" s="680">
        <f t="shared" si="14"/>
        <v>42421416.420000002</v>
      </c>
      <c r="H34" s="680"/>
      <c r="I34" s="805">
        <v>0</v>
      </c>
      <c r="J34" s="805"/>
      <c r="K34" s="805">
        <f>IFERROR(VLOOKUP(B34,'Sched D-2'!B:E,4,FALSE),0)</f>
        <v>4466857.5739094242</v>
      </c>
      <c r="L34" s="805"/>
      <c r="M34" s="805">
        <f>IFERROR(VLOOKUP(B34,'Sched D-3'!B:E,4,FALSE),0)</f>
        <v>0</v>
      </c>
      <c r="N34" s="805"/>
      <c r="O34" s="790">
        <f t="shared" si="16"/>
        <v>46888273.993909426</v>
      </c>
      <c r="P34" s="680"/>
      <c r="Q34" s="75">
        <f t="shared" si="17"/>
        <v>28</v>
      </c>
      <c r="R34" s="938">
        <v>31825623.98</v>
      </c>
      <c r="S34" s="938">
        <v>26971771.789999999</v>
      </c>
      <c r="T34" s="937">
        <f t="shared" si="10"/>
        <v>58797395.769999996</v>
      </c>
      <c r="U34" s="77"/>
      <c r="V34" s="75">
        <f t="shared" si="1"/>
        <v>28</v>
      </c>
      <c r="W34" s="938">
        <v>30750495.09</v>
      </c>
      <c r="X34" s="938">
        <v>11670921.330000002</v>
      </c>
      <c r="Y34" s="937">
        <f t="shared" si="11"/>
        <v>42421416.420000002</v>
      </c>
      <c r="AA34" s="75">
        <f t="shared" si="18"/>
        <v>28</v>
      </c>
      <c r="AB34" s="938"/>
      <c r="AC34" s="938"/>
      <c r="AD34" s="937">
        <f t="shared" si="15"/>
        <v>0</v>
      </c>
    </row>
    <row r="35" spans="1:30">
      <c r="A35" s="469">
        <f t="shared" si="3"/>
        <v>26</v>
      </c>
      <c r="B35" s="469">
        <v>382.01</v>
      </c>
      <c r="C35" s="23" t="s">
        <v>552</v>
      </c>
      <c r="E35" s="680">
        <f t="shared" si="13"/>
        <v>12135181.689999999</v>
      </c>
      <c r="G35" s="680">
        <f t="shared" si="14"/>
        <v>11094169.640000001</v>
      </c>
      <c r="H35" s="680"/>
      <c r="I35" s="805">
        <v>0</v>
      </c>
      <c r="J35" s="805"/>
      <c r="K35" s="805">
        <f>IFERROR(VLOOKUP(B35,'Sched D-2'!B:E,4,FALSE),0)</f>
        <v>1276663.3628199999</v>
      </c>
      <c r="L35" s="805"/>
      <c r="M35" s="805">
        <f>IFERROR(VLOOKUP(B35,'Sched D-3'!B:E,4,FALSE),0)</f>
        <v>0</v>
      </c>
      <c r="N35" s="805"/>
      <c r="O35" s="790">
        <f t="shared" si="16"/>
        <v>12370833.00282</v>
      </c>
      <c r="P35" s="680"/>
      <c r="Q35" s="75">
        <f t="shared" si="17"/>
        <v>29</v>
      </c>
      <c r="R35" s="938">
        <v>4992141.5199999996</v>
      </c>
      <c r="S35" s="938">
        <v>7143040.1699999999</v>
      </c>
      <c r="T35" s="937">
        <f t="shared" si="10"/>
        <v>12135181.689999999</v>
      </c>
      <c r="U35" s="77"/>
      <c r="V35" s="75">
        <f t="shared" si="1"/>
        <v>29</v>
      </c>
      <c r="W35" s="938">
        <v>5003821.21</v>
      </c>
      <c r="X35" s="938">
        <v>6090348.4299999997</v>
      </c>
      <c r="Y35" s="937">
        <f t="shared" ref="Y35:Y77" si="19">+W35+X35</f>
        <v>11094169.640000001</v>
      </c>
      <c r="AA35" s="75">
        <f t="shared" si="18"/>
        <v>29</v>
      </c>
      <c r="AB35" s="938"/>
      <c r="AC35" s="938"/>
      <c r="AD35" s="937">
        <f t="shared" si="15"/>
        <v>0</v>
      </c>
    </row>
    <row r="36" spans="1:30">
      <c r="A36" s="469">
        <f t="shared" si="3"/>
        <v>27</v>
      </c>
      <c r="B36" s="469">
        <v>383.01</v>
      </c>
      <c r="C36" s="23" t="s">
        <v>435</v>
      </c>
      <c r="E36" s="680">
        <f t="shared" si="13"/>
        <v>42601890.179999992</v>
      </c>
      <c r="G36" s="680">
        <f t="shared" si="14"/>
        <v>70846697.420000002</v>
      </c>
      <c r="H36" s="680"/>
      <c r="I36" s="805">
        <v>0</v>
      </c>
      <c r="J36" s="805"/>
      <c r="K36" s="805">
        <f>IFERROR(VLOOKUP(B36,'Sched D-2'!B:E,4,FALSE),0)</f>
        <v>3453761.6541894246</v>
      </c>
      <c r="L36" s="805"/>
      <c r="M36" s="805">
        <f>IFERROR(VLOOKUP(B36,'Sched D-3'!B:E,4,FALSE),0)</f>
        <v>0</v>
      </c>
      <c r="N36" s="805"/>
      <c r="O36" s="790">
        <f t="shared" si="16"/>
        <v>74300459.074189425</v>
      </c>
      <c r="P36" s="680"/>
      <c r="Q36" s="75">
        <f t="shared" si="17"/>
        <v>30</v>
      </c>
      <c r="R36" s="938">
        <v>32804631.479999997</v>
      </c>
      <c r="S36" s="938">
        <v>9797258.6999999993</v>
      </c>
      <c r="T36" s="937">
        <f t="shared" ref="T36:T74" si="20">+R36+S36</f>
        <v>42601890.179999992</v>
      </c>
      <c r="U36" s="77"/>
      <c r="V36" s="75">
        <f t="shared" si="1"/>
        <v>30</v>
      </c>
      <c r="W36" s="938">
        <v>40387114.020000003</v>
      </c>
      <c r="X36" s="938">
        <v>30459583.400000002</v>
      </c>
      <c r="Y36" s="937">
        <f t="shared" si="19"/>
        <v>70846697.420000002</v>
      </c>
      <c r="AA36" s="75">
        <f t="shared" si="18"/>
        <v>30</v>
      </c>
      <c r="AB36" s="938"/>
      <c r="AC36" s="938"/>
      <c r="AD36" s="937">
        <f t="shared" si="15"/>
        <v>0</v>
      </c>
    </row>
    <row r="37" spans="1:30">
      <c r="A37" s="469">
        <f t="shared" si="3"/>
        <v>28</v>
      </c>
      <c r="B37" s="469">
        <v>383.71</v>
      </c>
      <c r="C37" s="23" t="s">
        <v>1165</v>
      </c>
      <c r="E37" s="680">
        <f t="shared" si="13"/>
        <v>311566.59000000003</v>
      </c>
      <c r="G37" s="680">
        <f t="shared" si="14"/>
        <v>848957.41</v>
      </c>
      <c r="H37" s="680"/>
      <c r="I37" s="805">
        <v>0</v>
      </c>
      <c r="J37" s="805"/>
      <c r="K37" s="805">
        <f>IFERROR(VLOOKUP(B37,'Sched D-2'!B:E,4,FALSE),0)</f>
        <v>207762.67600000001</v>
      </c>
      <c r="L37" s="805"/>
      <c r="M37" s="805">
        <f>IFERROR(VLOOKUP(B37,'Sched D-3'!B:E,4,FALSE),0)</f>
        <v>0</v>
      </c>
      <c r="N37" s="805"/>
      <c r="O37" s="790">
        <f t="shared" si="16"/>
        <v>1056720.0860000001</v>
      </c>
      <c r="P37" s="680"/>
      <c r="Q37" s="75">
        <f t="shared" si="17"/>
        <v>31</v>
      </c>
      <c r="R37" s="938">
        <v>311566.59000000003</v>
      </c>
      <c r="S37" s="938">
        <v>0</v>
      </c>
      <c r="T37" s="937">
        <f t="shared" si="20"/>
        <v>311566.59000000003</v>
      </c>
      <c r="U37" s="77"/>
      <c r="V37" s="75">
        <f t="shared" si="1"/>
        <v>31</v>
      </c>
      <c r="W37" s="938">
        <v>848957.41</v>
      </c>
      <c r="X37" s="938">
        <v>0</v>
      </c>
      <c r="Y37" s="937">
        <f t="shared" si="19"/>
        <v>848957.41</v>
      </c>
      <c r="AA37" s="75">
        <f t="shared" si="18"/>
        <v>31</v>
      </c>
      <c r="AB37" s="938"/>
      <c r="AC37" s="938"/>
      <c r="AD37" s="937">
        <f t="shared" si="15"/>
        <v>0</v>
      </c>
    </row>
    <row r="38" spans="1:30">
      <c r="A38" s="469">
        <f t="shared" si="3"/>
        <v>29</v>
      </c>
      <c r="B38" s="469">
        <v>384.01</v>
      </c>
      <c r="C38" s="23" t="s">
        <v>570</v>
      </c>
      <c r="E38" s="680">
        <f t="shared" si="13"/>
        <v>1680849.51</v>
      </c>
      <c r="G38" s="680">
        <f t="shared" si="14"/>
        <v>1505149.15</v>
      </c>
      <c r="H38" s="680"/>
      <c r="I38" s="805">
        <v>0</v>
      </c>
      <c r="J38" s="805"/>
      <c r="K38" s="805">
        <f>IFERROR(VLOOKUP(B38,'Sched D-2'!B:E,4,FALSE),0)</f>
        <v>51940.669000000002</v>
      </c>
      <c r="L38" s="805"/>
      <c r="M38" s="805">
        <f>IFERROR(VLOOKUP(B38,'Sched D-3'!B:E,4,FALSE),0)</f>
        <v>0</v>
      </c>
      <c r="N38" s="805"/>
      <c r="O38" s="790">
        <f t="shared" si="16"/>
        <v>1557089.8189999999</v>
      </c>
      <c r="P38" s="680"/>
      <c r="Q38" s="75">
        <f t="shared" si="17"/>
        <v>32</v>
      </c>
      <c r="R38" s="938">
        <v>0</v>
      </c>
      <c r="S38" s="938">
        <v>1680849.51</v>
      </c>
      <c r="T38" s="937">
        <f t="shared" si="20"/>
        <v>1680849.51</v>
      </c>
      <c r="U38" s="77"/>
      <c r="V38" s="75">
        <f t="shared" si="1"/>
        <v>32</v>
      </c>
      <c r="W38" s="938">
        <v>0</v>
      </c>
      <c r="X38" s="938">
        <v>1505149.15</v>
      </c>
      <c r="Y38" s="937">
        <f t="shared" si="19"/>
        <v>1505149.15</v>
      </c>
      <c r="AA38" s="75">
        <f t="shared" si="18"/>
        <v>32</v>
      </c>
      <c r="AB38" s="938"/>
      <c r="AC38" s="938"/>
      <c r="AD38" s="937">
        <f t="shared" si="15"/>
        <v>0</v>
      </c>
    </row>
    <row r="39" spans="1:30">
      <c r="A39" s="469">
        <f t="shared" si="3"/>
        <v>30</v>
      </c>
      <c r="B39" s="469">
        <v>385</v>
      </c>
      <c r="C39" s="23" t="s">
        <v>942</v>
      </c>
      <c r="E39" s="680">
        <f t="shared" si="13"/>
        <v>11408782.73</v>
      </c>
      <c r="G39" s="680">
        <f t="shared" si="14"/>
        <v>8058004.8199999984</v>
      </c>
      <c r="H39" s="680"/>
      <c r="I39" s="805">
        <v>0</v>
      </c>
      <c r="J39" s="805"/>
      <c r="K39" s="805">
        <f>IFERROR(VLOOKUP(B39,'Sched D-2'!B:E,4,FALSE),0)</f>
        <v>4469677.232389424</v>
      </c>
      <c r="L39" s="805"/>
      <c r="M39" s="805">
        <f>IFERROR(VLOOKUP(B39,'Sched D-3'!B:E,4,FALSE),0)</f>
        <v>0</v>
      </c>
      <c r="N39" s="805"/>
      <c r="O39" s="790">
        <f t="shared" si="16"/>
        <v>12527682.052389422</v>
      </c>
      <c r="P39" s="680"/>
      <c r="Q39" s="75">
        <f t="shared" si="17"/>
        <v>33</v>
      </c>
      <c r="R39" s="938">
        <v>7632263.7599999998</v>
      </c>
      <c r="S39" s="938">
        <v>3776518.97</v>
      </c>
      <c r="T39" s="937">
        <f t="shared" si="20"/>
        <v>11408782.73</v>
      </c>
      <c r="U39" s="77"/>
      <c r="V39" s="75">
        <f t="shared" si="1"/>
        <v>33</v>
      </c>
      <c r="W39" s="938">
        <v>3806636.6300000004</v>
      </c>
      <c r="X39" s="938">
        <v>4251368.1899999985</v>
      </c>
      <c r="Y39" s="937">
        <f t="shared" si="19"/>
        <v>8058004.8199999984</v>
      </c>
      <c r="AA39" s="75">
        <f t="shared" si="18"/>
        <v>33</v>
      </c>
      <c r="AB39" s="938"/>
      <c r="AC39" s="938"/>
      <c r="AD39" s="937">
        <f t="shared" si="15"/>
        <v>0</v>
      </c>
    </row>
    <row r="40" spans="1:30">
      <c r="A40" s="469">
        <f t="shared" si="3"/>
        <v>31</v>
      </c>
      <c r="B40" s="469">
        <v>386</v>
      </c>
      <c r="C40" s="23" t="s">
        <v>784</v>
      </c>
      <c r="E40" s="680">
        <f t="shared" si="13"/>
        <v>35278.870000000003</v>
      </c>
      <c r="G40" s="680">
        <f t="shared" si="14"/>
        <v>35278.870000000003</v>
      </c>
      <c r="H40" s="680"/>
      <c r="I40" s="805">
        <v>0</v>
      </c>
      <c r="J40" s="805"/>
      <c r="K40" s="805">
        <f>IFERROR(VLOOKUP(B40,'Sched D-2'!B:E,4,FALSE),0)</f>
        <v>0</v>
      </c>
      <c r="L40" s="805"/>
      <c r="M40" s="805">
        <f>IFERROR(VLOOKUP(B40,'Sched D-3'!B:E,4,FALSE),0)</f>
        <v>0</v>
      </c>
      <c r="N40" s="805"/>
      <c r="O40" s="790">
        <f t="shared" si="16"/>
        <v>35278.870000000003</v>
      </c>
      <c r="P40" s="680"/>
      <c r="Q40" s="75">
        <f t="shared" si="17"/>
        <v>34</v>
      </c>
      <c r="R40" s="938">
        <v>0</v>
      </c>
      <c r="S40" s="938">
        <v>35278.870000000003</v>
      </c>
      <c r="T40" s="937">
        <f t="shared" si="20"/>
        <v>35278.870000000003</v>
      </c>
      <c r="U40" s="77"/>
      <c r="V40" s="75">
        <f t="shared" si="1"/>
        <v>34</v>
      </c>
      <c r="W40" s="938">
        <v>0</v>
      </c>
      <c r="X40" s="938">
        <v>35278.870000000003</v>
      </c>
      <c r="Y40" s="937">
        <f t="shared" si="19"/>
        <v>35278.870000000003</v>
      </c>
      <c r="AA40" s="75">
        <f t="shared" si="18"/>
        <v>34</v>
      </c>
      <c r="AB40" s="938"/>
      <c r="AC40" s="938"/>
      <c r="AD40" s="937">
        <f t="shared" si="15"/>
        <v>0</v>
      </c>
    </row>
    <row r="41" spans="1:30">
      <c r="A41" s="469">
        <f t="shared" si="3"/>
        <v>32</v>
      </c>
      <c r="B41" s="469">
        <v>387</v>
      </c>
      <c r="C41" s="23" t="s">
        <v>546</v>
      </c>
      <c r="E41" s="680">
        <f t="shared" si="13"/>
        <v>437205.02</v>
      </c>
      <c r="G41" s="680">
        <f t="shared" si="14"/>
        <v>407724.66000000003</v>
      </c>
      <c r="H41" s="680"/>
      <c r="I41" s="805">
        <v>0</v>
      </c>
      <c r="J41" s="805"/>
      <c r="K41" s="805">
        <f>IFERROR(VLOOKUP(B41,'Sched D-2'!B:E,4,FALSE),0)</f>
        <v>0</v>
      </c>
      <c r="L41" s="683"/>
      <c r="M41" s="805">
        <f>IFERROR(VLOOKUP(B41,'Sched D-3'!B:E,4,FALSE),0)</f>
        <v>0</v>
      </c>
      <c r="N41" s="805"/>
      <c r="O41" s="790">
        <f t="shared" si="16"/>
        <v>407724.66000000003</v>
      </c>
      <c r="P41" s="680"/>
      <c r="Q41" s="75">
        <f t="shared" si="17"/>
        <v>35</v>
      </c>
      <c r="R41" s="938">
        <v>49838.770000000004</v>
      </c>
      <c r="S41" s="938">
        <v>387366.25</v>
      </c>
      <c r="T41" s="937">
        <f t="shared" si="20"/>
        <v>437205.02</v>
      </c>
      <c r="U41" s="77"/>
      <c r="V41" s="75">
        <f t="shared" si="1"/>
        <v>35</v>
      </c>
      <c r="W41" s="938">
        <v>39378.870000000003</v>
      </c>
      <c r="X41" s="938">
        <v>368345.79000000004</v>
      </c>
      <c r="Y41" s="937">
        <f t="shared" si="19"/>
        <v>407724.66000000003</v>
      </c>
      <c r="AA41" s="75">
        <f t="shared" si="18"/>
        <v>35</v>
      </c>
      <c r="AB41" s="938"/>
      <c r="AC41" s="938"/>
      <c r="AD41" s="946">
        <f t="shared" si="15"/>
        <v>0</v>
      </c>
    </row>
    <row r="42" spans="1:30">
      <c r="A42" s="469">
        <f t="shared" si="3"/>
        <v>33</v>
      </c>
      <c r="B42" s="469"/>
      <c r="C42" s="1336" t="s">
        <v>436</v>
      </c>
      <c r="E42" s="682">
        <f>ROUND(SUM(E25:E41),0)</f>
        <v>623395574</v>
      </c>
      <c r="G42" s="682">
        <f>ROUND(SUM(G25:G41),0)</f>
        <v>715468698</v>
      </c>
      <c r="H42" s="574"/>
      <c r="I42" s="682">
        <f>ROUND(SUM(I25:I41),0)</f>
        <v>0</v>
      </c>
      <c r="J42" s="683"/>
      <c r="K42" s="682">
        <f>ROUND(SUM(K25:K41),0)</f>
        <v>85374456</v>
      </c>
      <c r="L42" s="683"/>
      <c r="M42" s="682">
        <f>ROUND(SUM(M25:M41),0)</f>
        <v>-4361456</v>
      </c>
      <c r="N42" s="683"/>
      <c r="O42" s="682">
        <f>ROUND(SUM(O25:O41),0)</f>
        <v>796481698</v>
      </c>
      <c r="P42" s="683"/>
      <c r="Q42" s="75">
        <f t="shared" si="17"/>
        <v>36</v>
      </c>
      <c r="R42" s="943">
        <f>ROUND(SUM(R25:R41),0)</f>
        <v>345813386</v>
      </c>
      <c r="S42" s="943">
        <f>ROUND(SUM(S25:S41),0)</f>
        <v>277582188</v>
      </c>
      <c r="T42" s="937">
        <f t="shared" si="20"/>
        <v>623395574</v>
      </c>
      <c r="U42" s="206"/>
      <c r="V42" s="75">
        <f t="shared" si="1"/>
        <v>36</v>
      </c>
      <c r="W42" s="943">
        <f>ROUND(SUM(W25:W41),0)</f>
        <v>412601987</v>
      </c>
      <c r="X42" s="943">
        <f>ROUND(SUM(X25:X41),0)</f>
        <v>302866711</v>
      </c>
      <c r="Y42" s="937">
        <f t="shared" si="19"/>
        <v>715468698</v>
      </c>
      <c r="AA42" s="75">
        <f t="shared" si="18"/>
        <v>36</v>
      </c>
      <c r="AB42" s="937">
        <f>SUM(AB25:AB41)</f>
        <v>0</v>
      </c>
      <c r="AC42" s="937">
        <f>SUM(AC25:AC41)</f>
        <v>0</v>
      </c>
      <c r="AD42" s="937">
        <f>SUM(AD25:AD41)</f>
        <v>0</v>
      </c>
    </row>
    <row r="43" spans="1:30">
      <c r="A43" s="469">
        <f t="shared" si="3"/>
        <v>34</v>
      </c>
      <c r="B43" s="469"/>
      <c r="C43" s="1336"/>
      <c r="E43" s="574"/>
      <c r="G43" s="574"/>
      <c r="H43" s="574"/>
      <c r="I43" s="574"/>
      <c r="J43" s="683"/>
      <c r="K43" s="574"/>
      <c r="L43" s="683"/>
      <c r="M43" s="574"/>
      <c r="N43" s="683"/>
      <c r="O43" s="574"/>
      <c r="P43" s="574"/>
      <c r="Q43" s="75">
        <f t="shared" si="17"/>
        <v>37</v>
      </c>
      <c r="T43" s="937">
        <f t="shared" si="20"/>
        <v>0</v>
      </c>
      <c r="U43" s="121"/>
      <c r="V43" s="75">
        <f t="shared" si="1"/>
        <v>37</v>
      </c>
      <c r="Y43" s="937">
        <f t="shared" si="19"/>
        <v>0</v>
      </c>
      <c r="AA43" s="75">
        <f t="shared" si="18"/>
        <v>37</v>
      </c>
    </row>
    <row r="44" spans="1:30">
      <c r="A44" s="469">
        <f t="shared" si="3"/>
        <v>35</v>
      </c>
      <c r="B44" s="469"/>
      <c r="C44" s="1030" t="s">
        <v>300</v>
      </c>
      <c r="E44" s="574"/>
      <c r="G44" s="574"/>
      <c r="H44" s="574"/>
      <c r="I44" s="574"/>
      <c r="J44" s="683"/>
      <c r="K44" s="574"/>
      <c r="L44" s="683"/>
      <c r="M44" s="574"/>
      <c r="N44" s="683"/>
      <c r="O44" s="574"/>
      <c r="P44" s="574"/>
      <c r="Q44" s="75">
        <f t="shared" si="17"/>
        <v>38</v>
      </c>
      <c r="T44" s="937">
        <f t="shared" si="20"/>
        <v>0</v>
      </c>
      <c r="U44" s="121"/>
      <c r="V44" s="75">
        <f t="shared" si="1"/>
        <v>38</v>
      </c>
      <c r="Y44" s="937">
        <f t="shared" si="19"/>
        <v>0</v>
      </c>
      <c r="AA44" s="75">
        <f t="shared" si="18"/>
        <v>38</v>
      </c>
    </row>
    <row r="45" spans="1:30">
      <c r="A45" s="469">
        <f t="shared" si="3"/>
        <v>36</v>
      </c>
      <c r="B45" s="469">
        <v>389.01</v>
      </c>
      <c r="C45" s="23" t="s">
        <v>555</v>
      </c>
      <c r="E45" s="574">
        <f t="shared" ref="E45:E67" si="21">HLOOKUP(Attach,$R$7:$T$78,Q45,FALSE)</f>
        <v>2101520.9699999997</v>
      </c>
      <c r="G45" s="574">
        <f t="shared" ref="G45:G67" si="22">HLOOKUP(Attach,$W$7:$Y$78,V45,FALSE)</f>
        <v>5210067.8100000005</v>
      </c>
      <c r="H45" s="574"/>
      <c r="I45" s="683">
        <v>0</v>
      </c>
      <c r="J45" s="683"/>
      <c r="K45" s="683">
        <f>IFERROR(VLOOKUP(B45,'Sched D-2'!B:E,4,FALSE),0)</f>
        <v>899713.44209999975</v>
      </c>
      <c r="L45" s="683"/>
      <c r="M45" s="683">
        <f>IFERROR(VLOOKUP(B45,'Sched D-3'!B:E,4,FALSE),0)</f>
        <v>-3944.27000000001</v>
      </c>
      <c r="N45" s="683"/>
      <c r="O45" s="574">
        <f>SUM(G45:M45)</f>
        <v>6105836.9821000006</v>
      </c>
      <c r="P45" s="574"/>
      <c r="Q45" s="75">
        <f t="shared" si="17"/>
        <v>39</v>
      </c>
      <c r="R45" s="938">
        <v>1598285.25</v>
      </c>
      <c r="S45" s="938">
        <v>503235.72</v>
      </c>
      <c r="T45" s="937">
        <f t="shared" si="20"/>
        <v>2101520.9699999997</v>
      </c>
      <c r="U45" s="77"/>
      <c r="V45" s="75">
        <f t="shared" si="1"/>
        <v>39</v>
      </c>
      <c r="W45" s="938">
        <v>3286546.93</v>
      </c>
      <c r="X45" s="938">
        <v>1923520.88</v>
      </c>
      <c r="Y45" s="937">
        <f t="shared" si="19"/>
        <v>5210067.8100000005</v>
      </c>
      <c r="AA45" s="75">
        <f t="shared" si="18"/>
        <v>39</v>
      </c>
      <c r="AB45" s="938"/>
      <c r="AC45" s="938"/>
      <c r="AD45" s="947">
        <f t="shared" ref="AD45:AD67" si="23">AB45+AC45</f>
        <v>0</v>
      </c>
    </row>
    <row r="46" spans="1:30">
      <c r="A46" s="469">
        <f t="shared" si="3"/>
        <v>37</v>
      </c>
      <c r="B46" s="469">
        <v>389.02</v>
      </c>
      <c r="C46" s="23" t="s">
        <v>837</v>
      </c>
      <c r="E46" s="790">
        <f t="shared" si="21"/>
        <v>0</v>
      </c>
      <c r="G46" s="790">
        <f t="shared" si="22"/>
        <v>1183494.1200000001</v>
      </c>
      <c r="H46" s="574"/>
      <c r="I46" s="805">
        <v>0</v>
      </c>
      <c r="J46" s="683"/>
      <c r="K46" s="805">
        <f>IFERROR(VLOOKUP(B46,'Sched D-2'!B:E,4,FALSE),0)</f>
        <v>245376.39329999997</v>
      </c>
      <c r="L46" s="683"/>
      <c r="M46" s="805">
        <f>IFERROR(VLOOKUP(B46,'Sched D-3'!B:E,4,FALSE),0)</f>
        <v>0</v>
      </c>
      <c r="N46" s="683"/>
      <c r="O46" s="790">
        <f>SUM(G46:M46)</f>
        <v>1428870.5133</v>
      </c>
      <c r="P46" s="574"/>
      <c r="Q46" s="75">
        <f t="shared" si="17"/>
        <v>40</v>
      </c>
      <c r="R46" s="938">
        <v>0</v>
      </c>
      <c r="S46" s="938">
        <v>0</v>
      </c>
      <c r="T46" s="937">
        <f t="shared" si="20"/>
        <v>0</v>
      </c>
      <c r="U46" s="77"/>
      <c r="V46" s="75">
        <f t="shared" si="1"/>
        <v>40</v>
      </c>
      <c r="W46" s="938">
        <v>0</v>
      </c>
      <c r="X46" s="938">
        <v>1183494.1200000001</v>
      </c>
      <c r="Y46" s="937">
        <f t="shared" si="19"/>
        <v>1183494.1200000001</v>
      </c>
      <c r="AA46" s="75">
        <f t="shared" si="18"/>
        <v>40</v>
      </c>
      <c r="AB46" s="938"/>
      <c r="AC46" s="938"/>
      <c r="AD46" s="947">
        <f t="shared" si="23"/>
        <v>0</v>
      </c>
    </row>
    <row r="47" spans="1:30">
      <c r="A47" s="469">
        <f t="shared" si="3"/>
        <v>38</v>
      </c>
      <c r="B47" s="469">
        <v>390.01</v>
      </c>
      <c r="C47" s="23" t="s">
        <v>556</v>
      </c>
      <c r="E47" s="790">
        <f t="shared" si="21"/>
        <v>6931999.5099999998</v>
      </c>
      <c r="G47" s="790">
        <f t="shared" si="22"/>
        <v>38224610.969999999</v>
      </c>
      <c r="H47" s="790"/>
      <c r="I47" s="805">
        <v>0</v>
      </c>
      <c r="J47" s="805"/>
      <c r="K47" s="805">
        <f>IFERROR(VLOOKUP(B47,'Sched D-2'!B:E,4,FALSE),0)</f>
        <v>6870539.0123999985</v>
      </c>
      <c r="L47" s="805"/>
      <c r="M47" s="805">
        <f>IFERROR(VLOOKUP(B47,'Sched D-3'!B:E,4,FALSE),0)</f>
        <v>-490714.67000000097</v>
      </c>
      <c r="N47" s="805"/>
      <c r="O47" s="790">
        <f t="shared" ref="O47:O67" si="24">SUM(G47:M47)</f>
        <v>44604435.312399998</v>
      </c>
      <c r="P47" s="790"/>
      <c r="Q47" s="75">
        <f t="shared" si="17"/>
        <v>41</v>
      </c>
      <c r="R47" s="938">
        <v>2785024.34</v>
      </c>
      <c r="S47" s="938">
        <v>4146975.17</v>
      </c>
      <c r="T47" s="937">
        <f t="shared" si="20"/>
        <v>6931999.5099999998</v>
      </c>
      <c r="U47" s="77"/>
      <c r="V47" s="75">
        <f t="shared" si="1"/>
        <v>41</v>
      </c>
      <c r="W47" s="938">
        <v>21948637.82</v>
      </c>
      <c r="X47" s="938">
        <v>16275973.149999999</v>
      </c>
      <c r="Y47" s="937">
        <f t="shared" si="19"/>
        <v>38224610.969999999</v>
      </c>
      <c r="AA47" s="75">
        <f t="shared" si="18"/>
        <v>41</v>
      </c>
      <c r="AB47" s="938"/>
      <c r="AC47" s="938"/>
      <c r="AD47" s="947">
        <f t="shared" si="23"/>
        <v>0</v>
      </c>
    </row>
    <row r="48" spans="1:30">
      <c r="A48" s="469">
        <f t="shared" si="3"/>
        <v>39</v>
      </c>
      <c r="B48" s="469">
        <v>390.51</v>
      </c>
      <c r="C48" s="23" t="s">
        <v>1166</v>
      </c>
      <c r="E48" s="790">
        <f t="shared" si="21"/>
        <v>353875.18</v>
      </c>
      <c r="G48" s="790">
        <f t="shared" si="22"/>
        <v>93091.32</v>
      </c>
      <c r="H48" s="790"/>
      <c r="I48" s="805">
        <v>0</v>
      </c>
      <c r="J48" s="805"/>
      <c r="K48" s="805">
        <f>IFERROR(VLOOKUP(B48,'Sched D-2'!B:E,4,FALSE),0)</f>
        <v>0</v>
      </c>
      <c r="L48" s="805"/>
      <c r="M48" s="805">
        <f>IFERROR(VLOOKUP(B48,'Sched D-3'!B:E,4,FALSE),0)</f>
        <v>0</v>
      </c>
      <c r="N48" s="805"/>
      <c r="O48" s="790">
        <f t="shared" si="24"/>
        <v>93091.32</v>
      </c>
      <c r="P48" s="790"/>
      <c r="Q48" s="75">
        <f t="shared" si="17"/>
        <v>42</v>
      </c>
      <c r="R48" s="938">
        <v>350505.04</v>
      </c>
      <c r="S48" s="938">
        <v>3370.14</v>
      </c>
      <c r="T48" s="937">
        <f t="shared" si="20"/>
        <v>353875.18</v>
      </c>
      <c r="U48" s="77"/>
      <c r="V48" s="75">
        <f t="shared" si="1"/>
        <v>42</v>
      </c>
      <c r="W48" s="938">
        <v>93091.32</v>
      </c>
      <c r="X48" s="938">
        <v>0</v>
      </c>
      <c r="Y48" s="937">
        <f t="shared" si="19"/>
        <v>93091.32</v>
      </c>
      <c r="AA48" s="75">
        <f t="shared" si="18"/>
        <v>42</v>
      </c>
      <c r="AB48" s="938"/>
      <c r="AC48" s="938"/>
      <c r="AD48" s="947">
        <f t="shared" si="23"/>
        <v>0</v>
      </c>
    </row>
    <row r="49" spans="1:30">
      <c r="A49" s="469">
        <f t="shared" si="3"/>
        <v>40</v>
      </c>
      <c r="B49" s="469">
        <v>391.01</v>
      </c>
      <c r="C49" s="23" t="s">
        <v>787</v>
      </c>
      <c r="E49" s="790">
        <f t="shared" si="21"/>
        <v>470109.28</v>
      </c>
      <c r="G49" s="790">
        <f t="shared" si="22"/>
        <v>425978.73</v>
      </c>
      <c r="H49" s="790"/>
      <c r="I49" s="805">
        <v>0</v>
      </c>
      <c r="J49" s="805"/>
      <c r="K49" s="805">
        <f>IFERROR(VLOOKUP(B49,'Sched D-2'!B:E,4,FALSE),0)</f>
        <v>81792.131099999984</v>
      </c>
      <c r="L49" s="805"/>
      <c r="M49" s="805">
        <f>IFERROR(VLOOKUP(B49,'Sched D-3'!B:E,4,FALSE),0)</f>
        <v>0</v>
      </c>
      <c r="N49" s="805"/>
      <c r="O49" s="790">
        <f t="shared" si="24"/>
        <v>507770.86109999998</v>
      </c>
      <c r="P49" s="790"/>
      <c r="Q49" s="75">
        <f t="shared" si="17"/>
        <v>43</v>
      </c>
      <c r="R49" s="938">
        <v>247356.5</v>
      </c>
      <c r="S49" s="938">
        <v>222752.78</v>
      </c>
      <c r="T49" s="937">
        <f t="shared" si="20"/>
        <v>470109.28</v>
      </c>
      <c r="U49" s="77"/>
      <c r="V49" s="75">
        <f t="shared" si="1"/>
        <v>43</v>
      </c>
      <c r="W49" s="938">
        <v>48236.35</v>
      </c>
      <c r="X49" s="938">
        <v>377742.38</v>
      </c>
      <c r="Y49" s="937">
        <f t="shared" si="19"/>
        <v>425978.73</v>
      </c>
      <c r="AA49" s="75">
        <f t="shared" si="18"/>
        <v>43</v>
      </c>
      <c r="AB49" s="938"/>
      <c r="AC49" s="938"/>
      <c r="AD49" s="947">
        <f t="shared" si="23"/>
        <v>0</v>
      </c>
    </row>
    <row r="50" spans="1:30">
      <c r="A50" s="469">
        <f t="shared" si="3"/>
        <v>41</v>
      </c>
      <c r="B50" s="469">
        <v>391.02</v>
      </c>
      <c r="C50" s="23" t="s">
        <v>788</v>
      </c>
      <c r="E50" s="790">
        <f t="shared" si="21"/>
        <v>162391.26</v>
      </c>
      <c r="G50" s="790">
        <f t="shared" si="22"/>
        <v>0</v>
      </c>
      <c r="H50" s="790"/>
      <c r="I50" s="805">
        <v>0</v>
      </c>
      <c r="J50" s="805"/>
      <c r="K50" s="805">
        <f>IFERROR(VLOOKUP(B50,'Sched D-2'!B:E,4,FALSE),0)</f>
        <v>0</v>
      </c>
      <c r="L50" s="805"/>
      <c r="M50" s="805">
        <f>IFERROR(VLOOKUP(B50,'Sched D-3'!B:E,4,FALSE),0)</f>
        <v>0</v>
      </c>
      <c r="N50" s="805"/>
      <c r="O50" s="790">
        <f t="shared" si="24"/>
        <v>0</v>
      </c>
      <c r="P50" s="790"/>
      <c r="Q50" s="75">
        <f t="shared" si="17"/>
        <v>44</v>
      </c>
      <c r="R50" s="938">
        <v>0</v>
      </c>
      <c r="S50" s="938">
        <v>162391.26</v>
      </c>
      <c r="T50" s="937">
        <f t="shared" si="20"/>
        <v>162391.26</v>
      </c>
      <c r="U50" s="77"/>
      <c r="V50" s="75">
        <f t="shared" si="1"/>
        <v>44</v>
      </c>
      <c r="W50" s="938">
        <v>0</v>
      </c>
      <c r="X50" s="938">
        <v>0</v>
      </c>
      <c r="Y50" s="937">
        <f t="shared" si="19"/>
        <v>0</v>
      </c>
      <c r="AA50" s="75">
        <f t="shared" si="18"/>
        <v>44</v>
      </c>
      <c r="AB50" s="938"/>
      <c r="AC50" s="938"/>
      <c r="AD50" s="947">
        <f t="shared" si="23"/>
        <v>0</v>
      </c>
    </row>
    <row r="51" spans="1:30">
      <c r="A51" s="469">
        <f t="shared" si="3"/>
        <v>42</v>
      </c>
      <c r="B51" s="469">
        <v>391.03</v>
      </c>
      <c r="C51" s="23" t="s">
        <v>769</v>
      </c>
      <c r="E51" s="790">
        <f t="shared" si="21"/>
        <v>247658.00999999998</v>
      </c>
      <c r="G51" s="790">
        <f t="shared" si="22"/>
        <v>558110.17999999993</v>
      </c>
      <c r="H51" s="790"/>
      <c r="I51" s="805">
        <v>0</v>
      </c>
      <c r="J51" s="805"/>
      <c r="K51" s="805">
        <f>IFERROR(VLOOKUP(B51,'Sched D-2'!B:E,4,FALSE),0)</f>
        <v>81792.131099999984</v>
      </c>
      <c r="L51" s="805"/>
      <c r="M51" s="805">
        <f>IFERROR(VLOOKUP(B51,'Sched D-3'!B:E,4,FALSE),0)</f>
        <v>0</v>
      </c>
      <c r="N51" s="805"/>
      <c r="O51" s="790">
        <f t="shared" si="24"/>
        <v>639902.31109999993</v>
      </c>
      <c r="P51" s="790"/>
      <c r="Q51" s="75">
        <f t="shared" si="17"/>
        <v>45</v>
      </c>
      <c r="R51" s="938">
        <v>237597.05</v>
      </c>
      <c r="S51" s="938">
        <v>10060.959999999999</v>
      </c>
      <c r="T51" s="937">
        <f t="shared" si="20"/>
        <v>247658.00999999998</v>
      </c>
      <c r="U51" s="77"/>
      <c r="V51" s="75">
        <f t="shared" si="1"/>
        <v>45</v>
      </c>
      <c r="W51" s="938">
        <v>271266.11</v>
      </c>
      <c r="X51" s="938">
        <v>286844.07</v>
      </c>
      <c r="Y51" s="937">
        <f t="shared" si="19"/>
        <v>558110.17999999993</v>
      </c>
      <c r="AA51" s="75">
        <f t="shared" si="18"/>
        <v>45</v>
      </c>
      <c r="AB51" s="938"/>
      <c r="AC51" s="938"/>
      <c r="AD51" s="947">
        <f t="shared" si="23"/>
        <v>0</v>
      </c>
    </row>
    <row r="52" spans="1:30">
      <c r="A52" s="469">
        <f t="shared" si="3"/>
        <v>43</v>
      </c>
      <c r="B52" s="469">
        <v>391.04</v>
      </c>
      <c r="C52" s="23" t="s">
        <v>770</v>
      </c>
      <c r="E52" s="790">
        <f t="shared" si="21"/>
        <v>329172.57999999996</v>
      </c>
      <c r="G52" s="790">
        <f t="shared" si="22"/>
        <v>170100</v>
      </c>
      <c r="H52" s="790"/>
      <c r="I52" s="805">
        <v>0</v>
      </c>
      <c r="J52" s="805"/>
      <c r="K52" s="805">
        <f>IFERROR(VLOOKUP(B52,'Sched D-2'!B:E,4,FALSE),0)</f>
        <v>553480.82000000007</v>
      </c>
      <c r="L52" s="805"/>
      <c r="M52" s="805">
        <f>IFERROR(VLOOKUP(B52,'Sched D-3'!B:E,4,FALSE),0)</f>
        <v>0</v>
      </c>
      <c r="N52" s="805"/>
      <c r="O52" s="790">
        <f t="shared" si="24"/>
        <v>723580.82000000007</v>
      </c>
      <c r="P52" s="790"/>
      <c r="Q52" s="75">
        <f t="shared" si="17"/>
        <v>46</v>
      </c>
      <c r="R52" s="938">
        <v>206009.46</v>
      </c>
      <c r="S52" s="938">
        <v>123163.12</v>
      </c>
      <c r="T52" s="937">
        <f t="shared" si="20"/>
        <v>329172.57999999996</v>
      </c>
      <c r="U52" s="77"/>
      <c r="V52" s="75">
        <f t="shared" si="1"/>
        <v>46</v>
      </c>
      <c r="W52" s="938">
        <v>170100</v>
      </c>
      <c r="X52" s="938">
        <v>0</v>
      </c>
      <c r="Y52" s="937">
        <f t="shared" si="19"/>
        <v>170100</v>
      </c>
      <c r="AA52" s="75">
        <f t="shared" si="18"/>
        <v>46</v>
      </c>
      <c r="AB52" s="938"/>
      <c r="AC52" s="938"/>
      <c r="AD52" s="947">
        <f t="shared" si="23"/>
        <v>0</v>
      </c>
    </row>
    <row r="53" spans="1:30">
      <c r="A53" s="469">
        <f t="shared" si="3"/>
        <v>44</v>
      </c>
      <c r="B53" s="469">
        <v>391.05</v>
      </c>
      <c r="C53" s="23" t="s">
        <v>783</v>
      </c>
      <c r="E53" s="790">
        <f t="shared" si="21"/>
        <v>150246.25</v>
      </c>
      <c r="G53" s="790">
        <f t="shared" si="22"/>
        <v>0</v>
      </c>
      <c r="H53" s="790"/>
      <c r="I53" s="805">
        <v>0</v>
      </c>
      <c r="J53" s="805"/>
      <c r="K53" s="805">
        <f>IFERROR(VLOOKUP(B53,'Sched D-2'!B:E,4,FALSE),0)</f>
        <v>0</v>
      </c>
      <c r="L53" s="805"/>
      <c r="M53" s="805">
        <f>IFERROR(VLOOKUP(B53,'Sched D-3'!B:E,4,FALSE),0)</f>
        <v>0</v>
      </c>
      <c r="N53" s="805"/>
      <c r="O53" s="790">
        <f t="shared" si="24"/>
        <v>0</v>
      </c>
      <c r="P53" s="790"/>
      <c r="Q53" s="75">
        <f t="shared" si="17"/>
        <v>47</v>
      </c>
      <c r="R53" s="938">
        <v>0</v>
      </c>
      <c r="S53" s="938">
        <v>150246.25</v>
      </c>
      <c r="T53" s="937">
        <f t="shared" si="20"/>
        <v>150246.25</v>
      </c>
      <c r="U53" s="77"/>
      <c r="V53" s="75">
        <f t="shared" si="1"/>
        <v>47</v>
      </c>
      <c r="W53" s="938">
        <v>0</v>
      </c>
      <c r="X53" s="938">
        <v>0</v>
      </c>
      <c r="Y53" s="937">
        <f t="shared" si="19"/>
        <v>0</v>
      </c>
      <c r="AA53" s="75">
        <f t="shared" si="18"/>
        <v>47</v>
      </c>
      <c r="AB53" s="938"/>
      <c r="AC53" s="938"/>
      <c r="AD53" s="947">
        <f t="shared" si="23"/>
        <v>0</v>
      </c>
    </row>
    <row r="54" spans="1:30">
      <c r="A54" s="469">
        <f t="shared" si="3"/>
        <v>45</v>
      </c>
      <c r="B54" s="469">
        <v>391.07</v>
      </c>
      <c r="C54" s="23" t="s">
        <v>782</v>
      </c>
      <c r="E54" s="790">
        <f t="shared" si="21"/>
        <v>332868.46999999997</v>
      </c>
      <c r="G54" s="790">
        <f t="shared" si="22"/>
        <v>611478.77</v>
      </c>
      <c r="H54" s="790"/>
      <c r="I54" s="805">
        <v>0</v>
      </c>
      <c r="J54" s="805"/>
      <c r="K54" s="805">
        <f>IFERROR(VLOOKUP(B54,'Sched D-2'!B:E,4,FALSE),0)</f>
        <v>0</v>
      </c>
      <c r="L54" s="805"/>
      <c r="M54" s="805">
        <f>IFERROR(VLOOKUP(B54,'Sched D-3'!B:E,4,FALSE),0)</f>
        <v>0</v>
      </c>
      <c r="N54" s="805"/>
      <c r="O54" s="790">
        <f t="shared" si="24"/>
        <v>611478.77</v>
      </c>
      <c r="P54" s="790"/>
      <c r="Q54" s="75">
        <f t="shared" si="17"/>
        <v>48</v>
      </c>
      <c r="R54" s="938">
        <v>162580.06</v>
      </c>
      <c r="S54" s="938">
        <v>170288.41</v>
      </c>
      <c r="T54" s="937">
        <f t="shared" si="20"/>
        <v>332868.46999999997</v>
      </c>
      <c r="U54" s="77"/>
      <c r="V54" s="75">
        <f t="shared" si="1"/>
        <v>48</v>
      </c>
      <c r="W54" s="938">
        <v>265651.92</v>
      </c>
      <c r="X54" s="938">
        <v>345826.85</v>
      </c>
      <c r="Y54" s="937">
        <f t="shared" si="19"/>
        <v>611478.77</v>
      </c>
      <c r="AA54" s="75">
        <f t="shared" si="18"/>
        <v>48</v>
      </c>
      <c r="AB54" s="938"/>
      <c r="AC54" s="938"/>
      <c r="AD54" s="947">
        <f t="shared" si="23"/>
        <v>0</v>
      </c>
    </row>
    <row r="55" spans="1:30">
      <c r="A55" s="469">
        <f t="shared" si="3"/>
        <v>46</v>
      </c>
      <c r="B55" s="469">
        <v>392.01</v>
      </c>
      <c r="C55" s="23" t="s">
        <v>111</v>
      </c>
      <c r="E55" s="790">
        <f t="shared" si="21"/>
        <v>4673239.97</v>
      </c>
      <c r="G55" s="790">
        <f t="shared" si="22"/>
        <v>0</v>
      </c>
      <c r="H55" s="790"/>
      <c r="I55" s="805">
        <v>0</v>
      </c>
      <c r="J55" s="805"/>
      <c r="K55" s="805">
        <f>IFERROR(VLOOKUP(B55,'Sched D-2'!B:E,4,FALSE),0)</f>
        <v>0</v>
      </c>
      <c r="L55" s="805"/>
      <c r="M55" s="805">
        <f>IFERROR(VLOOKUP(B55,'Sched D-3'!B:E,4,FALSE),0)</f>
        <v>0</v>
      </c>
      <c r="N55" s="805"/>
      <c r="O55" s="790">
        <f t="shared" si="24"/>
        <v>0</v>
      </c>
      <c r="P55" s="790"/>
      <c r="Q55" s="75">
        <f t="shared" si="17"/>
        <v>49</v>
      </c>
      <c r="R55" s="938">
        <v>0</v>
      </c>
      <c r="S55" s="938">
        <v>4673239.97</v>
      </c>
      <c r="T55" s="937">
        <f t="shared" si="20"/>
        <v>4673239.97</v>
      </c>
      <c r="U55" s="77"/>
      <c r="V55" s="75">
        <f t="shared" si="1"/>
        <v>49</v>
      </c>
      <c r="W55" s="938">
        <v>0</v>
      </c>
      <c r="X55" s="938">
        <v>0</v>
      </c>
      <c r="Y55" s="937">
        <f t="shared" si="19"/>
        <v>0</v>
      </c>
      <c r="AA55" s="75">
        <f t="shared" si="18"/>
        <v>49</v>
      </c>
      <c r="AB55" s="938"/>
      <c r="AC55" s="938"/>
      <c r="AD55" s="947">
        <f t="shared" si="23"/>
        <v>0</v>
      </c>
    </row>
    <row r="56" spans="1:30">
      <c r="A56" s="469">
        <f t="shared" si="3"/>
        <v>47</v>
      </c>
      <c r="B56" s="469">
        <v>392.02</v>
      </c>
      <c r="C56" s="23" t="s">
        <v>847</v>
      </c>
      <c r="E56" s="790">
        <f t="shared" si="21"/>
        <v>7011752.1100000003</v>
      </c>
      <c r="G56" s="790">
        <f t="shared" si="22"/>
        <v>3878361.2199999997</v>
      </c>
      <c r="H56" s="790"/>
      <c r="I56" s="805">
        <v>0</v>
      </c>
      <c r="J56" s="805"/>
      <c r="K56" s="805">
        <f>IFERROR(VLOOKUP(B56,'Sched D-2'!B:E,4,FALSE),0)</f>
        <v>0</v>
      </c>
      <c r="L56" s="805"/>
      <c r="M56" s="805">
        <f>IFERROR(VLOOKUP(B56,'Sched D-3'!B:E,4,FALSE),0)</f>
        <v>-959036.23</v>
      </c>
      <c r="N56" s="805"/>
      <c r="O56" s="790">
        <f t="shared" si="24"/>
        <v>2919324.9899999998</v>
      </c>
      <c r="P56" s="790"/>
      <c r="Q56" s="75">
        <f t="shared" si="17"/>
        <v>50</v>
      </c>
      <c r="R56" s="938">
        <v>21451.46</v>
      </c>
      <c r="S56" s="938">
        <v>6990300.6500000004</v>
      </c>
      <c r="T56" s="937">
        <f t="shared" si="20"/>
        <v>7011752.1100000003</v>
      </c>
      <c r="U56" s="77"/>
      <c r="V56" s="75">
        <f t="shared" si="1"/>
        <v>50</v>
      </c>
      <c r="W56" s="938">
        <v>21451.46</v>
      </c>
      <c r="X56" s="938">
        <v>3856909.76</v>
      </c>
      <c r="Y56" s="937">
        <f t="shared" si="19"/>
        <v>3878361.2199999997</v>
      </c>
      <c r="AA56" s="75">
        <f t="shared" si="18"/>
        <v>50</v>
      </c>
      <c r="AB56" s="938"/>
      <c r="AC56" s="938"/>
      <c r="AD56" s="947">
        <f t="shared" si="23"/>
        <v>0</v>
      </c>
    </row>
    <row r="57" spans="1:30">
      <c r="A57" s="469">
        <f t="shared" si="3"/>
        <v>48</v>
      </c>
      <c r="B57" s="469">
        <v>392.03</v>
      </c>
      <c r="C57" s="23" t="s">
        <v>781</v>
      </c>
      <c r="E57" s="790">
        <f t="shared" si="21"/>
        <v>8783078.7999999989</v>
      </c>
      <c r="G57" s="790">
        <f t="shared" si="22"/>
        <v>17570348.27</v>
      </c>
      <c r="H57" s="790"/>
      <c r="I57" s="805">
        <v>0</v>
      </c>
      <c r="J57" s="805"/>
      <c r="K57" s="805">
        <f>IFERROR(VLOOKUP(B57,'Sched D-2'!B:E,4,FALSE),0)</f>
        <v>3908936.9988819989</v>
      </c>
      <c r="L57" s="805"/>
      <c r="M57" s="805">
        <f>IFERROR(VLOOKUP(B57,'Sched D-3'!B:E,4,FALSE),0)</f>
        <v>-1468256.08</v>
      </c>
      <c r="N57" s="805"/>
      <c r="O57" s="790">
        <f t="shared" si="24"/>
        <v>20011029.188882001</v>
      </c>
      <c r="P57" s="790"/>
      <c r="Q57" s="75">
        <f t="shared" si="17"/>
        <v>51</v>
      </c>
      <c r="R57" s="938">
        <v>7164655.6499999994</v>
      </c>
      <c r="S57" s="938">
        <v>1618423.15</v>
      </c>
      <c r="T57" s="937">
        <f t="shared" si="20"/>
        <v>8783078.7999999989</v>
      </c>
      <c r="U57" s="77"/>
      <c r="V57" s="75">
        <f t="shared" si="1"/>
        <v>51</v>
      </c>
      <c r="W57" s="938">
        <v>8668055.8900000006</v>
      </c>
      <c r="X57" s="938">
        <v>8902292.379999999</v>
      </c>
      <c r="Y57" s="937">
        <f t="shared" si="19"/>
        <v>17570348.27</v>
      </c>
      <c r="AA57" s="75">
        <f t="shared" si="18"/>
        <v>51</v>
      </c>
      <c r="AB57" s="938"/>
      <c r="AC57" s="938"/>
      <c r="AD57" s="947">
        <f t="shared" si="23"/>
        <v>0</v>
      </c>
    </row>
    <row r="58" spans="1:30">
      <c r="A58" s="469">
        <f t="shared" si="3"/>
        <v>49</v>
      </c>
      <c r="B58" s="469">
        <v>392.04</v>
      </c>
      <c r="C58" s="23" t="s">
        <v>780</v>
      </c>
      <c r="E58" s="790">
        <f t="shared" si="21"/>
        <v>383955.8</v>
      </c>
      <c r="G58" s="790">
        <f t="shared" si="22"/>
        <v>199121.37</v>
      </c>
      <c r="H58" s="790"/>
      <c r="I58" s="805">
        <v>0</v>
      </c>
      <c r="J58" s="805"/>
      <c r="K58" s="805">
        <f>IFERROR(VLOOKUP(B58,'Sched D-2'!B:E,4,FALSE),0)</f>
        <v>1284655.36867</v>
      </c>
      <c r="L58" s="805"/>
      <c r="M58" s="805">
        <f>IFERROR(VLOOKUP(B58,'Sched D-3'!B:E,4,FALSE),0)</f>
        <v>-57896.01</v>
      </c>
      <c r="N58" s="805"/>
      <c r="O58" s="790">
        <f t="shared" si="24"/>
        <v>1425880.7286699999</v>
      </c>
      <c r="P58" s="790"/>
      <c r="Q58" s="75">
        <f t="shared" si="17"/>
        <v>52</v>
      </c>
      <c r="R58" s="938">
        <v>383955.8</v>
      </c>
      <c r="S58" s="938">
        <v>0</v>
      </c>
      <c r="T58" s="937">
        <f t="shared" si="20"/>
        <v>383955.8</v>
      </c>
      <c r="U58" s="77"/>
      <c r="V58" s="75">
        <f t="shared" si="1"/>
        <v>52</v>
      </c>
      <c r="W58" s="938">
        <v>199121.37</v>
      </c>
      <c r="X58" s="938">
        <v>0</v>
      </c>
      <c r="Y58" s="937">
        <f t="shared" si="19"/>
        <v>199121.37</v>
      </c>
      <c r="AA58" s="75">
        <f t="shared" si="18"/>
        <v>52</v>
      </c>
      <c r="AB58" s="938"/>
      <c r="AC58" s="938"/>
      <c r="AD58" s="947">
        <f t="shared" si="23"/>
        <v>0</v>
      </c>
    </row>
    <row r="59" spans="1:30">
      <c r="A59" s="469">
        <f t="shared" si="3"/>
        <v>50</v>
      </c>
      <c r="B59" s="469">
        <v>392.05</v>
      </c>
      <c r="C59" s="23" t="s">
        <v>779</v>
      </c>
      <c r="E59" s="790">
        <f t="shared" si="21"/>
        <v>2007098.4300000002</v>
      </c>
      <c r="G59" s="790">
        <f t="shared" si="22"/>
        <v>3072012.1100000003</v>
      </c>
      <c r="H59" s="790"/>
      <c r="I59" s="805">
        <v>0</v>
      </c>
      <c r="J59" s="805"/>
      <c r="K59" s="805">
        <f>IFERROR(VLOOKUP(B59,'Sched D-2'!B:E,4,FALSE),0)</f>
        <v>260177.61244800003</v>
      </c>
      <c r="L59" s="805"/>
      <c r="M59" s="805">
        <f>IFERROR(VLOOKUP(B59,'Sched D-3'!B:E,4,FALSE),0)</f>
        <v>-69831.28</v>
      </c>
      <c r="N59" s="805"/>
      <c r="O59" s="790">
        <f t="shared" si="24"/>
        <v>3262358.4424480004</v>
      </c>
      <c r="P59" s="790"/>
      <c r="Q59" s="75">
        <f t="shared" si="17"/>
        <v>53</v>
      </c>
      <c r="R59" s="938">
        <v>1549392.1700000002</v>
      </c>
      <c r="S59" s="938">
        <v>457706.26</v>
      </c>
      <c r="T59" s="937">
        <f t="shared" si="20"/>
        <v>2007098.4300000002</v>
      </c>
      <c r="U59" s="77"/>
      <c r="V59" s="75">
        <f t="shared" si="1"/>
        <v>53</v>
      </c>
      <c r="W59" s="938">
        <v>1528735.53</v>
      </c>
      <c r="X59" s="938">
        <v>1543276.58</v>
      </c>
      <c r="Y59" s="937">
        <f t="shared" si="19"/>
        <v>3072012.1100000003</v>
      </c>
      <c r="AA59" s="75">
        <f t="shared" si="18"/>
        <v>53</v>
      </c>
      <c r="AB59" s="938"/>
      <c r="AC59" s="938"/>
      <c r="AD59" s="947">
        <f t="shared" si="23"/>
        <v>0</v>
      </c>
    </row>
    <row r="60" spans="1:30">
      <c r="A60" s="469">
        <f t="shared" si="3"/>
        <v>51</v>
      </c>
      <c r="B60" s="469">
        <v>392.06</v>
      </c>
      <c r="C60" s="23" t="s">
        <v>778</v>
      </c>
      <c r="E60" s="790">
        <f t="shared" si="21"/>
        <v>200544.16</v>
      </c>
      <c r="G60" s="790">
        <f t="shared" si="22"/>
        <v>818273.64</v>
      </c>
      <c r="H60" s="790"/>
      <c r="I60" s="805">
        <v>0</v>
      </c>
      <c r="J60" s="805"/>
      <c r="K60" s="805">
        <f>IFERROR(VLOOKUP(B60,'Sched D-2'!B:E,4,FALSE),0)</f>
        <v>251229.62100799999</v>
      </c>
      <c r="L60" s="805"/>
      <c r="M60" s="805">
        <f>IFERROR(VLOOKUP(B60,'Sched D-3'!B:E,4,FALSE),0)</f>
        <v>-41645.71</v>
      </c>
      <c r="N60" s="805"/>
      <c r="O60" s="790">
        <f t="shared" si="24"/>
        <v>1027857.551008</v>
      </c>
      <c r="P60" s="790"/>
      <c r="Q60" s="75">
        <f t="shared" si="17"/>
        <v>54</v>
      </c>
      <c r="R60" s="938">
        <v>200544.16</v>
      </c>
      <c r="S60" s="938">
        <v>0</v>
      </c>
      <c r="T60" s="937">
        <f t="shared" si="20"/>
        <v>200544.16</v>
      </c>
      <c r="U60" s="77"/>
      <c r="V60" s="75">
        <f t="shared" si="1"/>
        <v>54</v>
      </c>
      <c r="W60" s="938">
        <v>221303.03</v>
      </c>
      <c r="X60" s="938">
        <v>596970.61</v>
      </c>
      <c r="Y60" s="937">
        <f t="shared" si="19"/>
        <v>818273.64</v>
      </c>
      <c r="AA60" s="75">
        <f t="shared" si="18"/>
        <v>54</v>
      </c>
      <c r="AB60" s="938"/>
      <c r="AC60" s="938"/>
      <c r="AD60" s="947">
        <f t="shared" si="23"/>
        <v>0</v>
      </c>
    </row>
    <row r="61" spans="1:30">
      <c r="A61" s="469">
        <f t="shared" si="3"/>
        <v>52</v>
      </c>
      <c r="B61" s="469">
        <v>393</v>
      </c>
      <c r="C61" s="23" t="s">
        <v>553</v>
      </c>
      <c r="E61" s="790">
        <f t="shared" si="21"/>
        <v>28177.52</v>
      </c>
      <c r="G61" s="790">
        <f t="shared" si="22"/>
        <v>28177.52</v>
      </c>
      <c r="H61" s="790"/>
      <c r="I61" s="805">
        <v>0</v>
      </c>
      <c r="J61" s="805"/>
      <c r="K61" s="805">
        <f>IFERROR(VLOOKUP(B61,'Sched D-2'!B:E,4,FALSE),0)</f>
        <v>0</v>
      </c>
      <c r="L61" s="805"/>
      <c r="M61" s="805">
        <f>IFERROR(VLOOKUP(B61,'Sched D-3'!B:E,4,FALSE),0)</f>
        <v>0</v>
      </c>
      <c r="N61" s="805"/>
      <c r="O61" s="790">
        <f t="shared" si="24"/>
        <v>28177.52</v>
      </c>
      <c r="P61" s="790"/>
      <c r="Q61" s="75">
        <f t="shared" si="17"/>
        <v>55</v>
      </c>
      <c r="R61" s="938">
        <v>0</v>
      </c>
      <c r="S61" s="938">
        <v>28177.52</v>
      </c>
      <c r="T61" s="937">
        <f t="shared" si="20"/>
        <v>28177.52</v>
      </c>
      <c r="U61" s="77"/>
      <c r="V61" s="75">
        <f t="shared" si="1"/>
        <v>55</v>
      </c>
      <c r="W61" s="938">
        <v>0</v>
      </c>
      <c r="X61" s="938">
        <v>28177.52</v>
      </c>
      <c r="Y61" s="937">
        <f t="shared" si="19"/>
        <v>28177.52</v>
      </c>
      <c r="AA61" s="75">
        <f t="shared" si="18"/>
        <v>55</v>
      </c>
      <c r="AB61" s="938"/>
      <c r="AC61" s="938"/>
      <c r="AD61" s="947">
        <f t="shared" si="23"/>
        <v>0</v>
      </c>
    </row>
    <row r="62" spans="1:30">
      <c r="A62" s="469">
        <f t="shared" si="3"/>
        <v>53</v>
      </c>
      <c r="B62" s="469">
        <v>394</v>
      </c>
      <c r="C62" s="23" t="s">
        <v>557</v>
      </c>
      <c r="E62" s="790">
        <f t="shared" si="21"/>
        <v>7886979.29</v>
      </c>
      <c r="G62" s="790">
        <f t="shared" si="22"/>
        <v>8876091.9399999995</v>
      </c>
      <c r="H62" s="790"/>
      <c r="I62" s="805">
        <v>0</v>
      </c>
      <c r="J62" s="805"/>
      <c r="K62" s="805">
        <f>IFERROR(VLOOKUP(B62,'Sched D-2'!B:E,4,FALSE),0)</f>
        <v>5150641.3389919996</v>
      </c>
      <c r="L62" s="805"/>
      <c r="M62" s="805">
        <f>IFERROR(VLOOKUP(B62,'Sched D-3'!B:E,4,FALSE),0)</f>
        <v>0</v>
      </c>
      <c r="N62" s="805"/>
      <c r="O62" s="790">
        <f t="shared" si="24"/>
        <v>14026733.278991999</v>
      </c>
      <c r="P62" s="790"/>
      <c r="Q62" s="75">
        <f t="shared" si="17"/>
        <v>56</v>
      </c>
      <c r="R62" s="938">
        <v>3183460</v>
      </c>
      <c r="S62" s="938">
        <v>4703519.29</v>
      </c>
      <c r="T62" s="937">
        <f t="shared" si="20"/>
        <v>7886979.29</v>
      </c>
      <c r="U62" s="77"/>
      <c r="V62" s="75">
        <f t="shared" si="1"/>
        <v>56</v>
      </c>
      <c r="W62" s="938">
        <v>3468859.4499999997</v>
      </c>
      <c r="X62" s="938">
        <v>5407232.4900000002</v>
      </c>
      <c r="Y62" s="937">
        <f t="shared" si="19"/>
        <v>8876091.9399999995</v>
      </c>
      <c r="AA62" s="75">
        <f t="shared" si="18"/>
        <v>56</v>
      </c>
      <c r="AB62" s="938"/>
      <c r="AC62" s="938"/>
      <c r="AD62" s="947">
        <f t="shared" si="23"/>
        <v>0</v>
      </c>
    </row>
    <row r="63" spans="1:30">
      <c r="A63" s="469">
        <f t="shared" si="3"/>
        <v>54</v>
      </c>
      <c r="B63" s="469">
        <v>395</v>
      </c>
      <c r="C63" s="23" t="s">
        <v>554</v>
      </c>
      <c r="E63" s="790">
        <f t="shared" si="21"/>
        <v>241206.14</v>
      </c>
      <c r="G63" s="790">
        <f t="shared" si="22"/>
        <v>88802.52</v>
      </c>
      <c r="H63" s="790"/>
      <c r="I63" s="805">
        <v>0</v>
      </c>
      <c r="J63" s="805"/>
      <c r="K63" s="805">
        <f>IFERROR(VLOOKUP(B63,'Sched D-2'!B:E,4,FALSE),0)</f>
        <v>0</v>
      </c>
      <c r="L63" s="805"/>
      <c r="M63" s="805">
        <f>IFERROR(VLOOKUP(B63,'Sched D-3'!B:E,4,FALSE),0)</f>
        <v>0</v>
      </c>
      <c r="N63" s="805"/>
      <c r="O63" s="790">
        <f t="shared" si="24"/>
        <v>88802.52</v>
      </c>
      <c r="P63" s="790"/>
      <c r="Q63" s="75">
        <f t="shared" si="17"/>
        <v>57</v>
      </c>
      <c r="R63" s="938">
        <v>241206.14</v>
      </c>
      <c r="S63" s="938">
        <v>0</v>
      </c>
      <c r="T63" s="937">
        <f t="shared" si="20"/>
        <v>241206.14</v>
      </c>
      <c r="U63" s="77"/>
      <c r="V63" s="75">
        <f t="shared" si="1"/>
        <v>57</v>
      </c>
      <c r="W63" s="938">
        <v>84622.74</v>
      </c>
      <c r="X63" s="938">
        <v>4179.78</v>
      </c>
      <c r="Y63" s="937">
        <f t="shared" si="19"/>
        <v>88802.52</v>
      </c>
      <c r="AA63" s="75">
        <f t="shared" si="18"/>
        <v>57</v>
      </c>
      <c r="AB63" s="938"/>
      <c r="AC63" s="938"/>
      <c r="AD63" s="947">
        <f t="shared" si="23"/>
        <v>0</v>
      </c>
    </row>
    <row r="64" spans="1:30">
      <c r="A64" s="469">
        <f t="shared" si="3"/>
        <v>55</v>
      </c>
      <c r="B64" s="469">
        <v>396</v>
      </c>
      <c r="C64" s="23" t="s">
        <v>1167</v>
      </c>
      <c r="E64" s="790">
        <f t="shared" si="21"/>
        <v>4789333.8900000006</v>
      </c>
      <c r="G64" s="790">
        <f t="shared" si="22"/>
        <v>5766088.7799999993</v>
      </c>
      <c r="H64" s="790"/>
      <c r="I64" s="805">
        <v>0</v>
      </c>
      <c r="J64" s="805"/>
      <c r="K64" s="805">
        <f>IFERROR(VLOOKUP(B64,'Sched D-2'!B:E,4,FALSE),0)</f>
        <v>0</v>
      </c>
      <c r="L64" s="805"/>
      <c r="M64" s="805">
        <f>IFERROR(VLOOKUP(B64,'Sched D-3'!B:E,4,FALSE),0)</f>
        <v>-268625.03000000003</v>
      </c>
      <c r="N64" s="805"/>
      <c r="O64" s="790">
        <f t="shared" si="24"/>
        <v>5497463.7499999991</v>
      </c>
      <c r="P64" s="790"/>
      <c r="Q64" s="75">
        <f t="shared" si="17"/>
        <v>58</v>
      </c>
      <c r="R64" s="938">
        <v>1308653.8900000001</v>
      </c>
      <c r="S64" s="938">
        <v>3480680</v>
      </c>
      <c r="T64" s="937">
        <f t="shared" si="20"/>
        <v>4789333.8900000006</v>
      </c>
      <c r="U64" s="77"/>
      <c r="V64" s="75">
        <f t="shared" si="1"/>
        <v>58</v>
      </c>
      <c r="W64" s="938">
        <v>1708222.21</v>
      </c>
      <c r="X64" s="938">
        <v>4057866.57</v>
      </c>
      <c r="Y64" s="937">
        <f t="shared" si="19"/>
        <v>5766088.7799999993</v>
      </c>
      <c r="AA64" s="75">
        <f t="shared" si="18"/>
        <v>58</v>
      </c>
      <c r="AB64" s="938"/>
      <c r="AC64" s="938"/>
      <c r="AD64" s="947">
        <f t="shared" si="23"/>
        <v>0</v>
      </c>
    </row>
    <row r="65" spans="1:30">
      <c r="A65" s="469">
        <f t="shared" si="3"/>
        <v>56</v>
      </c>
      <c r="B65" s="469">
        <v>397</v>
      </c>
      <c r="C65" s="23" t="s">
        <v>558</v>
      </c>
      <c r="E65" s="790">
        <f t="shared" si="21"/>
        <v>872645.92</v>
      </c>
      <c r="G65" s="790">
        <f t="shared" si="22"/>
        <v>846080.4</v>
      </c>
      <c r="H65" s="790"/>
      <c r="I65" s="805">
        <v>0</v>
      </c>
      <c r="J65" s="805"/>
      <c r="K65" s="805">
        <f>IFERROR(VLOOKUP(B65,'Sched D-2'!B:E,4,FALSE),0)</f>
        <v>0</v>
      </c>
      <c r="L65" s="805"/>
      <c r="M65" s="805">
        <f>IFERROR(VLOOKUP(B65,'Sched D-3'!B:E,4,FALSE),0)</f>
        <v>0</v>
      </c>
      <c r="N65" s="805"/>
      <c r="O65" s="790">
        <f t="shared" si="24"/>
        <v>846080.4</v>
      </c>
      <c r="P65" s="790"/>
      <c r="Q65" s="75">
        <f t="shared" si="17"/>
        <v>59</v>
      </c>
      <c r="R65" s="938">
        <v>759062.64</v>
      </c>
      <c r="S65" s="938">
        <v>113583.28</v>
      </c>
      <c r="T65" s="937">
        <f t="shared" si="20"/>
        <v>872645.92</v>
      </c>
      <c r="U65" s="77"/>
      <c r="V65" s="75">
        <f t="shared" si="1"/>
        <v>59</v>
      </c>
      <c r="W65" s="938">
        <v>750923.51</v>
      </c>
      <c r="X65" s="938">
        <v>95156.89</v>
      </c>
      <c r="Y65" s="937">
        <f t="shared" si="19"/>
        <v>846080.4</v>
      </c>
      <c r="AA65" s="75">
        <f t="shared" si="18"/>
        <v>59</v>
      </c>
      <c r="AB65" s="938"/>
      <c r="AC65" s="938"/>
      <c r="AD65" s="947">
        <f t="shared" si="23"/>
        <v>0</v>
      </c>
    </row>
    <row r="66" spans="1:30">
      <c r="A66" s="469">
        <f t="shared" si="3"/>
        <v>57</v>
      </c>
      <c r="B66" s="469">
        <v>398</v>
      </c>
      <c r="C66" s="23" t="s">
        <v>559</v>
      </c>
      <c r="E66" s="790">
        <f t="shared" si="21"/>
        <v>1056783.27</v>
      </c>
      <c r="G66" s="790">
        <f t="shared" si="22"/>
        <v>177567.56999999998</v>
      </c>
      <c r="H66" s="790"/>
      <c r="I66" s="805">
        <v>0</v>
      </c>
      <c r="J66" s="805"/>
      <c r="K66" s="805">
        <f>IFERROR(VLOOKUP(B66,'Sched D-2'!B:E,4,FALSE),0)</f>
        <v>0</v>
      </c>
      <c r="L66" s="805"/>
      <c r="M66" s="805">
        <f>IFERROR(VLOOKUP(B66,'Sched D-3'!B:E,4,FALSE),0)</f>
        <v>0</v>
      </c>
      <c r="N66" s="805"/>
      <c r="O66" s="790">
        <f t="shared" si="24"/>
        <v>177567.56999999998</v>
      </c>
      <c r="P66" s="790"/>
      <c r="Q66" s="75">
        <f t="shared" si="17"/>
        <v>60</v>
      </c>
      <c r="R66" s="938">
        <v>883048.47</v>
      </c>
      <c r="S66" s="938">
        <v>173734.8</v>
      </c>
      <c r="T66" s="937">
        <f t="shared" si="20"/>
        <v>1056783.27</v>
      </c>
      <c r="U66" s="77"/>
      <c r="V66" s="75">
        <f t="shared" si="1"/>
        <v>60</v>
      </c>
      <c r="W66" s="938">
        <v>6672.83</v>
      </c>
      <c r="X66" s="938">
        <v>170894.74</v>
      </c>
      <c r="Y66" s="937">
        <f t="shared" si="19"/>
        <v>177567.56999999998</v>
      </c>
      <c r="AA66" s="75">
        <f t="shared" si="18"/>
        <v>60</v>
      </c>
      <c r="AB66" s="938"/>
      <c r="AC66" s="938"/>
      <c r="AD66" s="947">
        <f t="shared" si="23"/>
        <v>0</v>
      </c>
    </row>
    <row r="67" spans="1:30">
      <c r="A67" s="469">
        <f t="shared" si="3"/>
        <v>58</v>
      </c>
      <c r="B67" s="469">
        <v>399</v>
      </c>
      <c r="C67" s="23" t="s">
        <v>692</v>
      </c>
      <c r="E67" s="790">
        <f t="shared" si="21"/>
        <v>-3643</v>
      </c>
      <c r="G67" s="790">
        <f t="shared" si="22"/>
        <v>0</v>
      </c>
      <c r="H67" s="790"/>
      <c r="I67" s="805">
        <v>0</v>
      </c>
      <c r="J67" s="805"/>
      <c r="K67" s="805">
        <f>IFERROR(VLOOKUP(B67,'Sched D-2'!B:E,4,FALSE),0)</f>
        <v>0</v>
      </c>
      <c r="L67" s="805"/>
      <c r="M67" s="805">
        <f>IFERROR(VLOOKUP(B67,'Sched D-3'!B:E,4,FALSE),0)</f>
        <v>0</v>
      </c>
      <c r="N67" s="805"/>
      <c r="O67" s="790">
        <f t="shared" si="24"/>
        <v>0</v>
      </c>
      <c r="P67" s="790"/>
      <c r="Q67" s="75">
        <f t="shared" si="17"/>
        <v>61</v>
      </c>
      <c r="R67" s="938">
        <v>-3643</v>
      </c>
      <c r="S67" s="938">
        <v>0</v>
      </c>
      <c r="T67" s="937">
        <f t="shared" si="20"/>
        <v>-3643</v>
      </c>
      <c r="U67" s="77"/>
      <c r="V67" s="75">
        <f t="shared" si="1"/>
        <v>61</v>
      </c>
      <c r="W67" s="938">
        <v>0</v>
      </c>
      <c r="X67" s="938">
        <v>0</v>
      </c>
      <c r="Y67" s="937">
        <f t="shared" si="19"/>
        <v>0</v>
      </c>
      <c r="AA67" s="75">
        <f t="shared" si="18"/>
        <v>61</v>
      </c>
      <c r="AB67" s="938"/>
      <c r="AC67" s="938"/>
      <c r="AD67" s="946">
        <f t="shared" si="23"/>
        <v>0</v>
      </c>
    </row>
    <row r="68" spans="1:30">
      <c r="A68" s="469">
        <f t="shared" si="3"/>
        <v>59</v>
      </c>
      <c r="B68" s="469"/>
      <c r="C68" s="1336" t="s">
        <v>79</v>
      </c>
      <c r="E68" s="682">
        <f>ROUND(SUM(E45:E67),0)</f>
        <v>49010994</v>
      </c>
      <c r="G68" s="682">
        <f>ROUND(SUM(G45:G67),0)</f>
        <v>87797857</v>
      </c>
      <c r="H68" s="574"/>
      <c r="I68" s="682">
        <f>SUM(I45:I67)</f>
        <v>0</v>
      </c>
      <c r="J68" s="683"/>
      <c r="K68" s="682">
        <f>SUM(K45:K67)</f>
        <v>19588334.869999997</v>
      </c>
      <c r="L68" s="683"/>
      <c r="M68" s="682">
        <f>SUM(M45:M67)</f>
        <v>-3359949.2800000003</v>
      </c>
      <c r="N68" s="683"/>
      <c r="O68" s="682">
        <f>ROUND(SUM(O45:O67),0)</f>
        <v>104026243</v>
      </c>
      <c r="P68" s="683"/>
      <c r="Q68" s="75">
        <f t="shared" si="17"/>
        <v>62</v>
      </c>
      <c r="R68" s="943">
        <f>ROUND(SUM(R45:R67),0)</f>
        <v>21279145</v>
      </c>
      <c r="S68" s="943">
        <f>ROUND(SUM(S45:S67),0)</f>
        <v>27731849</v>
      </c>
      <c r="T68" s="937">
        <f t="shared" si="20"/>
        <v>49010994</v>
      </c>
      <c r="U68" s="206"/>
      <c r="V68" s="75">
        <f t="shared" si="1"/>
        <v>62</v>
      </c>
      <c r="W68" s="943">
        <f>ROUND(SUM(W45:W67),0)</f>
        <v>42741498</v>
      </c>
      <c r="X68" s="943">
        <f>ROUND(SUM(X45:X67),0)</f>
        <v>45056359</v>
      </c>
      <c r="Y68" s="937">
        <f t="shared" si="19"/>
        <v>87797857</v>
      </c>
      <c r="AA68" s="75">
        <f t="shared" si="18"/>
        <v>62</v>
      </c>
      <c r="AB68" s="943">
        <f>ROUND(SUM(AB45:AB67),0)</f>
        <v>0</v>
      </c>
      <c r="AC68" s="943">
        <f>ROUND(SUM(AC45:AC67),0)</f>
        <v>0</v>
      </c>
      <c r="AD68" s="937">
        <f>SUM(AD45:AD67)</f>
        <v>0</v>
      </c>
    </row>
    <row r="69" spans="1:30">
      <c r="A69" s="76">
        <f t="shared" si="3"/>
        <v>60</v>
      </c>
      <c r="B69" s="76"/>
      <c r="E69" s="683"/>
      <c r="G69" s="683"/>
      <c r="H69" s="574"/>
      <c r="I69" s="683"/>
      <c r="J69" s="683"/>
      <c r="K69" s="683"/>
      <c r="L69" s="683"/>
      <c r="M69" s="683"/>
      <c r="N69" s="683"/>
      <c r="O69" s="683"/>
      <c r="P69" s="683"/>
      <c r="Q69" s="75">
        <f>1+Q68</f>
        <v>63</v>
      </c>
      <c r="T69" s="937">
        <f t="shared" si="20"/>
        <v>0</v>
      </c>
      <c r="U69" s="206"/>
      <c r="V69" s="75">
        <f t="shared" si="1"/>
        <v>63</v>
      </c>
      <c r="Y69" s="937">
        <f t="shared" si="19"/>
        <v>0</v>
      </c>
      <c r="AA69" s="75">
        <f t="shared" si="18"/>
        <v>63</v>
      </c>
    </row>
    <row r="70" spans="1:30">
      <c r="A70" s="76">
        <f t="shared" si="3"/>
        <v>61</v>
      </c>
      <c r="B70" s="76">
        <v>118</v>
      </c>
      <c r="C70" s="23" t="s">
        <v>1228</v>
      </c>
      <c r="E70" s="574">
        <f>HLOOKUP(Attach,$R$7:$T$78,Q70,FALSE)</f>
        <v>18801771.140814483</v>
      </c>
      <c r="G70" s="574">
        <f t="shared" ref="G70:G75" si="25">HLOOKUP(Attach,$W$7:$Y$78,V70,FALSE)</f>
        <v>20990030.76088167</v>
      </c>
      <c r="H70" s="574"/>
      <c r="I70" s="574">
        <f>HLOOKUP(Attach,$AB$7:$AD$78,V70,FALSE)</f>
        <v>-2725013.7103776634</v>
      </c>
      <c r="J70" s="683"/>
      <c r="K70" s="574">
        <f>'Sched D-2'!E56</f>
        <v>991651.94453550014</v>
      </c>
      <c r="L70" s="683"/>
      <c r="M70" s="574">
        <f>'Sched D-3'!E70</f>
        <v>-12041346.438632</v>
      </c>
      <c r="N70" s="683"/>
      <c r="O70" s="574">
        <f>SUM(G70:M70)</f>
        <v>7215322.5564075075</v>
      </c>
      <c r="P70" s="683"/>
      <c r="Q70" s="75">
        <f t="shared" si="17"/>
        <v>64</v>
      </c>
      <c r="R70" s="938">
        <v>13179718.754815802</v>
      </c>
      <c r="S70" s="938">
        <v>5622052.3859986812</v>
      </c>
      <c r="T70" s="937">
        <f t="shared" si="20"/>
        <v>18801771.140814483</v>
      </c>
      <c r="U70" s="206"/>
      <c r="V70" s="75">
        <f t="shared" si="1"/>
        <v>64</v>
      </c>
      <c r="W70" s="938">
        <v>14783194.198987614</v>
      </c>
      <c r="X70" s="938">
        <v>6206836.5618940573</v>
      </c>
      <c r="Y70" s="937">
        <f t="shared" si="19"/>
        <v>20990030.76088167</v>
      </c>
      <c r="AA70" s="75">
        <f t="shared" si="18"/>
        <v>64</v>
      </c>
      <c r="AB70" s="938">
        <v>-1800394.6230196077</v>
      </c>
      <c r="AC70" s="938">
        <v>-924619.08735805564</v>
      </c>
      <c r="AD70" s="947">
        <f t="shared" ref="AD70:AD74" si="26">AB70+AC70</f>
        <v>-2725013.7103776634</v>
      </c>
    </row>
    <row r="71" spans="1:30">
      <c r="A71" s="76">
        <f t="shared" si="3"/>
        <v>62</v>
      </c>
      <c r="B71" s="76">
        <v>118</v>
      </c>
      <c r="C71" s="23" t="s">
        <v>1230</v>
      </c>
      <c r="E71" s="668">
        <f>HLOOKUP(Attach,$R$7:$T$78,Q71,FALSE)</f>
        <v>5037743.2838540012</v>
      </c>
      <c r="G71" s="790">
        <f t="shared" si="25"/>
        <v>7174393.9912798144</v>
      </c>
      <c r="H71" s="574"/>
      <c r="I71" s="790">
        <f>HLOOKUP(Attach,$AB$7:$AD$78,V71,FALSE)</f>
        <v>-1187322.8256118144</v>
      </c>
      <c r="J71" s="683"/>
      <c r="K71" s="680">
        <f>'Sched D-2'!E57</f>
        <v>84513.279546000005</v>
      </c>
      <c r="L71" s="683"/>
      <c r="M71" s="680">
        <f>'Sched D-3'!E71</f>
        <v>-321263.32669199992</v>
      </c>
      <c r="N71" s="683"/>
      <c r="O71" s="790">
        <f>SUM(G71:M71)</f>
        <v>5750321.1185219996</v>
      </c>
      <c r="P71" s="683"/>
      <c r="Q71" s="75">
        <f t="shared" si="17"/>
        <v>65</v>
      </c>
      <c r="R71" s="938">
        <v>3555431.8976930007</v>
      </c>
      <c r="S71" s="938">
        <v>1482311.3861610002</v>
      </c>
      <c r="T71" s="937">
        <f t="shared" si="20"/>
        <v>5037743.2838540012</v>
      </c>
      <c r="U71" s="206"/>
      <c r="V71" s="75">
        <f t="shared" si="1"/>
        <v>65</v>
      </c>
      <c r="W71" s="938">
        <v>5083893.2649583453</v>
      </c>
      <c r="X71" s="938">
        <v>2090500.7263214691</v>
      </c>
      <c r="Y71" s="937">
        <f t="shared" si="19"/>
        <v>7174393.9912798144</v>
      </c>
      <c r="AA71" s="75">
        <f t="shared" si="18"/>
        <v>65</v>
      </c>
      <c r="AB71" s="938">
        <v>-828440.65769034531</v>
      </c>
      <c r="AC71" s="938">
        <v>-358882.16792146908</v>
      </c>
      <c r="AD71" s="947">
        <f t="shared" si="26"/>
        <v>-1187322.8256118144</v>
      </c>
    </row>
    <row r="72" spans="1:30">
      <c r="A72" s="76">
        <f t="shared" si="3"/>
        <v>63</v>
      </c>
      <c r="B72" s="76">
        <v>118</v>
      </c>
      <c r="C72" s="23" t="s">
        <v>1232</v>
      </c>
      <c r="E72" s="668">
        <f>HLOOKUP(Attach,$R$7:$T$78,Q72,FALSE)</f>
        <v>7854963.1200000001</v>
      </c>
      <c r="G72" s="790">
        <f t="shared" si="25"/>
        <v>9280390.5348018426</v>
      </c>
      <c r="H72" s="574"/>
      <c r="I72" s="790">
        <f>HLOOKUP(Attach,$AB$7:$AD$78,V72,FALSE)</f>
        <v>-296929.76215886092</v>
      </c>
      <c r="J72" s="683"/>
      <c r="K72" s="680">
        <f>'Sched D-2'!E58</f>
        <v>2602885.1941192918</v>
      </c>
      <c r="L72" s="683"/>
      <c r="M72" s="680">
        <f>'Sched D-3'!E72</f>
        <v>-2753328.7147239996</v>
      </c>
      <c r="N72" s="683"/>
      <c r="O72" s="790">
        <f t="shared" ref="O72:O74" si="27">SUM(G72:M72)</f>
        <v>8833017.252038274</v>
      </c>
      <c r="P72" s="683"/>
      <c r="Q72" s="75">
        <f t="shared" si="17"/>
        <v>66</v>
      </c>
      <c r="R72" s="938">
        <v>4294065.24</v>
      </c>
      <c r="S72" s="938">
        <v>3560897.88</v>
      </c>
      <c r="T72" s="937">
        <f t="shared" si="20"/>
        <v>7854963.1200000001</v>
      </c>
      <c r="U72" s="206"/>
      <c r="V72" s="75">
        <f t="shared" si="1"/>
        <v>66</v>
      </c>
      <c r="W72" s="938">
        <v>5210928.4061182905</v>
      </c>
      <c r="X72" s="938">
        <v>4069462.1286835526</v>
      </c>
      <c r="Y72" s="937">
        <f t="shared" si="19"/>
        <v>9280390.5348018426</v>
      </c>
      <c r="AA72" s="75">
        <f t="shared" si="18"/>
        <v>66</v>
      </c>
      <c r="AB72" s="938">
        <v>-25406.451786301099</v>
      </c>
      <c r="AC72" s="938">
        <v>-271523.31037255982</v>
      </c>
      <c r="AD72" s="947">
        <f t="shared" si="26"/>
        <v>-296929.76215886092</v>
      </c>
    </row>
    <row r="73" spans="1:30">
      <c r="A73" s="76">
        <f t="shared" si="3"/>
        <v>64</v>
      </c>
      <c r="B73" s="76">
        <v>118</v>
      </c>
      <c r="C73" s="23" t="s">
        <v>1234</v>
      </c>
      <c r="E73" s="668">
        <f>HLOOKUP(Attach,$R$7:$T$78,Q73,FALSE)</f>
        <v>3521818.3804515819</v>
      </c>
      <c r="G73" s="790">
        <f t="shared" si="25"/>
        <v>2269138.7173952702</v>
      </c>
      <c r="H73" s="574"/>
      <c r="I73" s="790">
        <f>HLOOKUP(Attach,$AB$7:$AD$78,V73,FALSE)</f>
        <v>-131007.60310827068</v>
      </c>
      <c r="J73" s="683"/>
      <c r="K73" s="680">
        <f>'Sched D-2'!E59</f>
        <v>305084.60563168395</v>
      </c>
      <c r="L73" s="683"/>
      <c r="M73" s="680">
        <f>'Sched D-3'!E73</f>
        <v>-996106.4411830001</v>
      </c>
      <c r="N73" s="683"/>
      <c r="O73" s="790">
        <f t="shared" si="27"/>
        <v>1447109.2787356835</v>
      </c>
      <c r="P73" s="683"/>
      <c r="Q73" s="75">
        <f t="shared" si="17"/>
        <v>67</v>
      </c>
      <c r="R73" s="938">
        <v>1915280.5889085012</v>
      </c>
      <c r="S73" s="938">
        <v>1606537.7915430807</v>
      </c>
      <c r="T73" s="937">
        <f t="shared" si="20"/>
        <v>3521818.3804515819</v>
      </c>
      <c r="U73" s="206"/>
      <c r="V73" s="75">
        <f t="shared" si="1"/>
        <v>67</v>
      </c>
      <c r="W73" s="938">
        <v>1269349.7241439</v>
      </c>
      <c r="X73" s="938">
        <v>999788.99325137003</v>
      </c>
      <c r="Y73" s="937">
        <f t="shared" si="19"/>
        <v>2269138.7173952702</v>
      </c>
      <c r="AA73" s="75">
        <f t="shared" si="18"/>
        <v>67</v>
      </c>
      <c r="AB73" s="938">
        <v>-39192.096745900111</v>
      </c>
      <c r="AC73" s="938">
        <v>-91815.506362370565</v>
      </c>
      <c r="AD73" s="947">
        <f t="shared" si="26"/>
        <v>-131007.60310827068</v>
      </c>
    </row>
    <row r="74" spans="1:30">
      <c r="A74" s="76">
        <f t="shared" si="3"/>
        <v>65</v>
      </c>
      <c r="B74" s="76">
        <v>118</v>
      </c>
      <c r="C74" s="23" t="s">
        <v>1236</v>
      </c>
      <c r="E74" s="733">
        <f>HLOOKUP(Attach,$R$7:$T$78,Q74,FALSE)</f>
        <v>5434212.3686715215</v>
      </c>
      <c r="G74" s="790">
        <f t="shared" si="25"/>
        <v>5821518.0911219595</v>
      </c>
      <c r="H74" s="574"/>
      <c r="I74" s="790">
        <f>HLOOKUP(Attach,$AB$7:$AD$78,V74,FALSE)</f>
        <v>-1054268.78752196</v>
      </c>
      <c r="J74" s="683"/>
      <c r="K74" s="680">
        <f>'Sched D-2'!E60</f>
        <v>1053073.9432249651</v>
      </c>
      <c r="L74" s="683"/>
      <c r="M74" s="680">
        <f>'Sched D-3'!E74</f>
        <v>-161376.23636400001</v>
      </c>
      <c r="N74" s="683"/>
      <c r="O74" s="790">
        <f t="shared" si="27"/>
        <v>5658947.0104609653</v>
      </c>
      <c r="P74" s="683"/>
      <c r="Q74" s="75">
        <f t="shared" si="17"/>
        <v>68</v>
      </c>
      <c r="R74" s="938">
        <v>2973684.331004201</v>
      </c>
      <c r="S74" s="938">
        <v>2460528.0376673206</v>
      </c>
      <c r="T74" s="937">
        <f t="shared" si="20"/>
        <v>5434212.3686715215</v>
      </c>
      <c r="U74" s="206"/>
      <c r="V74" s="75">
        <f t="shared" si="1"/>
        <v>68</v>
      </c>
      <c r="W74" s="938">
        <v>3271442.4655505996</v>
      </c>
      <c r="X74" s="938">
        <v>2550075.6255713599</v>
      </c>
      <c r="Y74" s="937">
        <f t="shared" si="19"/>
        <v>5821518.0911219595</v>
      </c>
      <c r="AA74" s="75">
        <f t="shared" si="18"/>
        <v>68</v>
      </c>
      <c r="AB74" s="938">
        <v>-514346.67015059991</v>
      </c>
      <c r="AC74" s="938">
        <v>-539922.11737136007</v>
      </c>
      <c r="AD74" s="946">
        <f t="shared" si="26"/>
        <v>-1054268.78752196</v>
      </c>
    </row>
    <row r="75" spans="1:30">
      <c r="A75" s="76">
        <f t="shared" si="3"/>
        <v>66</v>
      </c>
      <c r="B75" s="76"/>
      <c r="C75" s="83" t="s">
        <v>370</v>
      </c>
      <c r="E75" s="682">
        <f>ROUND(SUM(E70:E74),0)</f>
        <v>40650508</v>
      </c>
      <c r="G75" s="682">
        <f t="shared" si="25"/>
        <v>45535472</v>
      </c>
      <c r="H75" s="574"/>
      <c r="I75" s="682">
        <f>ROUND(SUM(I70:I74),0)</f>
        <v>-5394543</v>
      </c>
      <c r="J75" s="683"/>
      <c r="K75" s="682">
        <f>SUM(K70:K74)</f>
        <v>5037208.9670574404</v>
      </c>
      <c r="L75" s="683"/>
      <c r="M75" s="682">
        <f>SUM(M70:M74)</f>
        <v>-16273421.157595001</v>
      </c>
      <c r="N75" s="683"/>
      <c r="O75" s="682">
        <f>ROUND(SUM(O70:O74),0)</f>
        <v>28904717</v>
      </c>
      <c r="P75" s="574"/>
      <c r="Q75" s="75">
        <f t="shared" si="17"/>
        <v>69</v>
      </c>
      <c r="R75" s="944">
        <f>ROUND(SUM(R70:R74),0)</f>
        <v>25918181</v>
      </c>
      <c r="S75" s="944">
        <f>ROUND(SUM(S70:S74),0)</f>
        <v>14732327</v>
      </c>
      <c r="T75" s="937">
        <f t="shared" ref="T75:T77" si="28">+R75+S75</f>
        <v>40650508</v>
      </c>
      <c r="U75" s="77"/>
      <c r="V75" s="75">
        <f t="shared" si="1"/>
        <v>69</v>
      </c>
      <c r="W75" s="944">
        <f>ROUND(SUM(W70:W74),0)</f>
        <v>29618808</v>
      </c>
      <c r="X75" s="944">
        <f>ROUND(SUM(X70:X74),0)</f>
        <v>15916664</v>
      </c>
      <c r="Y75" s="937">
        <f t="shared" si="19"/>
        <v>45535472</v>
      </c>
      <c r="AA75" s="75">
        <f t="shared" si="18"/>
        <v>69</v>
      </c>
      <c r="AB75" s="943">
        <f>SUM(AB70:AB74)</f>
        <v>-3207780.4993927539</v>
      </c>
      <c r="AC75" s="943">
        <f>SUM(AC70:AC74)</f>
        <v>-2186762.1893858155</v>
      </c>
      <c r="AD75" s="943">
        <f>SUM(AD70:AD74)</f>
        <v>-5394542.6887785699</v>
      </c>
    </row>
    <row r="76" spans="1:30">
      <c r="A76" s="76">
        <f t="shared" si="3"/>
        <v>67</v>
      </c>
      <c r="B76" s="76"/>
      <c r="E76" s="574"/>
      <c r="G76" s="574"/>
      <c r="H76" s="574"/>
      <c r="I76" s="574"/>
      <c r="J76" s="683"/>
      <c r="K76" s="683"/>
      <c r="L76" s="683"/>
      <c r="M76" s="683"/>
      <c r="N76" s="683"/>
      <c r="O76" s="574"/>
      <c r="P76" s="574"/>
      <c r="Q76" s="75">
        <f t="shared" si="17"/>
        <v>70</v>
      </c>
      <c r="R76" s="206"/>
      <c r="S76" s="206"/>
      <c r="T76" s="937"/>
      <c r="U76" s="77"/>
      <c r="V76" s="75">
        <f t="shared" si="1"/>
        <v>70</v>
      </c>
      <c r="W76" s="206"/>
      <c r="X76" s="206"/>
      <c r="Y76" s="937">
        <f t="shared" si="19"/>
        <v>0</v>
      </c>
      <c r="AA76" s="75">
        <f t="shared" si="18"/>
        <v>70</v>
      </c>
    </row>
    <row r="77" spans="1:30" ht="13.5" thickBot="1">
      <c r="A77" s="76">
        <f t="shared" si="3"/>
        <v>68</v>
      </c>
      <c r="C77" s="75" t="s">
        <v>82</v>
      </c>
      <c r="E77" s="358">
        <f>E15+E22+E42+E68+E75</f>
        <v>720767365</v>
      </c>
      <c r="G77" s="358">
        <f>G15+G22+G42+G68+G75</f>
        <v>856329951</v>
      </c>
      <c r="H77" s="574"/>
      <c r="I77" s="358">
        <f>I15+I22+I42+I68+I75</f>
        <v>-5394543</v>
      </c>
      <c r="J77" s="683"/>
      <c r="K77" s="358">
        <f>K15+K22+K42+K68+K75</f>
        <v>109999999.83705744</v>
      </c>
      <c r="L77" s="683"/>
      <c r="M77" s="358">
        <f>M15+M22+M42+M68+M75</f>
        <v>-23994826.437595002</v>
      </c>
      <c r="N77" s="683"/>
      <c r="O77" s="358">
        <f>O15+O22+O42+O68+O75</f>
        <v>936940582</v>
      </c>
      <c r="P77" s="683"/>
      <c r="Q77" s="75">
        <f t="shared" si="17"/>
        <v>71</v>
      </c>
      <c r="R77" s="942">
        <f>R15+R22+R42+R68+R75</f>
        <v>400526508</v>
      </c>
      <c r="S77" s="942">
        <f>S15+S22+S42+S68+S75</f>
        <v>320240857</v>
      </c>
      <c r="T77" s="937">
        <f t="shared" si="28"/>
        <v>720767365</v>
      </c>
      <c r="U77" s="121"/>
      <c r="V77" s="75">
        <f t="shared" si="1"/>
        <v>71</v>
      </c>
      <c r="W77" s="942">
        <f t="shared" ref="W77:X77" si="29">W15+W22+W42+W68+W75</f>
        <v>492295724</v>
      </c>
      <c r="X77" s="942">
        <f t="shared" si="29"/>
        <v>364034227</v>
      </c>
      <c r="Y77" s="937">
        <f t="shared" si="19"/>
        <v>856329951</v>
      </c>
      <c r="AA77" s="75">
        <f t="shared" si="18"/>
        <v>71</v>
      </c>
    </row>
    <row r="78" spans="1:30" s="81" customFormat="1" ht="13.5" thickTop="1">
      <c r="A78" s="76">
        <f t="shared" si="3"/>
        <v>69</v>
      </c>
      <c r="K78" s="997"/>
      <c r="R78" s="683"/>
      <c r="S78" s="683"/>
      <c r="T78" s="651"/>
      <c r="U78" s="683"/>
      <c r="W78" s="683"/>
      <c r="X78" s="683"/>
      <c r="Y78" s="651"/>
      <c r="AB78" s="75"/>
      <c r="AC78" s="75"/>
      <c r="AD78" s="75"/>
    </row>
    <row r="79" spans="1:30">
      <c r="A79" s="76">
        <f t="shared" ref="A79:A84" si="30">1+A78</f>
        <v>70</v>
      </c>
      <c r="B79" s="75" t="s">
        <v>1229</v>
      </c>
      <c r="G79" s="82"/>
      <c r="H79" s="82"/>
      <c r="O79" s="82"/>
      <c r="P79" s="82"/>
      <c r="R79" s="998"/>
      <c r="S79" s="998"/>
      <c r="T79" s="998"/>
      <c r="W79" s="998"/>
      <c r="X79" s="998"/>
      <c r="Y79" s="998"/>
    </row>
    <row r="80" spans="1:30">
      <c r="A80" s="76">
        <f t="shared" si="30"/>
        <v>71</v>
      </c>
      <c r="B80" s="75" t="s">
        <v>1231</v>
      </c>
      <c r="G80" s="82"/>
      <c r="H80" s="82"/>
      <c r="O80" s="82"/>
      <c r="P80" s="82"/>
      <c r="Q80" s="999"/>
      <c r="R80" s="998"/>
      <c r="S80" s="998"/>
      <c r="T80" s="998"/>
      <c r="W80" s="998"/>
      <c r="X80" s="998"/>
      <c r="Y80" s="998"/>
    </row>
    <row r="81" spans="1:25">
      <c r="A81" s="76">
        <f t="shared" si="30"/>
        <v>72</v>
      </c>
      <c r="B81" s="75" t="s">
        <v>1233</v>
      </c>
      <c r="G81" s="82"/>
      <c r="H81" s="82"/>
      <c r="O81" s="82"/>
      <c r="P81" s="82"/>
      <c r="Q81" s="999"/>
      <c r="R81" s="998"/>
      <c r="S81" s="998"/>
      <c r="T81" s="998"/>
      <c r="W81" s="998"/>
      <c r="X81" s="998"/>
      <c r="Y81" s="998"/>
    </row>
    <row r="82" spans="1:25">
      <c r="A82" s="76">
        <f t="shared" si="30"/>
        <v>73</v>
      </c>
      <c r="B82" s="75" t="s">
        <v>1235</v>
      </c>
      <c r="G82" s="82"/>
      <c r="H82" s="82"/>
      <c r="O82" s="82"/>
      <c r="P82" s="82"/>
      <c r="Q82" s="999"/>
      <c r="R82" s="998"/>
      <c r="S82" s="998"/>
      <c r="T82" s="998"/>
      <c r="W82" s="998"/>
      <c r="X82" s="998"/>
      <c r="Y82" s="998"/>
    </row>
    <row r="83" spans="1:25">
      <c r="A83" s="76">
        <f t="shared" si="30"/>
        <v>74</v>
      </c>
      <c r="B83" s="75" t="s">
        <v>1237</v>
      </c>
      <c r="G83" s="82"/>
      <c r="H83" s="82"/>
      <c r="O83" s="82"/>
      <c r="P83" s="82"/>
      <c r="Q83" s="999"/>
      <c r="R83" s="998"/>
      <c r="S83" s="998"/>
      <c r="T83" s="998"/>
      <c r="W83" s="998"/>
      <c r="X83" s="998"/>
      <c r="Y83" s="998"/>
    </row>
    <row r="84" spans="1:25">
      <c r="A84" s="76">
        <f t="shared" si="30"/>
        <v>75</v>
      </c>
      <c r="B84" s="75" t="s">
        <v>1238</v>
      </c>
    </row>
    <row r="85" spans="1:25">
      <c r="A85" s="76"/>
    </row>
    <row r="86" spans="1:25">
      <c r="A86" s="76"/>
      <c r="Q86" s="999" t="s">
        <v>1126</v>
      </c>
      <c r="R86" s="998">
        <f>R77-400526508</f>
        <v>0</v>
      </c>
      <c r="S86" s="998">
        <f>S77-320240857</f>
        <v>0</v>
      </c>
      <c r="T86" s="1334">
        <f>T77-720767365</f>
        <v>0</v>
      </c>
      <c r="W86" s="998">
        <f>W77-492295724</f>
        <v>0</v>
      </c>
      <c r="X86" s="998">
        <f>X77-364034226</f>
        <v>1</v>
      </c>
      <c r="Y86" s="1334">
        <f>Y77-856329950</f>
        <v>1</v>
      </c>
    </row>
    <row r="88" spans="1:25">
      <c r="C88" s="927"/>
      <c r="G88" s="1177">
        <f>G77-('Stmt A pg 1'!F9+'Stmt A pg 1'!F12+'Stmt A pg 1'!F16)</f>
        <v>-1.5799999237060547</v>
      </c>
      <c r="K88" s="842">
        <f>K77-'Sched D-2'!E63</f>
        <v>-0.12999999523162842</v>
      </c>
      <c r="M88" s="1199">
        <f>M77-'Sched D-3'!E77</f>
        <v>0.25</v>
      </c>
      <c r="W88" s="998">
        <f>W77-('Stmt A pg 1'!I9+'Stmt A pg 1'!I12+'Stmt A pg 1'!I16)</f>
        <v>-0.57999992370605469</v>
      </c>
      <c r="X88" s="998">
        <f>X77-('Stmt A pg 1'!J9+'Stmt A pg 1'!J12+'Stmt A pg 1'!J16)</f>
        <v>-1</v>
      </c>
    </row>
    <row r="90" spans="1:25">
      <c r="R90" s="1175"/>
      <c r="S90" s="1175"/>
      <c r="T90" s="1175"/>
      <c r="U90" s="1175"/>
      <c r="V90" s="1175"/>
      <c r="W90" s="1175"/>
      <c r="X90" s="1175"/>
      <c r="Y90" s="1175"/>
    </row>
    <row r="91" spans="1:25">
      <c r="R91" s="1177"/>
      <c r="S91" s="1177"/>
      <c r="T91" s="1177"/>
      <c r="W91" s="1177"/>
      <c r="X91" s="1177"/>
      <c r="Y91" s="1177"/>
    </row>
  </sheetData>
  <phoneticPr fontId="13" type="noConversion"/>
  <printOptions horizontalCentered="1"/>
  <pageMargins left="0.25" right="0.25" top="0.5" bottom="0.2" header="0.75" footer="0"/>
  <pageSetup scale="47" orientation="landscape" verticalDpi="300" r:id="rId1"/>
  <headerFooter alignWithMargins="0">
    <oddHeader xml:space="preserve">&amp;L </oddHeader>
  </headerFooter>
  <rowBreaks count="1" manualBreakCount="1">
    <brk id="43"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dimension ref="A1:O76"/>
  <sheetViews>
    <sheetView topLeftCell="A46" workbookViewId="0">
      <selection activeCell="K63" sqref="K63"/>
    </sheetView>
  </sheetViews>
  <sheetFormatPr defaultColWidth="9.33203125" defaultRowHeight="12.75"/>
  <cols>
    <col min="1" max="1" width="6.83203125" style="75" customWidth="1"/>
    <col min="2" max="2" width="8.1640625" style="75" bestFit="1" customWidth="1"/>
    <col min="3" max="3" width="73.33203125" style="75" customWidth="1"/>
    <col min="4" max="4" width="3.33203125" style="75" customWidth="1"/>
    <col min="5" max="5" width="15.83203125" style="75" customWidth="1"/>
    <col min="6" max="6" width="3.33203125" style="75" customWidth="1"/>
    <col min="7" max="7" width="13.1640625" style="75" customWidth="1"/>
    <col min="8" max="8" width="3.1640625" style="75" bestFit="1" customWidth="1"/>
    <col min="9" max="10" width="18.83203125" style="75" customWidth="1"/>
    <col min="11" max="11" width="21.6640625" style="75" bestFit="1" customWidth="1"/>
    <col min="12" max="12" width="9.33203125" style="75"/>
    <col min="13" max="13" width="17.6640625" style="75" customWidth="1"/>
    <col min="14" max="14" width="9.33203125" style="75"/>
    <col min="15" max="15" width="28.5" style="75" bestFit="1" customWidth="1"/>
    <col min="16" max="16384" width="9.33203125" style="75"/>
  </cols>
  <sheetData>
    <row r="1" spans="1:15">
      <c r="A1" s="69" t="str">
        <f>Company</f>
        <v>BLACK HILLS NEBRASKA GAS, LLC</v>
      </c>
      <c r="B1" s="74"/>
      <c r="C1" s="74"/>
      <c r="D1" s="74"/>
      <c r="E1" s="615" t="s">
        <v>1324</v>
      </c>
      <c r="F1" s="74"/>
      <c r="G1" s="74"/>
    </row>
    <row r="2" spans="1:15">
      <c r="A2" s="74" t="s">
        <v>1269</v>
      </c>
      <c r="B2" s="74"/>
      <c r="C2" s="74"/>
      <c r="D2" s="74"/>
      <c r="E2" s="72" t="str">
        <f>Attach</f>
        <v>FINAL - BH January 15, 2021 Rev. Req. Model</v>
      </c>
      <c r="F2" s="74"/>
      <c r="G2" s="74"/>
      <c r="I2" s="873"/>
      <c r="J2" s="873"/>
      <c r="K2" s="76"/>
    </row>
    <row r="3" spans="1:15">
      <c r="A3" s="70" t="str">
        <f>TYEnded</f>
        <v>FOR THE TEST YEAR ENDING DECEMBER 31, 2020</v>
      </c>
      <c r="B3" s="74"/>
      <c r="C3" s="74"/>
      <c r="D3" s="74"/>
      <c r="E3" s="84" t="s">
        <v>777</v>
      </c>
      <c r="F3" s="74"/>
      <c r="G3" s="74"/>
      <c r="I3" s="873"/>
      <c r="J3" s="873"/>
      <c r="K3" s="76"/>
    </row>
    <row r="4" spans="1:15">
      <c r="A4" s="76"/>
      <c r="B4" s="76"/>
      <c r="I4" s="873"/>
      <c r="J4" s="873"/>
      <c r="K4" s="76"/>
    </row>
    <row r="5" spans="1:15">
      <c r="A5" s="423"/>
      <c r="B5" s="423"/>
      <c r="C5" s="80"/>
      <c r="D5" s="80"/>
      <c r="E5" s="423"/>
      <c r="F5" s="80"/>
      <c r="G5" s="80"/>
      <c r="I5" s="873"/>
      <c r="J5" s="873"/>
      <c r="K5" s="76"/>
    </row>
    <row r="6" spans="1:15">
      <c r="A6" s="423" t="s">
        <v>365</v>
      </c>
      <c r="B6" s="423" t="s">
        <v>241</v>
      </c>
      <c r="C6" s="423"/>
      <c r="D6" s="423"/>
      <c r="E6" s="15"/>
      <c r="F6" s="423"/>
      <c r="G6" s="424"/>
      <c r="H6" s="82">
        <f>1+H5</f>
        <v>1</v>
      </c>
      <c r="I6" s="86" t="str">
        <f>References!$C$17</f>
        <v>Exhibit No. MCC-2 NEG</v>
      </c>
      <c r="J6" s="86" t="str">
        <f>References!$D$17</f>
        <v>Exhibit No. MCC-2 NEGD</v>
      </c>
      <c r="K6" s="86" t="str">
        <f>References!$E$17</f>
        <v>FINAL - BH January 15, 2021 Rev. Req. Model</v>
      </c>
      <c r="M6" s="75" t="s">
        <v>1644</v>
      </c>
      <c r="O6" s="75" t="s">
        <v>1663</v>
      </c>
    </row>
    <row r="7" spans="1:15">
      <c r="A7" s="425" t="s">
        <v>195</v>
      </c>
      <c r="B7" s="425" t="s">
        <v>515</v>
      </c>
      <c r="C7" s="759" t="s">
        <v>715</v>
      </c>
      <c r="D7" s="425"/>
      <c r="E7" s="362" t="s">
        <v>286</v>
      </c>
      <c r="F7" s="425"/>
      <c r="G7" s="448"/>
      <c r="H7" s="82">
        <f t="shared" ref="H7:H63" si="0">1+H6</f>
        <v>2</v>
      </c>
      <c r="I7" s="82" t="str">
        <f>References!$C$18</f>
        <v>NEG</v>
      </c>
      <c r="J7" s="82" t="str">
        <f>References!$D$18</f>
        <v>NEGD</v>
      </c>
      <c r="K7" s="82" t="str">
        <f>References!$E$18</f>
        <v>Tot Co</v>
      </c>
    </row>
    <row r="8" spans="1:15">
      <c r="A8" s="76"/>
      <c r="B8" s="76"/>
      <c r="G8" s="82"/>
      <c r="H8" s="82">
        <f t="shared" si="0"/>
        <v>3</v>
      </c>
      <c r="I8" s="82"/>
      <c r="J8" s="82"/>
      <c r="K8" s="82"/>
    </row>
    <row r="9" spans="1:15">
      <c r="A9" s="76">
        <v>1</v>
      </c>
      <c r="B9" s="76"/>
      <c r="C9" s="83"/>
      <c r="E9" s="683"/>
      <c r="F9" s="574"/>
      <c r="G9" s="574"/>
      <c r="H9" s="82">
        <f t="shared" si="0"/>
        <v>4</v>
      </c>
      <c r="I9" s="82"/>
      <c r="J9" s="760"/>
      <c r="K9" s="506"/>
    </row>
    <row r="10" spans="1:15">
      <c r="A10" s="76">
        <f t="shared" ref="A10:A69" si="1">1+A9</f>
        <v>2</v>
      </c>
      <c r="B10" s="76"/>
      <c r="C10" s="20" t="s">
        <v>432</v>
      </c>
      <c r="E10" s="683"/>
      <c r="F10" s="574"/>
      <c r="G10" s="574"/>
      <c r="H10" s="82">
        <f t="shared" si="0"/>
        <v>5</v>
      </c>
      <c r="I10" s="82"/>
      <c r="J10" s="760"/>
      <c r="K10" s="506"/>
    </row>
    <row r="11" spans="1:15">
      <c r="A11" s="76">
        <f t="shared" si="1"/>
        <v>3</v>
      </c>
      <c r="B11" s="76">
        <f>'Sched D-1'!B25</f>
        <v>374.01</v>
      </c>
      <c r="C11" s="731" t="str">
        <f>'Sched D-1'!C25</f>
        <v>Distribution Plant - Land</v>
      </c>
      <c r="E11" s="574">
        <f t="shared" ref="E11:E27" si="2">HLOOKUP(Attach,$I$6:$K$63,H11,FALSE)</f>
        <v>0</v>
      </c>
      <c r="F11" s="574"/>
      <c r="G11" s="574"/>
      <c r="H11" s="82">
        <f t="shared" si="0"/>
        <v>6</v>
      </c>
      <c r="I11" s="973">
        <v>0</v>
      </c>
      <c r="J11" s="1031">
        <v>0</v>
      </c>
      <c r="K11" s="947">
        <f>IF($E$76="Y",O11,IF($E$75="Y",M11,I11+J11))</f>
        <v>0</v>
      </c>
      <c r="M11" s="75">
        <v>0</v>
      </c>
      <c r="O11" s="75">
        <v>0</v>
      </c>
    </row>
    <row r="12" spans="1:15">
      <c r="A12" s="76">
        <f t="shared" si="1"/>
        <v>4</v>
      </c>
      <c r="B12" s="76">
        <f>'Sched D-1'!B26</f>
        <v>374.02</v>
      </c>
      <c r="C12" s="731" t="str">
        <f>'Sched D-1'!C26</f>
        <v>Land Rights (Non-Depreciable)</v>
      </c>
      <c r="E12" s="680">
        <f t="shared" si="2"/>
        <v>1517003.5573682757</v>
      </c>
      <c r="F12" s="680"/>
      <c r="G12" s="680"/>
      <c r="H12" s="82">
        <f t="shared" si="0"/>
        <v>7</v>
      </c>
      <c r="I12" s="973">
        <v>495253.0257500002</v>
      </c>
      <c r="J12" s="1031">
        <v>1052914.8705</v>
      </c>
      <c r="K12" s="947">
        <f t="shared" ref="K12:K63" si="3">IF($E$76="Y",O12,IF($E$75="Y",M12,I12+J12))</f>
        <v>1517003.5573682757</v>
      </c>
      <c r="M12" s="75">
        <v>1517003.5573682757</v>
      </c>
      <c r="O12" s="75">
        <v>1080829.1873999999</v>
      </c>
    </row>
    <row r="13" spans="1:15">
      <c r="A13" s="76">
        <f t="shared" si="1"/>
        <v>5</v>
      </c>
      <c r="B13" s="76">
        <f>'Sched D-1'!B27</f>
        <v>374.03</v>
      </c>
      <c r="C13" s="731" t="str">
        <f>'Sched D-1'!C27</f>
        <v>Land Rights - Right of Way (Depreciable)</v>
      </c>
      <c r="E13" s="680">
        <f t="shared" si="2"/>
        <v>0</v>
      </c>
      <c r="F13" s="680"/>
      <c r="G13" s="680"/>
      <c r="H13" s="82">
        <f t="shared" si="0"/>
        <v>8</v>
      </c>
      <c r="I13" s="973">
        <v>0</v>
      </c>
      <c r="J13" s="1031">
        <v>0</v>
      </c>
      <c r="K13" s="947">
        <f t="shared" si="3"/>
        <v>0</v>
      </c>
      <c r="M13" s="75">
        <v>0</v>
      </c>
      <c r="O13" s="75">
        <v>0</v>
      </c>
    </row>
    <row r="14" spans="1:15">
      <c r="A14" s="76">
        <f t="shared" si="1"/>
        <v>6</v>
      </c>
      <c r="B14" s="76">
        <f>'Sched D-1'!B28</f>
        <v>375.01</v>
      </c>
      <c r="C14" s="731" t="str">
        <f>'Sched D-1'!C28</f>
        <v>Structures and Improvements</v>
      </c>
      <c r="E14" s="680">
        <f t="shared" si="2"/>
        <v>854346.02922942536</v>
      </c>
      <c r="F14" s="680"/>
      <c r="G14" s="680"/>
      <c r="H14" s="82">
        <f t="shared" si="0"/>
        <v>9</v>
      </c>
      <c r="I14" s="973">
        <v>329751.41565000004</v>
      </c>
      <c r="J14" s="1031">
        <v>474791.65440000006</v>
      </c>
      <c r="K14" s="947">
        <f t="shared" si="3"/>
        <v>854346.02922942536</v>
      </c>
      <c r="M14" s="75">
        <v>854346.02922942536</v>
      </c>
      <c r="O14" s="75">
        <v>649650.21720000019</v>
      </c>
    </row>
    <row r="15" spans="1:15">
      <c r="A15" s="76">
        <f t="shared" si="1"/>
        <v>7</v>
      </c>
      <c r="B15" s="1252">
        <f>'Sched D-1'!B29</f>
        <v>375.2</v>
      </c>
      <c r="C15" s="731" t="str">
        <f>'Sched D-1'!C29</f>
        <v>Structures and Improvements - Other</v>
      </c>
      <c r="E15" s="680">
        <f t="shared" si="2"/>
        <v>0</v>
      </c>
      <c r="F15" s="680"/>
      <c r="G15" s="680"/>
      <c r="H15" s="82">
        <f t="shared" si="0"/>
        <v>10</v>
      </c>
      <c r="I15" s="973">
        <v>0</v>
      </c>
      <c r="J15" s="1031">
        <v>0</v>
      </c>
      <c r="K15" s="947">
        <f t="shared" si="3"/>
        <v>0</v>
      </c>
      <c r="M15" s="75">
        <v>0</v>
      </c>
      <c r="O15" s="75">
        <v>0</v>
      </c>
    </row>
    <row r="16" spans="1:15">
      <c r="A16" s="76">
        <f t="shared" si="1"/>
        <v>8</v>
      </c>
      <c r="B16" s="76">
        <f>'Sched D-1'!B30</f>
        <v>376</v>
      </c>
      <c r="C16" s="731" t="str">
        <f>'Sched D-1'!C30</f>
        <v>Distribution Plant - Mains</v>
      </c>
      <c r="E16" s="680">
        <f t="shared" si="2"/>
        <v>41301424.015580021</v>
      </c>
      <c r="F16" s="680"/>
      <c r="G16" s="680"/>
      <c r="H16" s="82">
        <f t="shared" si="0"/>
        <v>11</v>
      </c>
      <c r="I16" s="973">
        <v>11131864.078690002</v>
      </c>
      <c r="J16" s="1031">
        <v>30110075.084700007</v>
      </c>
      <c r="K16" s="947">
        <f t="shared" si="3"/>
        <v>41301424.015580021</v>
      </c>
      <c r="M16" s="75">
        <v>41301424.015580021</v>
      </c>
      <c r="O16" s="75">
        <v>28168261.18359999</v>
      </c>
    </row>
    <row r="17" spans="1:15">
      <c r="A17" s="76">
        <f t="shared" si="1"/>
        <v>9</v>
      </c>
      <c r="B17" s="76">
        <f>'Sched D-1'!B31</f>
        <v>378</v>
      </c>
      <c r="C17" s="731" t="str">
        <f>'Sched D-1'!C31</f>
        <v>Distribution Plant - Meas. &amp; Reg. Sta. Equip. - General</v>
      </c>
      <c r="E17" s="680">
        <f t="shared" si="2"/>
        <v>1889834.4372494253</v>
      </c>
      <c r="F17" s="680"/>
      <c r="G17" s="680"/>
      <c r="H17" s="82">
        <f t="shared" si="0"/>
        <v>12</v>
      </c>
      <c r="I17" s="973">
        <v>1197899.8152499998</v>
      </c>
      <c r="J17" s="1031">
        <v>659995.71929999941</v>
      </c>
      <c r="K17" s="947">
        <f t="shared" si="3"/>
        <v>1889834.4372494253</v>
      </c>
      <c r="M17" s="75">
        <v>1889834.4372494253</v>
      </c>
      <c r="O17" s="75">
        <v>1472529.9356</v>
      </c>
    </row>
    <row r="18" spans="1:15">
      <c r="A18" s="76">
        <f t="shared" si="1"/>
        <v>10</v>
      </c>
      <c r="B18" s="76">
        <f>'Sched D-1'!B32</f>
        <v>379</v>
      </c>
      <c r="C18" s="731" t="str">
        <f>'Sched D-1'!C32</f>
        <v>Measuring &amp; Regulating Station Equip.- City Gate Check Stn.</v>
      </c>
      <c r="E18" s="680">
        <f t="shared" si="2"/>
        <v>517240.94475999987</v>
      </c>
      <c r="F18" s="680"/>
      <c r="G18" s="680"/>
      <c r="H18" s="82">
        <f t="shared" si="0"/>
        <v>13</v>
      </c>
      <c r="I18" s="973">
        <v>1351441.4043499995</v>
      </c>
      <c r="J18" s="1031">
        <v>96128.623099999983</v>
      </c>
      <c r="K18" s="947">
        <f t="shared" si="3"/>
        <v>517240.94475999987</v>
      </c>
      <c r="M18" s="75">
        <v>517240.94475999987</v>
      </c>
      <c r="O18" s="75">
        <v>402768.95170000009</v>
      </c>
    </row>
    <row r="19" spans="1:15">
      <c r="A19" s="76">
        <f t="shared" si="1"/>
        <v>11</v>
      </c>
      <c r="B19" s="76">
        <f>'Sched D-1'!B33</f>
        <v>380</v>
      </c>
      <c r="C19" s="731" t="str">
        <f>'Sched D-1'!C33</f>
        <v>Distribution Plant - Services</v>
      </c>
      <c r="E19" s="680">
        <f t="shared" si="2"/>
        <v>25367944.010447118</v>
      </c>
      <c r="F19" s="680"/>
      <c r="G19" s="680"/>
      <c r="H19" s="82">
        <f t="shared" si="0"/>
        <v>14</v>
      </c>
      <c r="I19" s="973">
        <v>10665509.547010001</v>
      </c>
      <c r="J19" s="1031">
        <v>9352062.997299999</v>
      </c>
      <c r="K19" s="947">
        <f t="shared" si="3"/>
        <v>25367944.010447118</v>
      </c>
      <c r="M19" s="75">
        <v>25367944.010447118</v>
      </c>
      <c r="O19" s="75">
        <v>20646503.903800003</v>
      </c>
    </row>
    <row r="20" spans="1:15">
      <c r="A20" s="76">
        <f t="shared" si="1"/>
        <v>12</v>
      </c>
      <c r="B20" s="76">
        <f>'Sched D-1'!B34</f>
        <v>381</v>
      </c>
      <c r="C20" s="731" t="str">
        <f>'Sched D-1'!C34</f>
        <v>Meters</v>
      </c>
      <c r="E20" s="680">
        <f t="shared" si="2"/>
        <v>4466857.5739094242</v>
      </c>
      <c r="F20" s="680"/>
      <c r="G20" s="680"/>
      <c r="H20" s="82">
        <f t="shared" si="0"/>
        <v>15</v>
      </c>
      <c r="I20" s="973">
        <v>2098463.0187499993</v>
      </c>
      <c r="J20" s="1031">
        <v>1440735.2951999996</v>
      </c>
      <c r="K20" s="947">
        <f t="shared" si="3"/>
        <v>4466857.5739094242</v>
      </c>
      <c r="M20" s="75">
        <v>4466857.5739094242</v>
      </c>
      <c r="O20" s="75">
        <v>3400796.1786000002</v>
      </c>
    </row>
    <row r="21" spans="1:15">
      <c r="A21" s="76">
        <f t="shared" si="1"/>
        <v>13</v>
      </c>
      <c r="B21" s="76">
        <f>'Sched D-1'!B35</f>
        <v>382.01</v>
      </c>
      <c r="C21" s="731" t="str">
        <f>'Sched D-1'!C35</f>
        <v>Meter Installations</v>
      </c>
      <c r="D21" s="82"/>
      <c r="E21" s="680">
        <f t="shared" si="2"/>
        <v>1276663.3628199999</v>
      </c>
      <c r="F21" s="680"/>
      <c r="G21" s="802"/>
      <c r="H21" s="82">
        <f t="shared" si="0"/>
        <v>16</v>
      </c>
      <c r="I21" s="973">
        <v>520030.43729999976</v>
      </c>
      <c r="J21" s="1031">
        <v>681475.79920000024</v>
      </c>
      <c r="K21" s="947">
        <f t="shared" si="3"/>
        <v>1276663.3628199999</v>
      </c>
      <c r="M21" s="75">
        <v>1276663.3628199999</v>
      </c>
      <c r="O21" s="75">
        <v>993337.68390000029</v>
      </c>
    </row>
    <row r="22" spans="1:15">
      <c r="A22" s="76">
        <f t="shared" si="1"/>
        <v>14</v>
      </c>
      <c r="B22" s="76">
        <f>'Sched D-1'!B36</f>
        <v>383.01</v>
      </c>
      <c r="C22" s="731" t="str">
        <f>'Sched D-1'!C36</f>
        <v>Distribution Plant - House Regulators</v>
      </c>
      <c r="D22" s="82"/>
      <c r="E22" s="680">
        <f t="shared" si="2"/>
        <v>3453761.6541894246</v>
      </c>
      <c r="F22" s="680"/>
      <c r="G22" s="802"/>
      <c r="H22" s="82">
        <f t="shared" si="0"/>
        <v>17</v>
      </c>
      <c r="I22" s="973">
        <v>1705941.3491500001</v>
      </c>
      <c r="J22" s="1031">
        <v>1048359.6123</v>
      </c>
      <c r="K22" s="947">
        <f t="shared" si="3"/>
        <v>3453761.6541894246</v>
      </c>
      <c r="M22" s="75">
        <v>3453761.6541894246</v>
      </c>
      <c r="O22" s="75">
        <v>2635053.9503000006</v>
      </c>
    </row>
    <row r="23" spans="1:15">
      <c r="A23" s="76">
        <f t="shared" si="1"/>
        <v>15</v>
      </c>
      <c r="B23" s="76">
        <f>'Sched D-1'!B37</f>
        <v>383.71</v>
      </c>
      <c r="C23" s="731" t="str">
        <f>'Sched D-1'!C37</f>
        <v>Distribution Plant - House Regulators - Farm Taps</v>
      </c>
      <c r="D23" s="82"/>
      <c r="E23" s="680">
        <f t="shared" si="2"/>
        <v>207762.67600000001</v>
      </c>
      <c r="F23" s="680"/>
      <c r="G23" s="802"/>
      <c r="H23" s="82">
        <f t="shared" si="0"/>
        <v>18</v>
      </c>
      <c r="I23" s="973">
        <v>0</v>
      </c>
      <c r="J23" s="1031">
        <v>194574.92400000003</v>
      </c>
      <c r="K23" s="947">
        <f t="shared" si="3"/>
        <v>207762.67600000001</v>
      </c>
      <c r="M23" s="75">
        <v>207762.67600000001</v>
      </c>
      <c r="O23" s="75">
        <v>179400.16399999999</v>
      </c>
    </row>
    <row r="24" spans="1:15">
      <c r="A24" s="76">
        <f t="shared" si="1"/>
        <v>16</v>
      </c>
      <c r="B24" s="76">
        <f>'Sched D-1'!B38</f>
        <v>384.01</v>
      </c>
      <c r="C24" s="731" t="str">
        <f>'Sched D-1'!C38</f>
        <v>House regulator installations</v>
      </c>
      <c r="D24" s="82"/>
      <c r="E24" s="680">
        <f t="shared" si="2"/>
        <v>51940.669000000002</v>
      </c>
      <c r="F24" s="680"/>
      <c r="G24" s="802"/>
      <c r="H24" s="82">
        <f t="shared" si="0"/>
        <v>19</v>
      </c>
      <c r="I24" s="973">
        <v>0</v>
      </c>
      <c r="J24" s="1031">
        <v>48643.731000000007</v>
      </c>
      <c r="K24" s="947">
        <f t="shared" si="3"/>
        <v>51940.669000000002</v>
      </c>
      <c r="M24" s="75">
        <v>51940.669000000002</v>
      </c>
      <c r="O24" s="75">
        <v>44850.040999999997</v>
      </c>
    </row>
    <row r="25" spans="1:15">
      <c r="A25" s="76">
        <f t="shared" si="1"/>
        <v>17</v>
      </c>
      <c r="B25" s="76">
        <f>'Sched D-1'!B39</f>
        <v>385</v>
      </c>
      <c r="C25" s="731" t="str">
        <f>'Sched D-1'!C39</f>
        <v>Industrial Measuring &amp; Regulating Station Equipment</v>
      </c>
      <c r="D25" s="82"/>
      <c r="E25" s="680">
        <f t="shared" si="2"/>
        <v>4469677.232389424</v>
      </c>
      <c r="F25" s="680"/>
      <c r="G25" s="802"/>
      <c r="H25" s="82">
        <f t="shared" si="0"/>
        <v>20</v>
      </c>
      <c r="I25" s="973">
        <v>3050199.3531000004</v>
      </c>
      <c r="J25" s="1031">
        <v>2319407.1290000002</v>
      </c>
      <c r="K25" s="947">
        <f t="shared" si="3"/>
        <v>4469677.232389424</v>
      </c>
      <c r="M25" s="75">
        <v>4469677.232389424</v>
      </c>
      <c r="O25" s="75">
        <v>5048823.5628999993</v>
      </c>
    </row>
    <row r="26" spans="1:15">
      <c r="A26" s="76">
        <f t="shared" si="1"/>
        <v>18</v>
      </c>
      <c r="B26" s="76">
        <f>'Sched D-1'!B40</f>
        <v>386</v>
      </c>
      <c r="C26" s="731" t="str">
        <f>'Sched D-1'!C40</f>
        <v>Other Property on Customers' Premises</v>
      </c>
      <c r="E26" s="680">
        <f t="shared" si="2"/>
        <v>0</v>
      </c>
      <c r="F26" s="680"/>
      <c r="G26" s="680"/>
      <c r="H26" s="82">
        <f t="shared" si="0"/>
        <v>21</v>
      </c>
      <c r="I26" s="973">
        <v>0</v>
      </c>
      <c r="J26" s="1031">
        <v>0</v>
      </c>
      <c r="K26" s="947">
        <f t="shared" si="3"/>
        <v>0</v>
      </c>
      <c r="M26" s="75">
        <v>0</v>
      </c>
      <c r="O26" s="75">
        <v>0</v>
      </c>
    </row>
    <row r="27" spans="1:15">
      <c r="A27" s="76">
        <f t="shared" si="1"/>
        <v>19</v>
      </c>
      <c r="B27" s="76">
        <f>'Sched D-1'!B41</f>
        <v>387</v>
      </c>
      <c r="C27" s="731" t="str">
        <f>'Sched D-1'!C41</f>
        <v>Other Equipment</v>
      </c>
      <c r="E27" s="680">
        <f t="shared" si="2"/>
        <v>0</v>
      </c>
      <c r="F27" s="680"/>
      <c r="G27" s="680"/>
      <c r="H27" s="82">
        <f t="shared" si="0"/>
        <v>22</v>
      </c>
      <c r="I27" s="1035">
        <v>0</v>
      </c>
      <c r="J27" s="1251">
        <v>0</v>
      </c>
      <c r="K27" s="947">
        <f t="shared" si="3"/>
        <v>0</v>
      </c>
      <c r="M27" s="75">
        <v>0</v>
      </c>
      <c r="O27" s="75">
        <v>0</v>
      </c>
    </row>
    <row r="28" spans="1:15">
      <c r="A28" s="76">
        <f t="shared" si="1"/>
        <v>20</v>
      </c>
      <c r="B28" s="76"/>
      <c r="C28" s="83" t="s">
        <v>436</v>
      </c>
      <c r="E28" s="682">
        <f>ROUND(SUM(E11:E27),0)</f>
        <v>85374456</v>
      </c>
      <c r="F28" s="574"/>
      <c r="G28" s="574"/>
      <c r="H28" s="82">
        <f t="shared" si="0"/>
        <v>23</v>
      </c>
      <c r="I28" s="937">
        <f>SUM(I11:I27)</f>
        <v>32546353.445000008</v>
      </c>
      <c r="J28" s="937">
        <f>SUM(J11:J27)</f>
        <v>47479165.440000005</v>
      </c>
      <c r="K28" s="947">
        <f t="shared" si="3"/>
        <v>85374456.162942544</v>
      </c>
      <c r="M28" s="75">
        <f>SUM(M11:M27)</f>
        <v>85374456.162942544</v>
      </c>
      <c r="O28" s="75">
        <v>64722804.959999986</v>
      </c>
    </row>
    <row r="29" spans="1:15">
      <c r="A29" s="76">
        <f t="shared" si="1"/>
        <v>21</v>
      </c>
      <c r="B29" s="76"/>
      <c r="C29" s="83"/>
      <c r="E29" s="574"/>
      <c r="F29" s="574"/>
      <c r="G29" s="574"/>
      <c r="H29" s="82">
        <f t="shared" si="0"/>
        <v>24</v>
      </c>
      <c r="I29" s="82"/>
      <c r="J29" s="82"/>
      <c r="K29" s="947">
        <f t="shared" si="3"/>
        <v>0</v>
      </c>
    </row>
    <row r="30" spans="1:15">
      <c r="A30" s="76">
        <f t="shared" si="1"/>
        <v>22</v>
      </c>
      <c r="B30" s="76"/>
      <c r="C30" s="80" t="s">
        <v>300</v>
      </c>
      <c r="E30" s="574"/>
      <c r="F30" s="574"/>
      <c r="G30" s="574"/>
      <c r="H30" s="82">
        <f t="shared" si="0"/>
        <v>25</v>
      </c>
      <c r="I30" s="82"/>
      <c r="J30" s="760"/>
      <c r="K30" s="947">
        <f t="shared" si="3"/>
        <v>0</v>
      </c>
    </row>
    <row r="31" spans="1:15">
      <c r="A31" s="76">
        <f t="shared" si="1"/>
        <v>23</v>
      </c>
      <c r="B31" s="76">
        <f>'Sched D-1'!B45</f>
        <v>389.01</v>
      </c>
      <c r="C31" s="731" t="str">
        <f>'Sched D-1'!C45</f>
        <v>Land</v>
      </c>
      <c r="E31" s="574">
        <f t="shared" ref="E31:E53" si="4">HLOOKUP(Attach,$I$6:$K$63,H31,FALSE)</f>
        <v>899713.44209999975</v>
      </c>
      <c r="F31" s="574"/>
      <c r="G31" s="574"/>
      <c r="H31" s="82">
        <f t="shared" si="0"/>
        <v>26</v>
      </c>
      <c r="I31" s="1036">
        <v>52958.100800000066</v>
      </c>
      <c r="J31" s="1037">
        <v>490122.87279999995</v>
      </c>
      <c r="K31" s="947">
        <f t="shared" si="3"/>
        <v>899713.44209999975</v>
      </c>
      <c r="M31" s="75">
        <v>899713.44209999975</v>
      </c>
      <c r="O31" s="75">
        <v>925225.89500000002</v>
      </c>
    </row>
    <row r="32" spans="1:15">
      <c r="A32" s="76">
        <f t="shared" si="1"/>
        <v>24</v>
      </c>
      <c r="B32" s="76">
        <f>'Sched D-1'!B46</f>
        <v>389.02</v>
      </c>
      <c r="C32" s="731" t="str">
        <f>'Sched D-1'!C46</f>
        <v>Land Rights - Right of Way</v>
      </c>
      <c r="E32" s="680">
        <f t="shared" si="4"/>
        <v>245376.39329999997</v>
      </c>
      <c r="F32" s="574"/>
      <c r="G32" s="574"/>
      <c r="H32" s="82">
        <f t="shared" si="0"/>
        <v>27</v>
      </c>
      <c r="I32" s="1036">
        <v>14443.118400000021</v>
      </c>
      <c r="J32" s="1037">
        <v>133669.87439999997</v>
      </c>
      <c r="K32" s="947">
        <f t="shared" si="3"/>
        <v>245376.39329999997</v>
      </c>
      <c r="M32" s="75">
        <v>245376.39329999997</v>
      </c>
      <c r="O32" s="75">
        <v>252334.33499999999</v>
      </c>
    </row>
    <row r="33" spans="1:15">
      <c r="A33" s="76">
        <f t="shared" si="1"/>
        <v>25</v>
      </c>
      <c r="B33" s="76">
        <f>'Sched D-1'!B47</f>
        <v>390.01</v>
      </c>
      <c r="C33" s="731" t="str">
        <f>'Sched D-1'!C47</f>
        <v xml:space="preserve">Structures and Improvements </v>
      </c>
      <c r="E33" s="680">
        <f t="shared" si="4"/>
        <v>6870539.0123999985</v>
      </c>
      <c r="F33" s="680"/>
      <c r="G33" s="680"/>
      <c r="H33" s="82">
        <f t="shared" si="0"/>
        <v>28</v>
      </c>
      <c r="I33" s="1036">
        <v>404407.31520000059</v>
      </c>
      <c r="J33" s="1037">
        <v>3742756.4831999997</v>
      </c>
      <c r="K33" s="947">
        <f t="shared" si="3"/>
        <v>6870539.0123999985</v>
      </c>
      <c r="M33" s="75">
        <v>6870539.0123999985</v>
      </c>
      <c r="O33" s="75">
        <v>7065361.379999999</v>
      </c>
    </row>
    <row r="34" spans="1:15">
      <c r="A34" s="76">
        <f t="shared" si="1"/>
        <v>26</v>
      </c>
      <c r="B34" s="76">
        <f>'Sched D-1'!B48</f>
        <v>390.51</v>
      </c>
      <c r="C34" s="731" t="str">
        <f>'Sched D-1'!C48</f>
        <v>Leasehold Improvements</v>
      </c>
      <c r="E34" s="680">
        <f t="shared" si="4"/>
        <v>0</v>
      </c>
      <c r="F34" s="680"/>
      <c r="G34" s="680"/>
      <c r="H34" s="82">
        <f t="shared" si="0"/>
        <v>29</v>
      </c>
      <c r="I34" s="1036">
        <v>0</v>
      </c>
      <c r="J34" s="1037">
        <v>0</v>
      </c>
      <c r="K34" s="947">
        <f t="shared" si="3"/>
        <v>0</v>
      </c>
      <c r="M34" s="75">
        <v>0</v>
      </c>
      <c r="O34" s="75">
        <v>0</v>
      </c>
    </row>
    <row r="35" spans="1:15">
      <c r="A35" s="76">
        <f t="shared" si="1"/>
        <v>27</v>
      </c>
      <c r="B35" s="76">
        <f>'Sched D-1'!B49</f>
        <v>391.01</v>
      </c>
      <c r="C35" s="731" t="str">
        <f>'Sched D-1'!C49</f>
        <v>Office Machines</v>
      </c>
      <c r="E35" s="680">
        <f t="shared" si="4"/>
        <v>81792.131099999984</v>
      </c>
      <c r="F35" s="680"/>
      <c r="G35" s="680"/>
      <c r="H35" s="82">
        <f t="shared" si="0"/>
        <v>30</v>
      </c>
      <c r="I35" s="1036">
        <v>4814.3728000000065</v>
      </c>
      <c r="J35" s="1037">
        <v>44556.624799999991</v>
      </c>
      <c r="K35" s="947">
        <f t="shared" si="3"/>
        <v>81792.131099999984</v>
      </c>
      <c r="M35" s="75">
        <v>81792.131099999984</v>
      </c>
      <c r="O35" s="75">
        <v>84111.444999999992</v>
      </c>
    </row>
    <row r="36" spans="1:15">
      <c r="A36" s="76">
        <f t="shared" si="1"/>
        <v>28</v>
      </c>
      <c r="B36" s="76">
        <f>'Sched D-1'!B50</f>
        <v>391.02</v>
      </c>
      <c r="C36" s="731" t="str">
        <f>'Sched D-1'!C50</f>
        <v>Office Furniture</v>
      </c>
      <c r="E36" s="680">
        <f t="shared" si="4"/>
        <v>0</v>
      </c>
      <c r="F36" s="680"/>
      <c r="G36" s="680"/>
      <c r="H36" s="82">
        <f t="shared" si="0"/>
        <v>31</v>
      </c>
      <c r="I36" s="1036">
        <v>0</v>
      </c>
      <c r="J36" s="1037">
        <v>0</v>
      </c>
      <c r="K36" s="947">
        <f t="shared" si="3"/>
        <v>0</v>
      </c>
      <c r="M36" s="75">
        <v>0</v>
      </c>
      <c r="O36" s="75">
        <v>0</v>
      </c>
    </row>
    <row r="37" spans="1:15">
      <c r="A37" s="76">
        <f t="shared" si="1"/>
        <v>29</v>
      </c>
      <c r="B37" s="76">
        <f>'Sched D-1'!B51</f>
        <v>391.03</v>
      </c>
      <c r="C37" s="731" t="str">
        <f>'Sched D-1'!C51</f>
        <v>Computer Hardware</v>
      </c>
      <c r="E37" s="680">
        <f t="shared" si="4"/>
        <v>81792.131099999984</v>
      </c>
      <c r="F37" s="680"/>
      <c r="G37" s="680"/>
      <c r="H37" s="82">
        <f t="shared" si="0"/>
        <v>32</v>
      </c>
      <c r="I37" s="1036">
        <v>4814.3728000000065</v>
      </c>
      <c r="J37" s="1037">
        <v>44556.624799999991</v>
      </c>
      <c r="K37" s="947">
        <f t="shared" si="3"/>
        <v>81792.131099999984</v>
      </c>
      <c r="M37" s="75">
        <v>81792.131099999984</v>
      </c>
      <c r="O37" s="75">
        <v>84111.444999999992</v>
      </c>
    </row>
    <row r="38" spans="1:15">
      <c r="A38" s="76">
        <f t="shared" si="1"/>
        <v>30</v>
      </c>
      <c r="B38" s="76">
        <f>'Sched D-1'!B52</f>
        <v>391.04</v>
      </c>
      <c r="C38" s="731" t="str">
        <f>'Sched D-1'!C52</f>
        <v>Software</v>
      </c>
      <c r="E38" s="680">
        <f t="shared" si="4"/>
        <v>553480.82000000007</v>
      </c>
      <c r="F38" s="680"/>
      <c r="G38" s="680"/>
      <c r="H38" s="82">
        <f t="shared" si="0"/>
        <v>33</v>
      </c>
      <c r="I38" s="1036">
        <v>0</v>
      </c>
      <c r="J38" s="1037">
        <v>544746.52</v>
      </c>
      <c r="K38" s="947">
        <f t="shared" si="3"/>
        <v>553480.82000000007</v>
      </c>
      <c r="M38" s="75">
        <v>553480.82000000007</v>
      </c>
      <c r="O38" s="75">
        <v>551896.78</v>
      </c>
    </row>
    <row r="39" spans="1:15">
      <c r="A39" s="76">
        <f t="shared" si="1"/>
        <v>31</v>
      </c>
      <c r="B39" s="76">
        <f>'Sched D-1'!B53</f>
        <v>391.05</v>
      </c>
      <c r="C39" s="731" t="str">
        <f>'Sched D-1'!C53</f>
        <v>System Development</v>
      </c>
      <c r="E39" s="680">
        <f t="shared" si="4"/>
        <v>0</v>
      </c>
      <c r="F39" s="680"/>
      <c r="G39" s="680"/>
      <c r="H39" s="82">
        <f t="shared" si="0"/>
        <v>34</v>
      </c>
      <c r="I39" s="1036">
        <v>0</v>
      </c>
      <c r="J39" s="1037">
        <v>0</v>
      </c>
      <c r="K39" s="947">
        <f t="shared" si="3"/>
        <v>0</v>
      </c>
      <c r="M39" s="75">
        <v>0</v>
      </c>
      <c r="O39" s="75">
        <v>0</v>
      </c>
    </row>
    <row r="40" spans="1:15">
      <c r="A40" s="76">
        <f t="shared" si="1"/>
        <v>32</v>
      </c>
      <c r="B40" s="76">
        <f>'Sched D-1'!B54</f>
        <v>391.07</v>
      </c>
      <c r="C40" s="731" t="str">
        <f>'Sched D-1'!C54</f>
        <v>Ipad Hardware</v>
      </c>
      <c r="E40" s="680">
        <f t="shared" si="4"/>
        <v>0</v>
      </c>
      <c r="F40" s="680"/>
      <c r="G40" s="680"/>
      <c r="H40" s="82">
        <f t="shared" si="0"/>
        <v>35</v>
      </c>
      <c r="I40" s="1036">
        <v>0</v>
      </c>
      <c r="J40" s="1037">
        <v>0</v>
      </c>
      <c r="K40" s="947">
        <f t="shared" si="3"/>
        <v>0</v>
      </c>
      <c r="M40" s="75">
        <v>0</v>
      </c>
      <c r="O40" s="75">
        <v>0</v>
      </c>
    </row>
    <row r="41" spans="1:15">
      <c r="A41" s="76">
        <f t="shared" si="1"/>
        <v>33</v>
      </c>
      <c r="B41" s="76">
        <f>'Sched D-1'!B55</f>
        <v>392.01</v>
      </c>
      <c r="C41" s="731" t="str">
        <f>'Sched D-1'!C55</f>
        <v>Transportation Equipment</v>
      </c>
      <c r="E41" s="680">
        <f t="shared" si="4"/>
        <v>0</v>
      </c>
      <c r="F41" s="680"/>
      <c r="G41" s="680"/>
      <c r="H41" s="82">
        <f t="shared" si="0"/>
        <v>36</v>
      </c>
      <c r="I41" s="1036">
        <v>0</v>
      </c>
      <c r="J41" s="1037">
        <v>0</v>
      </c>
      <c r="K41" s="947">
        <f t="shared" si="3"/>
        <v>0</v>
      </c>
      <c r="M41" s="75">
        <v>0</v>
      </c>
      <c r="O41" s="75">
        <v>0</v>
      </c>
    </row>
    <row r="42" spans="1:15">
      <c r="A42" s="76">
        <f t="shared" si="1"/>
        <v>34</v>
      </c>
      <c r="B42" s="76">
        <f>'Sched D-1'!B56</f>
        <v>392.02</v>
      </c>
      <c r="C42" s="731" t="str">
        <f>'Sched D-1'!C56</f>
        <v>Cars</v>
      </c>
      <c r="E42" s="680">
        <f t="shared" si="4"/>
        <v>0</v>
      </c>
      <c r="F42" s="680"/>
      <c r="G42" s="680"/>
      <c r="H42" s="82">
        <f t="shared" si="0"/>
        <v>37</v>
      </c>
      <c r="I42" s="1037">
        <v>0</v>
      </c>
      <c r="J42" s="1037">
        <v>0</v>
      </c>
      <c r="K42" s="947">
        <f t="shared" si="3"/>
        <v>0</v>
      </c>
      <c r="M42" s="75">
        <v>0</v>
      </c>
      <c r="O42" s="75">
        <v>0</v>
      </c>
    </row>
    <row r="43" spans="1:15">
      <c r="A43" s="76">
        <f t="shared" si="1"/>
        <v>35</v>
      </c>
      <c r="B43" s="76">
        <f>'Sched D-1'!B57</f>
        <v>392.03</v>
      </c>
      <c r="C43" s="731" t="str">
        <f>'Sched D-1'!C57</f>
        <v>Light Trucks</v>
      </c>
      <c r="E43" s="680">
        <f t="shared" si="4"/>
        <v>3908936.9988819989</v>
      </c>
      <c r="F43" s="680"/>
      <c r="G43" s="680"/>
      <c r="H43" s="82">
        <f t="shared" si="0"/>
        <v>38</v>
      </c>
      <c r="I43" s="1037">
        <v>1319056.848951</v>
      </c>
      <c r="J43" s="1037">
        <v>2916104.9332320001</v>
      </c>
      <c r="K43" s="947">
        <f t="shared" si="3"/>
        <v>3908936.9988819989</v>
      </c>
      <c r="M43" s="75">
        <v>3908936.9988819989</v>
      </c>
      <c r="O43" s="75">
        <v>3303002.2402909999</v>
      </c>
    </row>
    <row r="44" spans="1:15">
      <c r="A44" s="76">
        <f t="shared" si="1"/>
        <v>36</v>
      </c>
      <c r="B44" s="76">
        <f>'Sched D-1'!B58</f>
        <v>392.04</v>
      </c>
      <c r="C44" s="731" t="str">
        <f>'Sched D-1'!C58</f>
        <v>Medium Trucks</v>
      </c>
      <c r="E44" s="680">
        <f t="shared" si="4"/>
        <v>1284655.36867</v>
      </c>
      <c r="F44" s="680"/>
      <c r="G44" s="680"/>
      <c r="H44" s="82">
        <f t="shared" si="0"/>
        <v>39</v>
      </c>
      <c r="I44" s="1037">
        <v>588160.32303299988</v>
      </c>
      <c r="J44" s="1037">
        <v>795368.82676800003</v>
      </c>
      <c r="K44" s="947">
        <f t="shared" si="3"/>
        <v>1284655.36867</v>
      </c>
      <c r="M44" s="75">
        <v>1284655.36867</v>
      </c>
      <c r="O44" s="75">
        <v>1123695.5955650001</v>
      </c>
    </row>
    <row r="45" spans="1:15">
      <c r="A45" s="76">
        <f t="shared" si="1"/>
        <v>37</v>
      </c>
      <c r="B45" s="76">
        <f>'Sched D-1'!B59</f>
        <v>392.05</v>
      </c>
      <c r="C45" s="731" t="str">
        <f>'Sched D-1'!C59</f>
        <v>Heavy Trucks</v>
      </c>
      <c r="E45" s="680">
        <f t="shared" si="4"/>
        <v>260177.61244800003</v>
      </c>
      <c r="F45" s="680"/>
      <c r="G45" s="680"/>
      <c r="H45" s="82">
        <f t="shared" si="0"/>
        <v>40</v>
      </c>
      <c r="I45" s="1037">
        <v>271961.49801599991</v>
      </c>
      <c r="J45" s="1037">
        <v>0</v>
      </c>
      <c r="K45" s="947">
        <f t="shared" si="3"/>
        <v>260177.61244800003</v>
      </c>
      <c r="M45" s="75">
        <v>260177.61244800003</v>
      </c>
      <c r="O45" s="75">
        <v>265308.95414400002</v>
      </c>
    </row>
    <row r="46" spans="1:15">
      <c r="A46" s="76">
        <f t="shared" si="1"/>
        <v>38</v>
      </c>
      <c r="B46" s="76">
        <f>'Sched D-1'!B60</f>
        <v>392.06</v>
      </c>
      <c r="C46" s="731" t="str">
        <f>'Sched D-1'!C60</f>
        <v>Trailers</v>
      </c>
      <c r="E46" s="680">
        <f t="shared" si="4"/>
        <v>251229.62100799999</v>
      </c>
      <c r="F46" s="680"/>
      <c r="G46" s="680"/>
      <c r="H46" s="82">
        <f t="shared" si="0"/>
        <v>41</v>
      </c>
      <c r="I46" s="1037">
        <v>117855.93601599999</v>
      </c>
      <c r="J46" s="1037">
        <v>146945.27993600001</v>
      </c>
      <c r="K46" s="947">
        <f t="shared" si="3"/>
        <v>251229.62100799999</v>
      </c>
      <c r="M46" s="75">
        <v>251229.62100799999</v>
      </c>
      <c r="O46" s="75">
        <v>305476.92566399998</v>
      </c>
    </row>
    <row r="47" spans="1:15">
      <c r="A47" s="76">
        <f t="shared" si="1"/>
        <v>39</v>
      </c>
      <c r="B47" s="76">
        <f>'Sched D-1'!B61</f>
        <v>393</v>
      </c>
      <c r="C47" s="731" t="str">
        <f>'Sched D-1'!C61</f>
        <v>Stores Equipment</v>
      </c>
      <c r="E47" s="680">
        <f t="shared" si="4"/>
        <v>0</v>
      </c>
      <c r="F47" s="680"/>
      <c r="G47" s="680"/>
      <c r="H47" s="82">
        <f t="shared" si="0"/>
        <v>42</v>
      </c>
      <c r="I47" s="1036">
        <v>0</v>
      </c>
      <c r="J47" s="1037">
        <v>0</v>
      </c>
      <c r="K47" s="947">
        <f t="shared" si="3"/>
        <v>0</v>
      </c>
      <c r="M47" s="75">
        <v>0</v>
      </c>
      <c r="O47" s="75">
        <v>0</v>
      </c>
    </row>
    <row r="48" spans="1:15">
      <c r="A48" s="76">
        <f t="shared" si="1"/>
        <v>40</v>
      </c>
      <c r="B48" s="76">
        <f>'Sched D-1'!B62</f>
        <v>394</v>
      </c>
      <c r="C48" s="731" t="str">
        <f>'Sched D-1'!C62</f>
        <v>Tools, Shop, and Garage Equipment</v>
      </c>
      <c r="E48" s="680">
        <f t="shared" si="4"/>
        <v>5150641.3389919996</v>
      </c>
      <c r="F48" s="680"/>
      <c r="G48" s="680"/>
      <c r="H48" s="82">
        <f t="shared" si="0"/>
        <v>43</v>
      </c>
      <c r="I48" s="1036">
        <v>2381676.9739840007</v>
      </c>
      <c r="J48" s="1037">
        <v>4080285.190064</v>
      </c>
      <c r="K48" s="947">
        <f t="shared" si="3"/>
        <v>5150641.3389919996</v>
      </c>
      <c r="M48" s="75">
        <v>5150641.3389919996</v>
      </c>
      <c r="O48" s="75">
        <v>4909575.1943359999</v>
      </c>
    </row>
    <row r="49" spans="1:15">
      <c r="A49" s="76">
        <f t="shared" si="1"/>
        <v>41</v>
      </c>
      <c r="B49" s="76">
        <f>'Sched D-1'!B63</f>
        <v>395</v>
      </c>
      <c r="C49" s="731" t="str">
        <f>'Sched D-1'!C63</f>
        <v>Laboratory Equipment</v>
      </c>
      <c r="E49" s="680">
        <f t="shared" si="4"/>
        <v>0</v>
      </c>
      <c r="F49" s="680"/>
      <c r="G49" s="680"/>
      <c r="H49" s="82">
        <f t="shared" si="0"/>
        <v>44</v>
      </c>
      <c r="I49" s="1036">
        <v>0</v>
      </c>
      <c r="J49" s="1037">
        <v>0</v>
      </c>
      <c r="K49" s="947">
        <f t="shared" si="3"/>
        <v>0</v>
      </c>
      <c r="M49" s="75">
        <v>0</v>
      </c>
      <c r="O49" s="75">
        <v>0</v>
      </c>
    </row>
    <row r="50" spans="1:15">
      <c r="A50" s="76">
        <f t="shared" si="1"/>
        <v>42</v>
      </c>
      <c r="B50" s="76">
        <f>'Sched D-1'!B64</f>
        <v>396</v>
      </c>
      <c r="C50" s="731" t="str">
        <f>'Sched D-1'!C64</f>
        <v xml:space="preserve">Power Operated Equipment </v>
      </c>
      <c r="E50" s="680">
        <f t="shared" si="4"/>
        <v>0</v>
      </c>
      <c r="F50" s="680"/>
      <c r="G50" s="680"/>
      <c r="H50" s="82">
        <f t="shared" si="0"/>
        <v>45</v>
      </c>
      <c r="I50" s="1036">
        <v>0</v>
      </c>
      <c r="J50" s="1037">
        <v>0</v>
      </c>
      <c r="K50" s="947">
        <f t="shared" si="3"/>
        <v>0</v>
      </c>
      <c r="M50" s="75">
        <v>0</v>
      </c>
      <c r="O50" s="75">
        <v>0</v>
      </c>
    </row>
    <row r="51" spans="1:15">
      <c r="A51" s="76">
        <f t="shared" si="1"/>
        <v>43</v>
      </c>
      <c r="B51" s="76">
        <f>'Sched D-1'!B65</f>
        <v>397</v>
      </c>
      <c r="C51" s="731" t="str">
        <f>'Sched D-1'!C65</f>
        <v>Communication Equipment</v>
      </c>
      <c r="E51" s="680">
        <f t="shared" si="4"/>
        <v>0</v>
      </c>
      <c r="F51" s="680"/>
      <c r="G51" s="680"/>
      <c r="H51" s="82">
        <f t="shared" si="0"/>
        <v>46</v>
      </c>
      <c r="I51" s="1036">
        <v>0</v>
      </c>
      <c r="J51" s="1037">
        <v>0</v>
      </c>
      <c r="K51" s="947">
        <f t="shared" si="3"/>
        <v>0</v>
      </c>
      <c r="M51" s="75">
        <v>0</v>
      </c>
      <c r="O51" s="75">
        <v>0</v>
      </c>
    </row>
    <row r="52" spans="1:15">
      <c r="A52" s="76">
        <f t="shared" si="1"/>
        <v>44</v>
      </c>
      <c r="B52" s="76">
        <f>'Sched D-1'!B66</f>
        <v>398</v>
      </c>
      <c r="C52" s="731" t="str">
        <f>'Sched D-1'!C66</f>
        <v>Miscellaneous Equipment</v>
      </c>
      <c r="E52" s="680">
        <f t="shared" si="4"/>
        <v>0</v>
      </c>
      <c r="F52" s="680"/>
      <c r="G52" s="680"/>
      <c r="H52" s="82">
        <f t="shared" si="0"/>
        <v>47</v>
      </c>
      <c r="I52" s="1036">
        <v>0</v>
      </c>
      <c r="J52" s="1037">
        <v>0</v>
      </c>
      <c r="K52" s="947">
        <f t="shared" si="3"/>
        <v>0</v>
      </c>
      <c r="M52" s="75">
        <v>0</v>
      </c>
      <c r="O52" s="75">
        <v>0</v>
      </c>
    </row>
    <row r="53" spans="1:15">
      <c r="A53" s="76">
        <f t="shared" si="1"/>
        <v>45</v>
      </c>
      <c r="B53" s="76">
        <f>'Sched D-1'!B67</f>
        <v>399</v>
      </c>
      <c r="C53" s="731" t="str">
        <f>'Sched D-1'!C67</f>
        <v>Other Tangible Property</v>
      </c>
      <c r="E53" s="680">
        <f t="shared" si="4"/>
        <v>0</v>
      </c>
      <c r="F53" s="680"/>
      <c r="G53" s="680"/>
      <c r="H53" s="82">
        <f t="shared" si="0"/>
        <v>48</v>
      </c>
      <c r="I53" s="1035">
        <v>0</v>
      </c>
      <c r="J53" s="1251">
        <v>0</v>
      </c>
      <c r="K53" s="947">
        <f t="shared" si="3"/>
        <v>0</v>
      </c>
      <c r="M53" s="75">
        <v>0</v>
      </c>
      <c r="O53" s="75">
        <v>0</v>
      </c>
    </row>
    <row r="54" spans="1:15">
      <c r="A54" s="76">
        <f t="shared" si="1"/>
        <v>46</v>
      </c>
      <c r="B54" s="76"/>
      <c r="C54" s="83" t="s">
        <v>79</v>
      </c>
      <c r="E54" s="682">
        <f>ROUND(SUM(E31:E53),0)</f>
        <v>19588335</v>
      </c>
      <c r="F54" s="574"/>
      <c r="G54" s="574"/>
      <c r="H54" s="82">
        <f t="shared" si="0"/>
        <v>49</v>
      </c>
      <c r="I54" s="937">
        <f>SUM(I31:I53)</f>
        <v>5160148.8600000013</v>
      </c>
      <c r="J54" s="937">
        <f>SUM(J31:J53)</f>
        <v>12939113.23</v>
      </c>
      <c r="K54" s="947">
        <f t="shared" si="3"/>
        <v>19588334.869999997</v>
      </c>
      <c r="M54" s="75">
        <v>19588334.869999997</v>
      </c>
      <c r="O54" s="75">
        <v>18870100.189999998</v>
      </c>
    </row>
    <row r="55" spans="1:15">
      <c r="A55" s="76">
        <f t="shared" si="1"/>
        <v>47</v>
      </c>
      <c r="B55" s="76"/>
      <c r="E55" s="683"/>
      <c r="F55" s="574"/>
      <c r="G55" s="574"/>
      <c r="H55" s="82">
        <f t="shared" si="0"/>
        <v>50</v>
      </c>
      <c r="I55" s="82"/>
      <c r="J55" s="82"/>
      <c r="K55" s="947">
        <f t="shared" si="3"/>
        <v>0</v>
      </c>
    </row>
    <row r="56" spans="1:15">
      <c r="A56" s="76">
        <f t="shared" si="1"/>
        <v>48</v>
      </c>
      <c r="B56" s="469">
        <f>'Sched D-1'!B70</f>
        <v>118</v>
      </c>
      <c r="C56" s="811" t="str">
        <f>'Sched D-1'!C70</f>
        <v>Other Utility Plant (Corporate Shared Assets - Note 1a)</v>
      </c>
      <c r="E56" s="574">
        <f>HLOOKUP(Attach,$I$6:$K$63,H56,FALSE)</f>
        <v>991651.94453550014</v>
      </c>
      <c r="F56" s="574"/>
      <c r="G56" s="574"/>
      <c r="H56" s="82">
        <f t="shared" si="0"/>
        <v>51</v>
      </c>
      <c r="I56" s="1036">
        <v>433779.39513600001</v>
      </c>
      <c r="J56" s="1037">
        <v>176488.67547199997</v>
      </c>
      <c r="K56" s="947">
        <f t="shared" si="3"/>
        <v>991651.94453550014</v>
      </c>
      <c r="L56" s="1177">
        <f>-J56/K56</f>
        <v>-0.17797441576607714</v>
      </c>
      <c r="M56" s="1745">
        <v>991651.94453550014</v>
      </c>
      <c r="N56" s="927"/>
      <c r="O56" s="1745">
        <v>3056902.4758232832</v>
      </c>
    </row>
    <row r="57" spans="1:15">
      <c r="A57" s="76">
        <f t="shared" si="1"/>
        <v>49</v>
      </c>
      <c r="B57" s="469">
        <f>'Sched D-1'!B71</f>
        <v>118</v>
      </c>
      <c r="C57" s="811" t="str">
        <f>'Sched D-1'!C71</f>
        <v>Other Utility Plant (Corporate Shared Assets - Note 1b)</v>
      </c>
      <c r="E57" s="680">
        <f t="shared" ref="E57:E59" si="5">HLOOKUP(Attach,$I$6:$K$63,H57,FALSE)</f>
        <v>84513.279546000005</v>
      </c>
      <c r="F57" s="574"/>
      <c r="G57" s="574"/>
      <c r="H57" s="82">
        <f t="shared" si="0"/>
        <v>52</v>
      </c>
      <c r="I57" s="1036">
        <v>0</v>
      </c>
      <c r="J57" s="1037">
        <v>0</v>
      </c>
      <c r="K57" s="947">
        <f t="shared" si="3"/>
        <v>84513.279546000005</v>
      </c>
      <c r="L57" s="1177"/>
      <c r="M57" s="1745">
        <v>84513.279546000005</v>
      </c>
      <c r="N57" s="927"/>
      <c r="O57" s="1745">
        <v>39450.138789279386</v>
      </c>
    </row>
    <row r="58" spans="1:15">
      <c r="A58" s="76">
        <f t="shared" si="1"/>
        <v>50</v>
      </c>
      <c r="B58" s="469">
        <f>'Sched D-1'!B72</f>
        <v>118</v>
      </c>
      <c r="C58" s="811" t="str">
        <f>'Sched D-1'!C72</f>
        <v>Other Utility Plant (Corporate Shared Assets - Note 2a)</v>
      </c>
      <c r="E58" s="680">
        <f t="shared" si="5"/>
        <v>2602885.1941192918</v>
      </c>
      <c r="F58" s="574"/>
      <c r="G58" s="574"/>
      <c r="H58" s="82">
        <f t="shared" si="0"/>
        <v>53</v>
      </c>
      <c r="I58" s="1036">
        <v>1411186.0591680002</v>
      </c>
      <c r="J58" s="1037">
        <v>1033569.689064</v>
      </c>
      <c r="K58" s="947">
        <f t="shared" si="3"/>
        <v>2602885.1941192918</v>
      </c>
      <c r="L58" s="1177">
        <f t="shared" ref="L58:L60" si="6">-J58/K58</f>
        <v>-0.39708616092601695</v>
      </c>
      <c r="M58" s="1745">
        <v>2602885.1941192918</v>
      </c>
      <c r="N58" s="927"/>
      <c r="O58" s="1745">
        <v>3168331.585876517</v>
      </c>
    </row>
    <row r="59" spans="1:15">
      <c r="A59" s="76">
        <f t="shared" si="1"/>
        <v>51</v>
      </c>
      <c r="B59" s="469">
        <f>'Sched D-1'!B73</f>
        <v>118</v>
      </c>
      <c r="C59" s="811" t="str">
        <f>'Sched D-1'!C73</f>
        <v>Other Utility Plant (Corporate Shared Assets - Note 2b)</v>
      </c>
      <c r="E59" s="680">
        <f t="shared" si="5"/>
        <v>305084.60563168395</v>
      </c>
      <c r="F59" s="574"/>
      <c r="G59" s="574"/>
      <c r="H59" s="82">
        <f t="shared" si="0"/>
        <v>54</v>
      </c>
      <c r="I59" s="1036">
        <v>202860</v>
      </c>
      <c r="J59" s="1037">
        <v>149730</v>
      </c>
      <c r="K59" s="947">
        <f t="shared" si="3"/>
        <v>305084.60563168395</v>
      </c>
      <c r="L59" s="1177">
        <f t="shared" si="6"/>
        <v>-0.49078189209180501</v>
      </c>
      <c r="M59" s="1745">
        <v>305084.60563168395</v>
      </c>
      <c r="N59" s="927"/>
      <c r="O59" s="1745">
        <v>65777.341958540725</v>
      </c>
    </row>
    <row r="60" spans="1:15">
      <c r="A60" s="76">
        <f t="shared" si="1"/>
        <v>52</v>
      </c>
      <c r="B60" s="469">
        <f>'Sched D-1'!B74</f>
        <v>118</v>
      </c>
      <c r="C60" s="811" t="str">
        <f>'Sched D-1'!C74</f>
        <v>Other Utility Plant (Corporate Shared Assets - Note 2c)</v>
      </c>
      <c r="E60" s="680">
        <f>HLOOKUP(Attach,$I$6:$K$63,H60,FALSE)</f>
        <v>1053073.9432249651</v>
      </c>
      <c r="F60" s="574"/>
      <c r="G60" s="574"/>
      <c r="H60" s="82">
        <f t="shared" si="0"/>
        <v>55</v>
      </c>
      <c r="I60" s="1035">
        <v>288732.76273199997</v>
      </c>
      <c r="J60" s="1035">
        <v>210510.340956</v>
      </c>
      <c r="K60" s="947">
        <f t="shared" si="3"/>
        <v>1053073.9432249651</v>
      </c>
      <c r="L60" s="1177">
        <f t="shared" si="6"/>
        <v>-0.19990081637698379</v>
      </c>
      <c r="M60" s="1745">
        <v>1053073.9432249651</v>
      </c>
      <c r="N60" s="927"/>
      <c r="O60" s="1745">
        <v>294341.89596140105</v>
      </c>
    </row>
    <row r="61" spans="1:15">
      <c r="A61" s="76">
        <f t="shared" si="1"/>
        <v>53</v>
      </c>
      <c r="B61" s="469"/>
      <c r="C61" s="83" t="str">
        <f>'Sched D-1'!C75</f>
        <v>Total Other Utility Plant</v>
      </c>
      <c r="E61" s="682">
        <f>HLOOKUP(Attach,$I$6:$K$63,H61,FALSE)</f>
        <v>5037208.9670574404</v>
      </c>
      <c r="F61" s="574"/>
      <c r="G61" s="574"/>
      <c r="H61" s="82">
        <f t="shared" si="0"/>
        <v>56</v>
      </c>
      <c r="I61" s="937">
        <f>SUM(I56:I60)</f>
        <v>2336558.2170360005</v>
      </c>
      <c r="J61" s="937">
        <f>SUM(J56:J60)</f>
        <v>1570298.7054919999</v>
      </c>
      <c r="K61" s="947">
        <f t="shared" si="3"/>
        <v>5037208.9670574404</v>
      </c>
      <c r="M61" s="937">
        <f>SUM(M56:M60)</f>
        <v>5037208.9670574404</v>
      </c>
      <c r="O61" s="937">
        <f>SUM(O56:O60)</f>
        <v>6624803.4384090211</v>
      </c>
    </row>
    <row r="62" spans="1:15">
      <c r="A62" s="76">
        <f t="shared" si="1"/>
        <v>54</v>
      </c>
      <c r="E62" s="574"/>
      <c r="F62" s="574"/>
      <c r="G62" s="574"/>
      <c r="H62" s="82">
        <f t="shared" si="0"/>
        <v>57</v>
      </c>
      <c r="I62" s="1182"/>
      <c r="J62" s="1182"/>
      <c r="K62" s="124"/>
    </row>
    <row r="63" spans="1:15" ht="13.5" thickBot="1">
      <c r="A63" s="76">
        <f t="shared" si="1"/>
        <v>55</v>
      </c>
      <c r="C63" s="75" t="s">
        <v>82</v>
      </c>
      <c r="E63" s="684">
        <f>+E28+E54+E61</f>
        <v>109999999.96705744</v>
      </c>
      <c r="F63" s="574"/>
      <c r="G63" s="574"/>
      <c r="H63" s="82">
        <f t="shared" si="0"/>
        <v>58</v>
      </c>
      <c r="I63" s="945">
        <f>+I28+I54+I61</f>
        <v>40043060.522036009</v>
      </c>
      <c r="J63" s="945">
        <f>+J28+J54+J61</f>
        <v>61988577.375491999</v>
      </c>
      <c r="K63" s="947">
        <f t="shared" si="3"/>
        <v>109999999.99999997</v>
      </c>
      <c r="M63" s="684">
        <f>+M28+M54+M61</f>
        <v>109999999.99999997</v>
      </c>
      <c r="O63" s="684">
        <f>+O28+O54+O61</f>
        <v>90217708.588408992</v>
      </c>
    </row>
    <row r="64" spans="1:15" ht="13.5" thickTop="1">
      <c r="A64" s="76">
        <f t="shared" si="1"/>
        <v>56</v>
      </c>
      <c r="E64" s="82"/>
      <c r="F64" s="82"/>
      <c r="G64" s="82"/>
    </row>
    <row r="65" spans="1:13">
      <c r="A65" s="76">
        <f t="shared" si="1"/>
        <v>57</v>
      </c>
      <c r="B65" s="75" t="str">
        <f>'Sched D-1'!B79</f>
        <v xml:space="preserve">(Note 1a) Figure represents Other Utility Plant, Corporate Shared Assets allocated on customer count of all regulated utilities per CAM.  </v>
      </c>
      <c r="E65" s="998"/>
      <c r="K65" s="998"/>
      <c r="M65" s="998">
        <f>M63-M61</f>
        <v>104962791.03294253</v>
      </c>
    </row>
    <row r="66" spans="1:13">
      <c r="A66" s="76">
        <f t="shared" si="1"/>
        <v>58</v>
      </c>
      <c r="B66" s="75" t="str">
        <f>'Sched D-1'!B80</f>
        <v xml:space="preserve">(Note 1b) Figure represents Other Utility Plant, Corporate Shared Assets allocated on customer count of all regulated gas utilities per CAM.  </v>
      </c>
      <c r="E66" s="998"/>
      <c r="J66" s="998">
        <f>J63+I63</f>
        <v>102031637.89752801</v>
      </c>
    </row>
    <row r="67" spans="1:13">
      <c r="A67" s="76">
        <f t="shared" si="1"/>
        <v>59</v>
      </c>
      <c r="B67" s="75" t="str">
        <f>'Sched D-1'!B81</f>
        <v xml:space="preserve">(Note 2a) Figure represents Other Utility Plant, Corporate Shared Assets allocated on the blended ratio to all entities per CAM.  </v>
      </c>
      <c r="E67" s="998"/>
      <c r="J67" s="1334">
        <f>-J61-I61</f>
        <v>-3906856.9225280005</v>
      </c>
      <c r="M67" s="998">
        <f>110000000-M63</f>
        <v>0</v>
      </c>
    </row>
    <row r="68" spans="1:13">
      <c r="A68" s="76">
        <f t="shared" si="1"/>
        <v>60</v>
      </c>
      <c r="B68" s="75" t="str">
        <f>'Sched D-1'!B82</f>
        <v xml:space="preserve">(Note 2b) Figure represents Other Utility Plant, Corporate Shared Assets allocated on the blended ratio to all regulated utilities per CAM.  </v>
      </c>
      <c r="E68" s="998"/>
      <c r="J68" s="998">
        <f>J66+J67</f>
        <v>98124780.975000009</v>
      </c>
      <c r="M68" s="75">
        <v>-4657479.20305744</v>
      </c>
    </row>
    <row r="69" spans="1:13">
      <c r="A69" s="76">
        <f t="shared" si="1"/>
        <v>61</v>
      </c>
      <c r="B69" s="75" t="str">
        <f>'Sched D-1'!B83</f>
        <v xml:space="preserve">(Note 2c) Figure represents Other Utility Plant, Corporate Shared Assets allocated on the blended ratio to all regulated gas utilities per CAM.  </v>
      </c>
      <c r="E69" s="998"/>
    </row>
    <row r="70" spans="1:13">
      <c r="A70" s="76"/>
      <c r="E70" s="998"/>
    </row>
    <row r="71" spans="1:13">
      <c r="A71" s="76"/>
      <c r="E71" s="77"/>
    </row>
    <row r="72" spans="1:13">
      <c r="E72" s="1205">
        <f>E63-(98124780.98+3906856.923)</f>
        <v>7968362.0640574396</v>
      </c>
      <c r="G72" s="75" t="s">
        <v>1135</v>
      </c>
      <c r="I72" s="1205">
        <f>I63-37706502-2336558</f>
        <v>0.52203600853681564</v>
      </c>
      <c r="J72" s="1205">
        <f>J63-60418279-1570298.705492</f>
        <v>-0.33000000100582838</v>
      </c>
      <c r="K72" s="1205">
        <f>K63-98124781-3906857</f>
        <v>7968361.9999999702</v>
      </c>
    </row>
    <row r="73" spans="1:13">
      <c r="E73" s="1175"/>
      <c r="I73" s="1205">
        <f>I61-2336558</f>
        <v>0.2170360004529357</v>
      </c>
      <c r="J73" s="1205">
        <f>J61-1570298.705492</f>
        <v>0</v>
      </c>
      <c r="K73" s="1205">
        <f>K61-3906856.922528</f>
        <v>1130352.0445294403</v>
      </c>
      <c r="L73" s="75" t="s">
        <v>1150</v>
      </c>
    </row>
    <row r="75" spans="1:13">
      <c r="C75" s="75" t="s">
        <v>1645</v>
      </c>
      <c r="E75" s="75" t="str">
        <f>'MCC Testimony Table'!F29</f>
        <v>Y</v>
      </c>
    </row>
    <row r="76" spans="1:13">
      <c r="C76" s="75" t="s">
        <v>1664</v>
      </c>
      <c r="E76" s="75" t="str">
        <f>'MCC Testimony Table'!F33</f>
        <v>N</v>
      </c>
    </row>
  </sheetData>
  <printOptions horizontalCentered="1"/>
  <pageMargins left="0.25" right="0.25" top="0.75" bottom="0.45" header="1" footer="0.25"/>
  <pageSetup scale="80" fitToHeight="2" orientation="portrait" verticalDpi="300" r:id="rId1"/>
  <headerFooter alignWithMargins="0">
    <oddHeader xml:space="preserve">&amp;L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64</vt:i4>
      </vt:variant>
    </vt:vector>
  </HeadingPairs>
  <TitlesOfParts>
    <vt:vector size="114" baseType="lpstr">
      <vt:lpstr>Table of Contents</vt:lpstr>
      <vt:lpstr>References</vt:lpstr>
      <vt:lpstr>Stmt A pg 1</vt:lpstr>
      <vt:lpstr>Stmt A pg 2</vt:lpstr>
      <vt:lpstr>Stmt B</vt:lpstr>
      <vt:lpstr>Stmt C</vt:lpstr>
      <vt:lpstr>Stmt D</vt:lpstr>
      <vt:lpstr>Sched D-1</vt:lpstr>
      <vt:lpstr>Sched D-2</vt:lpstr>
      <vt:lpstr>Sched D-3</vt:lpstr>
      <vt:lpstr>Stmt E</vt:lpstr>
      <vt:lpstr>Sched E-1</vt:lpstr>
      <vt:lpstr>Stmt F</vt:lpstr>
      <vt:lpstr>Sched F-1</vt:lpstr>
      <vt:lpstr>Sched F-2 Pg 1</vt:lpstr>
      <vt:lpstr>Sched F-2 Pg 2</vt:lpstr>
      <vt:lpstr>Stmt G </vt:lpstr>
      <vt:lpstr>Sched G-1</vt:lpstr>
      <vt:lpstr>Stmt H</vt:lpstr>
      <vt:lpstr>Sched H-1</vt:lpstr>
      <vt:lpstr>Sched H-2</vt:lpstr>
      <vt:lpstr>Sched H-3</vt:lpstr>
      <vt:lpstr>Sched H-4</vt:lpstr>
      <vt:lpstr>Sched H-5</vt:lpstr>
      <vt:lpstr>Sched H-6</vt:lpstr>
      <vt:lpstr>Sched H-7</vt:lpstr>
      <vt:lpstr>Sched H-8</vt:lpstr>
      <vt:lpstr>Sched H-9</vt:lpstr>
      <vt:lpstr>Sched H-10</vt:lpstr>
      <vt:lpstr>Sched H-11</vt:lpstr>
      <vt:lpstr>Sched H-12</vt:lpstr>
      <vt:lpstr>Stmt I </vt:lpstr>
      <vt:lpstr>Sched I-1</vt:lpstr>
      <vt:lpstr>Sched I-2</vt:lpstr>
      <vt:lpstr>Sched I-2 Pg 2</vt:lpstr>
      <vt:lpstr>Sched I-3</vt:lpstr>
      <vt:lpstr>Stmt J</vt:lpstr>
      <vt:lpstr>Sched J-1</vt:lpstr>
      <vt:lpstr>Stmt K</vt:lpstr>
      <vt:lpstr>Stmt L</vt:lpstr>
      <vt:lpstr>Sched L-1</vt:lpstr>
      <vt:lpstr>Stmt M</vt:lpstr>
      <vt:lpstr>Sched M-1</vt:lpstr>
      <vt:lpstr>Sched M-2</vt:lpstr>
      <vt:lpstr>Sched M-3</vt:lpstr>
      <vt:lpstr>Stmt N</vt:lpstr>
      <vt:lpstr>MCC Testimony Table</vt:lpstr>
      <vt:lpstr>Do Not Use-&gt;</vt:lpstr>
      <vt:lpstr>Sched Validation</vt:lpstr>
      <vt:lpstr>Stmt N-X</vt:lpstr>
      <vt:lpstr>Attach</vt:lpstr>
      <vt:lpstr>Company</vt:lpstr>
      <vt:lpstr>COMPRATE</vt:lpstr>
      <vt:lpstr>FITRATE</vt:lpstr>
      <vt:lpstr>Jurisdictional</vt:lpstr>
      <vt:lpstr>NCOPY</vt:lpstr>
      <vt:lpstr>'MCC Testimony Table'!Print_Area</vt:lpstr>
      <vt:lpstr>References!Print_Area</vt:lpstr>
      <vt:lpstr>'Sched D-1'!Print_Area</vt:lpstr>
      <vt:lpstr>'Sched D-2'!Print_Area</vt:lpstr>
      <vt:lpstr>'Sched D-3'!Print_Area</vt:lpstr>
      <vt:lpstr>'Sched E-1'!Print_Area</vt:lpstr>
      <vt:lpstr>'Sched F-1'!Print_Area</vt:lpstr>
      <vt:lpstr>'Sched F-2 Pg 1'!Print_Area</vt:lpstr>
      <vt:lpstr>'Sched F-2 Pg 2'!Print_Area</vt:lpstr>
      <vt:lpstr>'Sched G-1'!Print_Area</vt:lpstr>
      <vt:lpstr>'Sched H-1'!Print_Area</vt:lpstr>
      <vt:lpstr>'Sched H-10'!Print_Area</vt:lpstr>
      <vt:lpstr>'Sched H-11'!Print_Area</vt:lpstr>
      <vt:lpstr>'Sched H-12'!Print_Area</vt:lpstr>
      <vt:lpstr>'Sched H-2'!Print_Area</vt:lpstr>
      <vt:lpstr>'Sched H-3'!Print_Area</vt:lpstr>
      <vt:lpstr>'Sched H-4'!Print_Area</vt:lpstr>
      <vt:lpstr>'Sched H-5'!Print_Area</vt:lpstr>
      <vt:lpstr>'Sched H-6'!Print_Area</vt:lpstr>
      <vt:lpstr>'Sched H-7'!Print_Area</vt:lpstr>
      <vt:lpstr>'Sched H-8'!Print_Area</vt:lpstr>
      <vt:lpstr>'Sched H-9'!Print_Area</vt:lpstr>
      <vt:lpstr>'Sched I-1'!Print_Area</vt:lpstr>
      <vt:lpstr>'Sched I-2'!Print_Area</vt:lpstr>
      <vt:lpstr>'Sched I-2 Pg 2'!Print_Area</vt:lpstr>
      <vt:lpstr>'Sched I-3'!Print_Area</vt:lpstr>
      <vt:lpstr>'Sched J-1'!Print_Area</vt:lpstr>
      <vt:lpstr>'Sched L-1'!Print_Area</vt:lpstr>
      <vt:lpstr>'Sched M-1'!Print_Area</vt:lpstr>
      <vt:lpstr>'Sched M-2'!Print_Area</vt:lpstr>
      <vt:lpstr>'Sched M-3'!Print_Area</vt:lpstr>
      <vt:lpstr>'Sched Validation'!Print_Area</vt:lpstr>
      <vt:lpstr>'Stmt A pg 1'!Print_Area</vt:lpstr>
      <vt:lpstr>'Stmt A pg 2'!Print_Area</vt:lpstr>
      <vt:lpstr>'Stmt B'!Print_Area</vt:lpstr>
      <vt:lpstr>'Stmt C'!Print_Area</vt:lpstr>
      <vt:lpstr>'Stmt D'!Print_Area</vt:lpstr>
      <vt:lpstr>'Stmt E'!Print_Area</vt:lpstr>
      <vt:lpstr>'Stmt F'!Print_Area</vt:lpstr>
      <vt:lpstr>'Stmt G '!Print_Area</vt:lpstr>
      <vt:lpstr>'Stmt H'!Print_Area</vt:lpstr>
      <vt:lpstr>'Stmt I '!Print_Area</vt:lpstr>
      <vt:lpstr>'Stmt J'!Print_Area</vt:lpstr>
      <vt:lpstr>'Stmt K'!Print_Area</vt:lpstr>
      <vt:lpstr>'Stmt L'!Print_Area</vt:lpstr>
      <vt:lpstr>'Stmt M'!Print_Area</vt:lpstr>
      <vt:lpstr>'Stmt N'!Print_Area</vt:lpstr>
      <vt:lpstr>'Sched D-1'!Print_Titles</vt:lpstr>
      <vt:lpstr>'Sched D-2'!Print_Titles</vt:lpstr>
      <vt:lpstr>'Sched H-4'!Print_Titles</vt:lpstr>
      <vt:lpstr>'Sched H-6'!Print_Titles</vt:lpstr>
      <vt:lpstr>'Sched J-1'!Print_Titles</vt:lpstr>
      <vt:lpstr>'Sched M-1'!Print_Titles</vt:lpstr>
      <vt:lpstr>'Sched M-2'!Print_Titles</vt:lpstr>
      <vt:lpstr>'Stmt H'!Print_Titles</vt:lpstr>
      <vt:lpstr>'Stmt N'!Print_Titles</vt:lpstr>
      <vt:lpstr>STRATE</vt:lpstr>
      <vt:lpstr>TYEnded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2019-05-26T19:53:32Z</dcterms:created>
  <dcterms:modified xsi:type="dcterms:W3CDTF">2021-01-12T23:31:05Z</dcterms:modified>
  <cp:contentStatus/>
</cp:coreProperties>
</file>