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yroll\Documents\Dreu\BBP\Cozad Telephone Company BBP Application\"/>
    </mc:Choice>
  </mc:AlternateContent>
  <bookViews>
    <workbookView xWindow="0" yWindow="0" windowWidth="28800" windowHeight="12435"/>
  </bookViews>
  <sheets>
    <sheet name="Attachment G-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19" i="1" l="1"/>
  <c r="C64" i="1"/>
  <c r="E41" i="1"/>
  <c r="M44" i="1" s="1"/>
  <c r="M22" i="1" s="1"/>
  <c r="G39" i="1"/>
  <c r="G38" i="1"/>
  <c r="G37" i="1"/>
  <c r="G41" i="1" s="1"/>
  <c r="P23" i="1"/>
  <c r="K21" i="1"/>
  <c r="P19" i="1"/>
  <c r="P12" i="1"/>
  <c r="I11" i="1"/>
  <c r="P11" i="1" s="1"/>
  <c r="P10" i="1"/>
  <c r="I10" i="1"/>
  <c r="I9" i="1"/>
  <c r="P9" i="1" s="1"/>
  <c r="J44" i="1" l="1"/>
  <c r="J22" i="1" s="1"/>
  <c r="C53" i="1"/>
  <c r="L24" i="1" s="1"/>
  <c r="K44" i="1"/>
  <c r="K22" i="1" s="1"/>
  <c r="K27" i="1" s="1"/>
  <c r="C57" i="1"/>
  <c r="N44" i="1"/>
  <c r="N22" i="1" s="1"/>
  <c r="C61" i="1"/>
  <c r="C65" i="1"/>
  <c r="K41" i="1"/>
  <c r="K8" i="1" s="1"/>
  <c r="K14" i="1" s="1"/>
  <c r="N41" i="1"/>
  <c r="N8" i="1" s="1"/>
  <c r="N14" i="1" s="1"/>
  <c r="J41" i="1"/>
  <c r="J8" i="1" s="1"/>
  <c r="J14" i="1" s="1"/>
  <c r="M41" i="1"/>
  <c r="M8" i="1" s="1"/>
  <c r="M14" i="1" s="1"/>
  <c r="L41" i="1"/>
  <c r="L8" i="1" s="1"/>
  <c r="L14" i="1" s="1"/>
  <c r="C54" i="1"/>
  <c r="M24" i="1" s="1"/>
  <c r="C58" i="1"/>
  <c r="C62" i="1"/>
  <c r="L21" i="1"/>
  <c r="L44" i="1"/>
  <c r="L22" i="1" s="1"/>
  <c r="C51" i="1"/>
  <c r="C55" i="1"/>
  <c r="N24" i="1" s="1"/>
  <c r="C59" i="1"/>
  <c r="C63" i="1"/>
  <c r="C52" i="1"/>
  <c r="K24" i="1" s="1"/>
  <c r="C56" i="1"/>
  <c r="C60" i="1"/>
  <c r="L27" i="1" l="1"/>
  <c r="M21" i="1"/>
  <c r="I27" i="1"/>
  <c r="P22" i="1"/>
  <c r="J24" i="1"/>
  <c r="C68" i="1"/>
  <c r="L29" i="1"/>
  <c r="P8" i="1"/>
  <c r="P14" i="1" s="1"/>
  <c r="I14" i="1"/>
  <c r="K29" i="1"/>
  <c r="I29" i="1" l="1"/>
  <c r="I31" i="1" s="1"/>
  <c r="P24" i="1"/>
  <c r="J27" i="1"/>
  <c r="J29" i="1" s="1"/>
  <c r="M27" i="1"/>
  <c r="M29" i="1" s="1"/>
  <c r="N21" i="1"/>
  <c r="N27" i="1" s="1"/>
  <c r="N29" i="1" s="1"/>
  <c r="P21" i="1"/>
  <c r="P27" i="1"/>
  <c r="P29" i="1" s="1"/>
  <c r="J31" i="1" l="1"/>
  <c r="K31" i="1" s="1"/>
  <c r="L31" i="1" s="1"/>
  <c r="M31" i="1" s="1"/>
  <c r="N31" i="1" s="1"/>
</calcChain>
</file>

<file path=xl/sharedStrings.xml><?xml version="1.0" encoding="utf-8"?>
<sst xmlns="http://schemas.openxmlformats.org/spreadsheetml/2006/main" count="35" uniqueCount="32">
  <si>
    <t>Projected Cash Flows for Project:</t>
  </si>
  <si>
    <t>Total</t>
  </si>
  <si>
    <t>Cash Sources:</t>
  </si>
  <si>
    <t>Subscriber revenue</t>
  </si>
  <si>
    <t>Grant Proceeds</t>
  </si>
  <si>
    <t>ACAM Funding</t>
  </si>
  <si>
    <t>Internal Financing (Borrowed Money)</t>
  </si>
  <si>
    <t>Total Cash Sources</t>
  </si>
  <si>
    <t>Cash Uses:</t>
  </si>
  <si>
    <t>Total Project Costs</t>
  </si>
  <si>
    <t>Operating Expenses:</t>
  </si>
  <si>
    <t>Advertising/customer acquisition costs</t>
  </si>
  <si>
    <t>Billing and collection costs</t>
  </si>
  <si>
    <t>Maintenance costs</t>
  </si>
  <si>
    <t>Personal property taxes</t>
  </si>
  <si>
    <t>Total Cash Uses</t>
  </si>
  <si>
    <t>Net Inflow (Outflow)</t>
  </si>
  <si>
    <t>Cumulative Flows</t>
  </si>
  <si>
    <t>Monthly</t>
  </si>
  <si>
    <t>Annual</t>
  </si>
  <si>
    <t>Projected Subscriber Revenue:</t>
  </si>
  <si>
    <t>Charge</t>
  </si>
  <si>
    <t>Revenue</t>
  </si>
  <si>
    <t>Low speed subscribers</t>
  </si>
  <si>
    <t>Moderate speed subscribers</t>
  </si>
  <si>
    <t>High speed subscribers</t>
  </si>
  <si>
    <t>Total (model location counts)</t>
  </si>
  <si>
    <t>50% Take</t>
  </si>
  <si>
    <t>65% Take</t>
  </si>
  <si>
    <t>Subscribers</t>
  </si>
  <si>
    <t>Personal Property Taxes:</t>
  </si>
  <si>
    <t>Attachment G-1: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</si>
</sst>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0" fillId="0" borderId="0" xfId="0" applyNumberFormat="1"/>
    <xf numFmtId="164" fontId="0" fillId="0" borderId="1" xfId="0" applyNumberFormat="1" applyBorder="1"/>
    <xf numFmtId="164" fontId="0" fillId="0" borderId="2" xfId="0" applyNumberFormat="1" applyBorder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164" fontId="0" fillId="0" borderId="0" xfId="0" applyNumberFormat="1" applyAlignment="1">
      <alignment horizontal="center"/>
    </xf>
    <xf numFmtId="1" fontId="0" fillId="0" borderId="0" xfId="0" applyNumberFormat="1"/>
    <xf numFmtId="3" fontId="0" fillId="0" borderId="0" xfId="0" applyNumberFormat="1"/>
    <xf numFmtId="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yroll/Documents/Dreu/BBP/CozadTelephoneCompa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tachment L"/>
      <sheetName val="Attachment L-1"/>
      <sheetName val="Attachment G-1"/>
      <sheetName val="Attachment H"/>
    </sheetNames>
    <sheetDataSet>
      <sheetData sheetId="0">
        <row r="10">
          <cell r="G10">
            <v>0</v>
          </cell>
        </row>
        <row r="13">
          <cell r="G13">
            <v>400000</v>
          </cell>
        </row>
        <row r="16">
          <cell r="G16">
            <v>640170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tabSelected="1" workbookViewId="0">
      <selection activeCell="I8" sqref="I8"/>
    </sheetView>
  </sheetViews>
  <sheetFormatPr defaultRowHeight="15" x14ac:dyDescent="0.25"/>
  <cols>
    <col min="9" max="9" width="10.140625" bestFit="1" customWidth="1"/>
    <col min="16" max="16" width="10.140625" bestFit="1" customWidth="1"/>
  </cols>
  <sheetData>
    <row r="1" spans="1:17" x14ac:dyDescent="0.25">
      <c r="A1" s="1" t="s">
        <v>31</v>
      </c>
    </row>
    <row r="2" spans="1:17" x14ac:dyDescent="0.25">
      <c r="A2" s="1" t="s">
        <v>0</v>
      </c>
    </row>
    <row r="5" spans="1:17" x14ac:dyDescent="0.25">
      <c r="I5" s="2">
        <v>2022</v>
      </c>
      <c r="J5" s="2">
        <v>2023</v>
      </c>
      <c r="K5" s="2">
        <v>2024</v>
      </c>
      <c r="L5" s="2">
        <v>2025</v>
      </c>
      <c r="M5" s="2">
        <v>2026</v>
      </c>
      <c r="N5" s="2">
        <v>2027</v>
      </c>
      <c r="O5" s="2"/>
      <c r="P5" s="2" t="s">
        <v>1</v>
      </c>
    </row>
    <row r="6" spans="1:17" x14ac:dyDescent="0.25">
      <c r="A6" s="1" t="s">
        <v>2</v>
      </c>
    </row>
    <row r="8" spans="1:17" x14ac:dyDescent="0.25">
      <c r="A8" t="s">
        <v>3</v>
      </c>
      <c r="I8" s="3">
        <f>+I41</f>
        <v>0</v>
      </c>
      <c r="J8" s="3">
        <f t="shared" ref="I8:N8" si="0">+J41</f>
        <v>29788</v>
      </c>
      <c r="K8" s="3">
        <f t="shared" si="0"/>
        <v>38724</v>
      </c>
      <c r="L8" s="3">
        <f t="shared" si="0"/>
        <v>38724</v>
      </c>
      <c r="M8" s="3">
        <f t="shared" si="0"/>
        <v>38724</v>
      </c>
      <c r="N8" s="3">
        <f t="shared" si="0"/>
        <v>38724</v>
      </c>
      <c r="O8" s="3"/>
      <c r="P8" s="3">
        <f>SUM(I8:O8)</f>
        <v>184684</v>
      </c>
      <c r="Q8" s="3"/>
    </row>
    <row r="9" spans="1:17" x14ac:dyDescent="0.25">
      <c r="A9" t="s">
        <v>4</v>
      </c>
      <c r="I9" s="3">
        <f>'[1]Attachment L'!G16</f>
        <v>640170</v>
      </c>
      <c r="J9" s="3"/>
      <c r="K9" s="3"/>
      <c r="L9" s="3"/>
      <c r="M9" s="3"/>
      <c r="N9" s="3"/>
      <c r="O9" s="3"/>
      <c r="P9" s="3">
        <f>SUM(I9:O9)</f>
        <v>640170</v>
      </c>
      <c r="Q9" s="3"/>
    </row>
    <row r="10" spans="1:17" x14ac:dyDescent="0.25">
      <c r="A10" t="s">
        <v>5</v>
      </c>
      <c r="I10" s="3">
        <f>'[1]Attachment L'!G10</f>
        <v>0</v>
      </c>
      <c r="J10" s="3"/>
      <c r="K10" s="3"/>
      <c r="L10" s="3"/>
      <c r="M10" s="3"/>
      <c r="N10" s="3"/>
      <c r="O10" s="3"/>
      <c r="P10" s="3">
        <f>SUM(I10:O10)</f>
        <v>0</v>
      </c>
      <c r="Q10" s="3"/>
    </row>
    <row r="11" spans="1:17" x14ac:dyDescent="0.25">
      <c r="A11" t="s">
        <v>6</v>
      </c>
      <c r="I11" s="3">
        <f>'[1]Attachment L'!G13</f>
        <v>400000</v>
      </c>
      <c r="J11" s="3"/>
      <c r="K11" s="3"/>
      <c r="L11" s="3"/>
      <c r="M11" s="3"/>
      <c r="N11" s="3"/>
      <c r="O11" s="3"/>
      <c r="P11" s="3">
        <f>SUM(I11:O11)</f>
        <v>400000</v>
      </c>
      <c r="Q11" s="3"/>
    </row>
    <row r="12" spans="1:17" x14ac:dyDescent="0.25">
      <c r="I12" s="4"/>
      <c r="J12" s="4"/>
      <c r="K12" s="4"/>
      <c r="L12" s="4"/>
      <c r="M12" s="4"/>
      <c r="N12" s="4"/>
      <c r="O12" s="3"/>
      <c r="P12" s="4">
        <f>SUM(I12:O12)</f>
        <v>0</v>
      </c>
      <c r="Q12" s="3"/>
    </row>
    <row r="13" spans="1:17" x14ac:dyDescent="0.25">
      <c r="I13" s="3"/>
      <c r="J13" s="3"/>
      <c r="K13" s="3"/>
      <c r="L13" s="3"/>
      <c r="M13" s="3"/>
      <c r="N13" s="3"/>
      <c r="O13" s="3"/>
      <c r="P13" s="3"/>
      <c r="Q13" s="3"/>
    </row>
    <row r="14" spans="1:17" x14ac:dyDescent="0.25">
      <c r="D14" s="1" t="s">
        <v>7</v>
      </c>
      <c r="I14" s="4">
        <f t="shared" ref="I14:N14" si="1">SUM(I8:I13)</f>
        <v>1040170</v>
      </c>
      <c r="J14" s="4">
        <f t="shared" si="1"/>
        <v>29788</v>
      </c>
      <c r="K14" s="4">
        <f t="shared" si="1"/>
        <v>38724</v>
      </c>
      <c r="L14" s="4">
        <f t="shared" si="1"/>
        <v>38724</v>
      </c>
      <c r="M14" s="4">
        <f t="shared" si="1"/>
        <v>38724</v>
      </c>
      <c r="N14" s="4">
        <f t="shared" si="1"/>
        <v>38724</v>
      </c>
      <c r="O14" s="3"/>
      <c r="P14" s="4">
        <f>SUM(P8:P13)</f>
        <v>1224854</v>
      </c>
      <c r="Q14" s="3"/>
    </row>
    <row r="15" spans="1:17" x14ac:dyDescent="0.25">
      <c r="I15" s="3"/>
      <c r="J15" s="3"/>
      <c r="K15" s="3"/>
      <c r="L15" s="3"/>
      <c r="M15" s="3"/>
      <c r="N15" s="3"/>
      <c r="O15" s="3"/>
      <c r="P15" s="3"/>
      <c r="Q15" s="3"/>
    </row>
    <row r="16" spans="1:17" x14ac:dyDescent="0.25">
      <c r="A16" s="1" t="s">
        <v>8</v>
      </c>
      <c r="I16" s="3"/>
      <c r="J16" s="3"/>
      <c r="K16" s="3"/>
      <c r="L16" s="3"/>
      <c r="M16" s="3"/>
      <c r="N16" s="3"/>
      <c r="O16" s="3"/>
      <c r="P16" s="3"/>
      <c r="Q16" s="3"/>
    </row>
    <row r="17" spans="1:17" x14ac:dyDescent="0.25">
      <c r="I17" s="3"/>
      <c r="J17" s="3"/>
      <c r="K17" s="3"/>
      <c r="L17" s="3"/>
      <c r="M17" s="3"/>
      <c r="N17" s="3"/>
      <c r="O17" s="3"/>
      <c r="P17" s="3"/>
      <c r="Q17" s="3"/>
    </row>
    <row r="18" spans="1:17" x14ac:dyDescent="0.25">
      <c r="I18" s="3"/>
      <c r="J18" s="3"/>
      <c r="K18" s="3"/>
      <c r="L18" s="3"/>
      <c r="M18" s="3"/>
      <c r="N18" s="3"/>
      <c r="O18" s="3"/>
      <c r="P18" s="3"/>
      <c r="Q18" s="3"/>
    </row>
    <row r="19" spans="1:17" x14ac:dyDescent="0.25">
      <c r="A19" t="s">
        <v>9</v>
      </c>
      <c r="I19" s="3">
        <f>SUM(I9,I11)</f>
        <v>1040170</v>
      </c>
      <c r="J19" s="3"/>
      <c r="K19" s="3"/>
      <c r="L19" s="3"/>
      <c r="M19" s="3"/>
      <c r="N19" s="3"/>
      <c r="O19" s="3"/>
      <c r="P19" s="3">
        <f>SUM(I19:O19)</f>
        <v>1040170</v>
      </c>
      <c r="Q19" s="3"/>
    </row>
    <row r="20" spans="1:17" x14ac:dyDescent="0.25">
      <c r="A20" t="s">
        <v>10</v>
      </c>
      <c r="I20" s="3"/>
      <c r="J20" s="3"/>
      <c r="K20" s="3"/>
      <c r="L20" s="3"/>
      <c r="M20" s="3"/>
      <c r="N20" s="3"/>
      <c r="O20" s="3"/>
      <c r="P20" s="3"/>
      <c r="Q20" s="3"/>
    </row>
    <row r="21" spans="1:17" x14ac:dyDescent="0.25">
      <c r="A21" t="s">
        <v>11</v>
      </c>
      <c r="I21" s="3">
        <v>5000</v>
      </c>
      <c r="J21" s="3">
        <v>1000</v>
      </c>
      <c r="K21" s="3">
        <f>+J21</f>
        <v>1000</v>
      </c>
      <c r="L21" s="3">
        <f>+K21</f>
        <v>1000</v>
      </c>
      <c r="M21" s="3">
        <f>+L21</f>
        <v>1000</v>
      </c>
      <c r="N21" s="3">
        <f>+M21</f>
        <v>1000</v>
      </c>
      <c r="O21" s="3"/>
      <c r="P21" s="3">
        <f>SUM(I21:O21)</f>
        <v>10000</v>
      </c>
      <c r="Q21" s="3"/>
    </row>
    <row r="22" spans="1:17" x14ac:dyDescent="0.25">
      <c r="A22" t="s">
        <v>12</v>
      </c>
      <c r="I22" s="3">
        <v>0</v>
      </c>
      <c r="J22" s="3">
        <f t="shared" ref="I22:N22" si="2">ROUND(((0.7*J44)*12),0)</f>
        <v>328</v>
      </c>
      <c r="K22" s="3">
        <f t="shared" si="2"/>
        <v>428</v>
      </c>
      <c r="L22" s="3">
        <f t="shared" si="2"/>
        <v>428</v>
      </c>
      <c r="M22" s="3">
        <f t="shared" si="2"/>
        <v>428</v>
      </c>
      <c r="N22" s="3">
        <f t="shared" si="2"/>
        <v>428</v>
      </c>
      <c r="O22" s="3"/>
      <c r="P22" s="3">
        <f>SUM(I22:O22)</f>
        <v>2040</v>
      </c>
      <c r="Q22" s="3"/>
    </row>
    <row r="23" spans="1:17" x14ac:dyDescent="0.25">
      <c r="A23" t="s">
        <v>13</v>
      </c>
      <c r="I23" s="3">
        <v>0</v>
      </c>
      <c r="J23" s="3">
        <v>500</v>
      </c>
      <c r="K23" s="3">
        <v>500</v>
      </c>
      <c r="L23" s="3">
        <v>500</v>
      </c>
      <c r="M23" s="3">
        <v>500</v>
      </c>
      <c r="N23" s="3">
        <v>500</v>
      </c>
      <c r="O23" s="3"/>
      <c r="P23" s="3">
        <f>SUM(I23:O23)</f>
        <v>2500</v>
      </c>
      <c r="Q23" s="3"/>
    </row>
    <row r="24" spans="1:17" x14ac:dyDescent="0.25">
      <c r="A24" t="s">
        <v>14</v>
      </c>
      <c r="I24" s="4">
        <v>0</v>
      </c>
      <c r="J24" s="4">
        <f>+C51</f>
        <v>6551</v>
      </c>
      <c r="K24" s="4">
        <f>+C52</f>
        <v>5896</v>
      </c>
      <c r="L24" s="4">
        <f>+C53</f>
        <v>5306</v>
      </c>
      <c r="M24" s="4">
        <f>+C54</f>
        <v>4775</v>
      </c>
      <c r="N24" s="4">
        <f>+C55</f>
        <v>4298</v>
      </c>
      <c r="O24" s="3"/>
      <c r="P24" s="4">
        <f>SUM(I24:O24)</f>
        <v>26826</v>
      </c>
      <c r="Q24" s="3"/>
    </row>
    <row r="25" spans="1:17" x14ac:dyDescent="0.25">
      <c r="I25" s="3"/>
      <c r="J25" s="3"/>
      <c r="K25" s="3"/>
      <c r="L25" s="3"/>
      <c r="M25" s="3"/>
      <c r="N25" s="3"/>
      <c r="O25" s="3"/>
      <c r="P25" s="3"/>
      <c r="Q25" s="3"/>
    </row>
    <row r="26" spans="1:17" x14ac:dyDescent="0.25">
      <c r="I26" s="3"/>
      <c r="J26" s="3"/>
      <c r="K26" s="3"/>
      <c r="L26" s="3"/>
      <c r="M26" s="3"/>
      <c r="N26" s="3"/>
      <c r="O26" s="3"/>
      <c r="P26" s="3"/>
      <c r="Q26" s="3"/>
    </row>
    <row r="27" spans="1:17" x14ac:dyDescent="0.25">
      <c r="D27" s="1" t="s">
        <v>15</v>
      </c>
      <c r="I27" s="4">
        <f t="shared" ref="I27:N27" si="3">SUM(I19:I24)</f>
        <v>1045170</v>
      </c>
      <c r="J27" s="4">
        <f t="shared" si="3"/>
        <v>8379</v>
      </c>
      <c r="K27" s="4">
        <f t="shared" si="3"/>
        <v>7824</v>
      </c>
      <c r="L27" s="4">
        <f t="shared" si="3"/>
        <v>7234</v>
      </c>
      <c r="M27" s="4">
        <f t="shared" si="3"/>
        <v>6703</v>
      </c>
      <c r="N27" s="4">
        <f t="shared" si="3"/>
        <v>6226</v>
      </c>
      <c r="O27" s="3"/>
      <c r="P27" s="4">
        <f>SUM(I27:O27)</f>
        <v>1081536</v>
      </c>
      <c r="Q27" s="3"/>
    </row>
    <row r="28" spans="1:17" x14ac:dyDescent="0.25">
      <c r="I28" s="3"/>
      <c r="J28" s="3"/>
      <c r="K28" s="3"/>
      <c r="L28" s="3"/>
      <c r="M28" s="3"/>
      <c r="N28" s="3"/>
      <c r="O28" s="3"/>
      <c r="P28" s="3"/>
      <c r="Q28" s="3"/>
    </row>
    <row r="29" spans="1:17" ht="15.75" thickBot="1" x14ac:dyDescent="0.3">
      <c r="D29" s="1" t="s">
        <v>16</v>
      </c>
      <c r="I29" s="5">
        <f t="shared" ref="I29:N29" si="4">+I14-I27</f>
        <v>-5000</v>
      </c>
      <c r="J29" s="5">
        <f t="shared" si="4"/>
        <v>21409</v>
      </c>
      <c r="K29" s="5">
        <f t="shared" si="4"/>
        <v>30900</v>
      </c>
      <c r="L29" s="5">
        <f t="shared" si="4"/>
        <v>31490</v>
      </c>
      <c r="M29" s="5">
        <f t="shared" si="4"/>
        <v>32021</v>
      </c>
      <c r="N29" s="5">
        <f t="shared" si="4"/>
        <v>32498</v>
      </c>
      <c r="O29" s="3"/>
      <c r="P29" s="5">
        <f>+P14-P27</f>
        <v>143318</v>
      </c>
      <c r="Q29" s="3"/>
    </row>
    <row r="30" spans="1:17" ht="15.75" thickTop="1" x14ac:dyDescent="0.25">
      <c r="D30" s="1"/>
      <c r="I30" s="3"/>
      <c r="J30" s="3"/>
      <c r="K30" s="3"/>
      <c r="L30" s="3"/>
      <c r="M30" s="3"/>
      <c r="N30" s="3"/>
      <c r="O30" s="3"/>
      <c r="P30" s="3"/>
      <c r="Q30" s="3"/>
    </row>
    <row r="31" spans="1:17" x14ac:dyDescent="0.25">
      <c r="D31" s="1" t="s">
        <v>17</v>
      </c>
      <c r="I31" s="3">
        <f>+I29</f>
        <v>-5000</v>
      </c>
      <c r="J31" s="3">
        <f>+I31+J29</f>
        <v>16409</v>
      </c>
      <c r="K31" s="3">
        <f>+J31+K29</f>
        <v>47309</v>
      </c>
      <c r="L31" s="3">
        <f>+K31+L29</f>
        <v>78799</v>
      </c>
      <c r="M31" s="3">
        <f>+L31+M29</f>
        <v>110820</v>
      </c>
      <c r="N31" s="3">
        <f>+M31+N29</f>
        <v>143318</v>
      </c>
      <c r="O31" s="3"/>
      <c r="P31" s="3"/>
      <c r="Q31" s="3"/>
    </row>
    <row r="32" spans="1:17" x14ac:dyDescent="0.25">
      <c r="I32" s="3"/>
      <c r="J32" s="3"/>
      <c r="K32" s="3"/>
      <c r="L32" s="3"/>
      <c r="M32" s="3"/>
      <c r="N32" s="3"/>
      <c r="O32" s="3"/>
      <c r="P32" s="3"/>
      <c r="Q32" s="3"/>
    </row>
    <row r="34" spans="1:14" x14ac:dyDescent="0.25">
      <c r="F34" s="6" t="s">
        <v>18</v>
      </c>
      <c r="G34" s="6" t="s">
        <v>19</v>
      </c>
      <c r="H34" s="6"/>
      <c r="I34" s="6"/>
      <c r="J34" s="6"/>
      <c r="K34" s="6"/>
    </row>
    <row r="35" spans="1:14" x14ac:dyDescent="0.25">
      <c r="A35" t="s">
        <v>20</v>
      </c>
      <c r="F35" s="6" t="s">
        <v>21</v>
      </c>
      <c r="G35" s="6" t="s">
        <v>22</v>
      </c>
      <c r="H35" s="6"/>
      <c r="I35" s="6"/>
      <c r="J35" s="6"/>
      <c r="K35" s="6"/>
    </row>
    <row r="37" spans="1:14" x14ac:dyDescent="0.25">
      <c r="A37" t="s">
        <v>23</v>
      </c>
      <c r="E37">
        <v>10</v>
      </c>
      <c r="F37" s="3">
        <v>40</v>
      </c>
      <c r="G37" s="3">
        <f>ROUND((E37*F37*12),0)</f>
        <v>4800</v>
      </c>
      <c r="H37" s="3"/>
      <c r="I37" s="3"/>
      <c r="J37" s="3"/>
      <c r="K37" s="3"/>
    </row>
    <row r="38" spans="1:14" x14ac:dyDescent="0.25">
      <c r="A38" t="s">
        <v>24</v>
      </c>
      <c r="E38">
        <v>60</v>
      </c>
      <c r="F38" s="3">
        <v>55.95</v>
      </c>
      <c r="G38" s="3">
        <f>ROUND((E38*F38*12),0)</f>
        <v>40284</v>
      </c>
      <c r="H38" s="3"/>
      <c r="I38" s="3"/>
      <c r="J38" s="3"/>
      <c r="K38" s="3"/>
    </row>
    <row r="39" spans="1:14" x14ac:dyDescent="0.25">
      <c r="A39" t="s">
        <v>25</v>
      </c>
      <c r="E39" s="7">
        <v>8</v>
      </c>
      <c r="F39" s="3">
        <v>150.94999999999999</v>
      </c>
      <c r="G39" s="4">
        <f>ROUND((E39*F39*12),0)</f>
        <v>14491</v>
      </c>
      <c r="H39" s="3"/>
      <c r="I39" s="3"/>
      <c r="J39" s="3"/>
      <c r="K39" s="3"/>
    </row>
    <row r="40" spans="1:14" x14ac:dyDescent="0.25">
      <c r="F40" s="3"/>
      <c r="G40" s="3"/>
      <c r="H40" s="3"/>
      <c r="I40" s="3"/>
      <c r="J40" s="3"/>
      <c r="K40" s="3"/>
    </row>
    <row r="41" spans="1:14" ht="15.75" thickBot="1" x14ac:dyDescent="0.3">
      <c r="B41" t="s">
        <v>26</v>
      </c>
      <c r="E41" s="8">
        <f>SUM(E37:E40)</f>
        <v>78</v>
      </c>
      <c r="F41" s="3"/>
      <c r="G41" s="5">
        <f>SUM(G37:G40)</f>
        <v>59575</v>
      </c>
      <c r="H41" s="3"/>
      <c r="I41" s="5">
        <v>0</v>
      </c>
      <c r="J41" s="5">
        <f>ROUND(($G41*0.5),0)</f>
        <v>29788</v>
      </c>
      <c r="K41" s="5">
        <f>ROUND(($G41*0.65),0)</f>
        <v>38724</v>
      </c>
      <c r="L41" s="5">
        <f>ROUND(($G41*0.65),0)</f>
        <v>38724</v>
      </c>
      <c r="M41" s="5">
        <f>ROUND(($G41*0.65),0)</f>
        <v>38724</v>
      </c>
      <c r="N41" s="5">
        <f>ROUND(($G41*0.65),0)</f>
        <v>38724</v>
      </c>
    </row>
    <row r="42" spans="1:14" ht="15.75" thickTop="1" x14ac:dyDescent="0.25">
      <c r="F42" s="3"/>
      <c r="G42" s="3"/>
      <c r="H42" s="3"/>
      <c r="I42" s="3"/>
      <c r="J42" s="3"/>
      <c r="K42" s="3"/>
    </row>
    <row r="43" spans="1:14" x14ac:dyDescent="0.25">
      <c r="F43" s="3"/>
      <c r="G43" s="3"/>
      <c r="H43" s="3"/>
      <c r="I43" s="12">
        <v>0</v>
      </c>
      <c r="J43" s="9" t="s">
        <v>27</v>
      </c>
      <c r="K43" s="9" t="s">
        <v>28</v>
      </c>
      <c r="L43" s="9" t="s">
        <v>28</v>
      </c>
      <c r="M43" s="9" t="s">
        <v>28</v>
      </c>
      <c r="N43" s="9" t="s">
        <v>28</v>
      </c>
    </row>
    <row r="44" spans="1:14" x14ac:dyDescent="0.25">
      <c r="F44" s="3"/>
      <c r="G44" s="3" t="s">
        <v>29</v>
      </c>
      <c r="H44" s="3"/>
      <c r="I44" s="10">
        <v>0</v>
      </c>
      <c r="J44" s="10">
        <f>ROUND(($E41*0.5),0)</f>
        <v>39</v>
      </c>
      <c r="K44" s="10">
        <f>ROUND(($E41*0.65),0)</f>
        <v>51</v>
      </c>
      <c r="L44" s="10">
        <f>ROUND(($E41*0.65),0)</f>
        <v>51</v>
      </c>
      <c r="M44" s="10">
        <f>ROUND(($E41*0.65),0)</f>
        <v>51</v>
      </c>
      <c r="N44" s="10">
        <f>ROUND(($E41*0.65),0)</f>
        <v>51</v>
      </c>
    </row>
    <row r="47" spans="1:14" x14ac:dyDescent="0.25">
      <c r="B47" t="s">
        <v>30</v>
      </c>
    </row>
    <row r="49" spans="1:6" x14ac:dyDescent="0.25">
      <c r="B49" s="11"/>
      <c r="C49" s="11">
        <v>400000</v>
      </c>
      <c r="D49" s="11"/>
      <c r="E49" s="11"/>
      <c r="F49" s="11"/>
    </row>
    <row r="50" spans="1:6" x14ac:dyDescent="0.25">
      <c r="B50" s="11"/>
      <c r="C50" s="11"/>
      <c r="D50" s="11"/>
      <c r="E50" s="11"/>
      <c r="F50" s="11"/>
    </row>
    <row r="51" spans="1:6" x14ac:dyDescent="0.25">
      <c r="A51">
        <v>2023</v>
      </c>
      <c r="B51" s="11"/>
      <c r="C51" s="11">
        <f>ROUND(((C$49*0.95)*0.01724),0)</f>
        <v>6551</v>
      </c>
      <c r="D51" s="11"/>
      <c r="E51" s="11"/>
      <c r="F51" s="11"/>
    </row>
    <row r="52" spans="1:6" x14ac:dyDescent="0.25">
      <c r="A52">
        <v>2024</v>
      </c>
      <c r="B52" s="11"/>
      <c r="C52" s="11">
        <f>ROUND(((C$49*0.855)*0.01724),0)</f>
        <v>5896</v>
      </c>
      <c r="D52" s="11"/>
      <c r="E52" s="11"/>
      <c r="F52" s="11"/>
    </row>
    <row r="53" spans="1:6" x14ac:dyDescent="0.25">
      <c r="A53">
        <v>2025</v>
      </c>
      <c r="B53" s="11"/>
      <c r="C53" s="11">
        <f>ROUND(((C$49*0.7695)*0.01724),0)</f>
        <v>5306</v>
      </c>
      <c r="D53" s="11"/>
      <c r="E53" s="11"/>
      <c r="F53" s="11"/>
    </row>
    <row r="54" spans="1:6" x14ac:dyDescent="0.25">
      <c r="A54">
        <v>2026</v>
      </c>
      <c r="B54" s="11"/>
      <c r="C54" s="11">
        <f>ROUND(((C$49*0.6925)*0.01724),0)</f>
        <v>4775</v>
      </c>
      <c r="D54" s="11"/>
      <c r="E54" s="11"/>
      <c r="F54" s="11"/>
    </row>
    <row r="55" spans="1:6" x14ac:dyDescent="0.25">
      <c r="A55">
        <v>2027</v>
      </c>
      <c r="B55" s="11"/>
      <c r="C55" s="11">
        <f>ROUND(((C$49*0.6232)*0.01724),0)</f>
        <v>4298</v>
      </c>
      <c r="D55" s="11"/>
      <c r="E55" s="11"/>
      <c r="F55" s="11"/>
    </row>
    <row r="56" spans="1:6" x14ac:dyDescent="0.25">
      <c r="A56">
        <v>2028</v>
      </c>
      <c r="B56" s="11"/>
      <c r="C56" s="11">
        <f>ROUND(((C$49*0.5609)*0.01724),0)</f>
        <v>3868</v>
      </c>
      <c r="D56" s="11"/>
      <c r="E56" s="11"/>
      <c r="F56" s="11"/>
    </row>
    <row r="57" spans="1:6" x14ac:dyDescent="0.25">
      <c r="A57">
        <v>2029</v>
      </c>
      <c r="B57" s="11"/>
      <c r="C57" s="11">
        <f>ROUND(((C$49*0.5019)*0.01724),0)</f>
        <v>3461</v>
      </c>
      <c r="D57" s="11"/>
      <c r="E57" s="11"/>
      <c r="F57" s="11"/>
    </row>
    <row r="58" spans="1:6" x14ac:dyDescent="0.25">
      <c r="A58">
        <v>2030</v>
      </c>
      <c r="B58" s="11"/>
      <c r="C58" s="11">
        <f>ROUND(((C$49*0.4429)*0.01724),0)</f>
        <v>3054</v>
      </c>
      <c r="D58" s="11"/>
      <c r="E58" s="11"/>
      <c r="F58" s="11"/>
    </row>
    <row r="59" spans="1:6" x14ac:dyDescent="0.25">
      <c r="A59">
        <v>2031</v>
      </c>
      <c r="B59" s="11"/>
      <c r="C59" s="11">
        <f>ROUND(((C$49*0.3838)*0.01724),0)</f>
        <v>2647</v>
      </c>
      <c r="D59" s="11"/>
      <c r="E59" s="11"/>
      <c r="F59" s="11"/>
    </row>
    <row r="60" spans="1:6" x14ac:dyDescent="0.25">
      <c r="A60">
        <v>2032</v>
      </c>
      <c r="B60" s="11"/>
      <c r="C60" s="11">
        <f>ROUND(((C$49*0.3248)*0.01724),0)</f>
        <v>2240</v>
      </c>
      <c r="D60" s="11"/>
      <c r="E60" s="11"/>
      <c r="F60" s="11"/>
    </row>
    <row r="61" spans="1:6" x14ac:dyDescent="0.25">
      <c r="A61">
        <v>2033</v>
      </c>
      <c r="B61" s="11"/>
      <c r="C61" s="11">
        <f>ROUND(((C$49*0.2657)*0.01724),0)</f>
        <v>1832</v>
      </c>
      <c r="D61" s="11"/>
      <c r="E61" s="11"/>
      <c r="F61" s="11"/>
    </row>
    <row r="62" spans="1:6" x14ac:dyDescent="0.25">
      <c r="A62">
        <v>2034</v>
      </c>
      <c r="B62" s="11"/>
      <c r="C62" s="11">
        <f>ROUND(((C$49*0.2067)*0.01724),0)</f>
        <v>1425</v>
      </c>
      <c r="D62" s="11"/>
      <c r="E62" s="11"/>
      <c r="F62" s="11"/>
    </row>
    <row r="63" spans="1:6" x14ac:dyDescent="0.25">
      <c r="A63">
        <v>2035</v>
      </c>
      <c r="B63" s="11"/>
      <c r="C63" s="11">
        <f>ROUND(((C$49*0.1476)*0.01724),0)</f>
        <v>1018</v>
      </c>
      <c r="D63" s="11"/>
      <c r="E63" s="11"/>
      <c r="F63" s="11"/>
    </row>
    <row r="64" spans="1:6" x14ac:dyDescent="0.25">
      <c r="A64">
        <v>2036</v>
      </c>
      <c r="B64" s="11"/>
      <c r="C64" s="11">
        <f>ROUND(((C$49*0.0886)*0.01724),0)</f>
        <v>611</v>
      </c>
      <c r="D64" s="11"/>
      <c r="E64" s="11"/>
      <c r="F64" s="11"/>
    </row>
    <row r="65" spans="1:6" x14ac:dyDescent="0.25">
      <c r="A65">
        <v>2037</v>
      </c>
      <c r="B65" s="11"/>
      <c r="C65" s="11">
        <f>ROUND(((C$49*0.0295)*0.01724),0)</f>
        <v>203</v>
      </c>
      <c r="D65" s="11"/>
      <c r="E65" s="11"/>
      <c r="F65" s="11"/>
    </row>
    <row r="66" spans="1:6" x14ac:dyDescent="0.25">
      <c r="B66" s="11"/>
      <c r="C66" s="11"/>
      <c r="D66" s="11"/>
      <c r="E66" s="11"/>
      <c r="F66" s="11"/>
    </row>
    <row r="67" spans="1:6" x14ac:dyDescent="0.25">
      <c r="B67" s="11"/>
      <c r="C67" s="11"/>
      <c r="D67" s="11"/>
      <c r="E67" s="11"/>
      <c r="F67" s="11"/>
    </row>
    <row r="68" spans="1:6" x14ac:dyDescent="0.25">
      <c r="B68" s="11"/>
      <c r="C68" s="11">
        <f>SUM(C51:C67)</f>
        <v>47185</v>
      </c>
      <c r="D68" s="11"/>
      <c r="E68" s="11"/>
      <c r="F68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Attachment G-1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Payroll</dc:creator>
  <cp:lastModifiedBy>Payroll</cp:lastModifiedBy>
  <dcterms:created xsi:type="dcterms:W3CDTF">2022-07-01T16:30:45Z</dcterms:created>
  <dcterms:modified xsi:type="dcterms:W3CDTF">2022-07-01T19:59:37Z</dcterms:modified>
</cp:coreProperties>
</file>