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 checkCompatibility="1" autoCompressPictures="0" defaultThemeVersion="166925"/>
  <xr:revisionPtr revIDLastSave="0" documentId="11_ACC428C02302098AB2592F04CF1513DE3CB902FF" xr6:coauthVersionLast="47" xr6:coauthVersionMax="47" xr10:uidLastSave="{00000000-0000-0000-0000-000000000000}"/>
  <bookViews>
    <workbookView xWindow="0" yWindow="0" windowWidth="35880" windowHeight="16040" xr2:uid="{00000000-000D-0000-FFFF-FFFF00000000}"/>
  </bookViews>
  <sheets>
    <sheet name="Attachment G_2" sheetId="11" r:id="rId1"/>
    <sheet name="Attachment H" sheetId="8" r:id="rId2"/>
    <sheet name="Attachment L_1" sheetId="9" r:id="rId3"/>
    <sheet name="Attachment L_2 " sheetId="10" r:id="rId4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1" l="1"/>
  <c r="L44" i="11"/>
  <c r="L22" i="11"/>
  <c r="H39" i="11"/>
  <c r="H38" i="11"/>
  <c r="H37" i="11"/>
  <c r="Q23" i="11"/>
  <c r="L21" i="11"/>
  <c r="M21" i="11"/>
  <c r="Q12" i="11"/>
  <c r="H41" i="11"/>
  <c r="J41" i="11"/>
  <c r="J8" i="11"/>
  <c r="M44" i="11"/>
  <c r="M22" i="11"/>
  <c r="L41" i="11"/>
  <c r="L8" i="11"/>
  <c r="O41" i="11"/>
  <c r="O8" i="11"/>
  <c r="K41" i="11"/>
  <c r="K8" i="11"/>
  <c r="N21" i="11"/>
  <c r="J44" i="11"/>
  <c r="J22" i="11"/>
  <c r="K44" i="11"/>
  <c r="K22" i="11"/>
  <c r="O44" i="11"/>
  <c r="O22" i="11"/>
  <c r="N44" i="11"/>
  <c r="N22" i="11"/>
  <c r="N41" i="11"/>
  <c r="N8" i="11"/>
  <c r="M41" i="11"/>
  <c r="M8" i="11"/>
  <c r="L14" i="11"/>
  <c r="K14" i="11"/>
  <c r="Q8" i="11"/>
  <c r="Q22" i="11"/>
  <c r="O14" i="11"/>
  <c r="N14" i="11"/>
  <c r="O21" i="11"/>
  <c r="M14" i="11"/>
  <c r="Q11" i="11"/>
  <c r="Q21" i="11"/>
  <c r="G12" i="10"/>
  <c r="H12" i="10"/>
  <c r="I12" i="10"/>
  <c r="J12" i="10"/>
  <c r="G11" i="10"/>
  <c r="H11" i="10"/>
  <c r="I11" i="10"/>
  <c r="J11" i="10"/>
  <c r="G10" i="10"/>
  <c r="H10" i="10"/>
  <c r="I10" i="10"/>
  <c r="J10" i="10"/>
  <c r="G9" i="10"/>
  <c r="H9" i="10"/>
  <c r="I9" i="10"/>
  <c r="J9" i="10"/>
  <c r="G8" i="10"/>
  <c r="H8" i="10"/>
  <c r="I8" i="10"/>
  <c r="J8" i="10"/>
  <c r="G7" i="10"/>
  <c r="H7" i="10"/>
  <c r="I7" i="10"/>
  <c r="J7" i="10"/>
  <c r="G6" i="10"/>
  <c r="H6" i="10"/>
  <c r="I6" i="10"/>
  <c r="J6" i="10"/>
  <c r="G5" i="10"/>
  <c r="H5" i="10"/>
  <c r="I5" i="10"/>
  <c r="J5" i="10"/>
  <c r="G4" i="10"/>
  <c r="H4" i="10"/>
  <c r="I4" i="10"/>
  <c r="J4" i="10"/>
  <c r="C15" i="10"/>
  <c r="D15" i="10"/>
  <c r="J15" i="10"/>
  <c r="I15" i="10"/>
  <c r="G12" i="9"/>
  <c r="I33" i="8"/>
  <c r="D49" i="11"/>
  <c r="G10" i="9"/>
  <c r="J10" i="11"/>
  <c r="Q10" i="11"/>
  <c r="I27" i="8"/>
  <c r="J19" i="11"/>
  <c r="Q19" i="11"/>
  <c r="J27" i="11"/>
  <c r="D64" i="11"/>
  <c r="D51" i="11"/>
  <c r="D59" i="11"/>
  <c r="D61" i="11"/>
  <c r="D55" i="11"/>
  <c r="O24" i="11"/>
  <c r="O27" i="11"/>
  <c r="D62" i="11"/>
  <c r="D53" i="11"/>
  <c r="M24" i="11"/>
  <c r="M27" i="11"/>
  <c r="M29" i="11"/>
  <c r="D57" i="11"/>
  <c r="D56" i="11"/>
  <c r="D54" i="11"/>
  <c r="N24" i="11"/>
  <c r="N27" i="11"/>
  <c r="N29" i="11"/>
  <c r="D58" i="11"/>
  <c r="D52" i="11"/>
  <c r="L24" i="11"/>
  <c r="L27" i="11"/>
  <c r="L29" i="11"/>
  <c r="D60" i="11"/>
  <c r="D65" i="11"/>
  <c r="D63" i="11"/>
  <c r="G18" i="9"/>
  <c r="J17" i="10"/>
  <c r="K24" i="11"/>
  <c r="D68" i="11"/>
  <c r="O29" i="11"/>
  <c r="I29" i="8"/>
  <c r="I30" i="8"/>
  <c r="G16" i="9"/>
  <c r="J9" i="11"/>
  <c r="G15" i="9"/>
  <c r="I37" i="8"/>
  <c r="Q9" i="11"/>
  <c r="Q14" i="11"/>
  <c r="J14" i="11"/>
  <c r="J29" i="11"/>
  <c r="J31" i="11"/>
  <c r="Q24" i="11"/>
  <c r="K27" i="11"/>
  <c r="G20" i="9"/>
  <c r="K29" i="11"/>
  <c r="K31" i="11"/>
  <c r="L31" i="11"/>
  <c r="M31" i="11"/>
  <c r="N31" i="11"/>
  <c r="O31" i="11"/>
  <c r="Q27" i="11"/>
  <c r="Q29" i="11"/>
</calcChain>
</file>

<file path=xl/sharedStrings.xml><?xml version="1.0" encoding="utf-8"?>
<sst xmlns="http://schemas.openxmlformats.org/spreadsheetml/2006/main" count="110" uniqueCount="86">
  <si>
    <t>Attachment G_2:</t>
  </si>
  <si>
    <t>Projected Cash Flows for Project:</t>
  </si>
  <si>
    <t>Total</t>
  </si>
  <si>
    <t>Cash Sources:</t>
  </si>
  <si>
    <t>Subscriber revenue</t>
  </si>
  <si>
    <t>Grant Proceeds</t>
  </si>
  <si>
    <t>ACAM Funding</t>
  </si>
  <si>
    <t>Total Cash Sources</t>
  </si>
  <si>
    <t>Cash Uses:</t>
  </si>
  <si>
    <t>Total Project Costs</t>
  </si>
  <si>
    <t>Operating Expenses:</t>
  </si>
  <si>
    <t>Advertising/customer acquisition costs</t>
  </si>
  <si>
    <t>Billing and collection costs</t>
  </si>
  <si>
    <t>Maintenance costs</t>
  </si>
  <si>
    <t>Personal property taxes</t>
  </si>
  <si>
    <t>Total Cash Uses</t>
  </si>
  <si>
    <t>Net Inflow (Outflow)</t>
  </si>
  <si>
    <t>Cumulative Flows</t>
  </si>
  <si>
    <t>Monthly</t>
  </si>
  <si>
    <t>Annual</t>
  </si>
  <si>
    <t>Projected Subscriber Revenue:</t>
  </si>
  <si>
    <t>Charge</t>
  </si>
  <si>
    <t>Revenue</t>
  </si>
  <si>
    <t>Low speed subscribers</t>
  </si>
  <si>
    <t>Moderate speed subscribers</t>
  </si>
  <si>
    <t>High speed subscribers</t>
  </si>
  <si>
    <t>Total (model location counts)</t>
  </si>
  <si>
    <t>20% Take</t>
  </si>
  <si>
    <t>50% Take</t>
  </si>
  <si>
    <t>65% Take</t>
  </si>
  <si>
    <t>Subscribers</t>
  </si>
  <si>
    <t>Personal Property Taxes:</t>
  </si>
  <si>
    <t>Attachment H:</t>
  </si>
  <si>
    <t>Proposed Grant Budget and Funding Breakdown:</t>
  </si>
  <si>
    <t>Engineering Costs:</t>
  </si>
  <si>
    <t xml:space="preserve">Project Management (including route design, materials </t>
  </si>
  <si>
    <t>procurement and construction observation)</t>
  </si>
  <si>
    <t>Mainline Fiber:</t>
  </si>
  <si>
    <t>Includes construction, fiber, vaults, and splicing from existing fiber acess</t>
  </si>
  <si>
    <t xml:space="preserve">mainline fiber and drops to the home (23,000 per mile * 25.00 miles) </t>
  </si>
  <si>
    <t>FTTH Overton Buildout:</t>
  </si>
  <si>
    <t>CPE Electronics ($450 per location; 30 locations)</t>
  </si>
  <si>
    <t>Electronics Cabinet, Generator and Transmission Equipment</t>
  </si>
  <si>
    <t>Transmission - Transport CO Fiber Switches (Split Cost)</t>
  </si>
  <si>
    <t>CPE Installation Labor ($150 per location; 30 Locations)</t>
  </si>
  <si>
    <t>Total Project Cost</t>
  </si>
  <si>
    <t>Grant Amount Requested</t>
  </si>
  <si>
    <t>Contributed by Grant Applicant</t>
  </si>
  <si>
    <t>Breakdown of Grant Applicant Contribution:</t>
  </si>
  <si>
    <t>In-Kind Contribution-Materials and Supplies</t>
  </si>
  <si>
    <t>Internal Financing</t>
  </si>
  <si>
    <t>Attachment L_1:</t>
  </si>
  <si>
    <t>Match Source Documentation:</t>
  </si>
  <si>
    <t>Community Partner Match</t>
  </si>
  <si>
    <t>RDOF Funding</t>
  </si>
  <si>
    <t>In-Kind Contributions-Materials and Supplies</t>
  </si>
  <si>
    <t>Total Matching Contribution</t>
  </si>
  <si>
    <t>Grant Match Percentage</t>
  </si>
  <si>
    <t>Attachment L_2</t>
  </si>
  <si>
    <t>Calculation of Eligible Grant Amount for ACAM Funded Capped Blocks:</t>
  </si>
  <si>
    <t>BlockID</t>
  </si>
  <si>
    <t>Company Name</t>
  </si>
  <si>
    <t>Node 4 Locations (A-CAM Supported)</t>
  </si>
  <si>
    <t>Investment Total</t>
  </si>
  <si>
    <t>SBCM CAPEX Average Monthly (per location)</t>
  </si>
  <si>
    <t>SBCM OPEX Average Monthly (per location)</t>
  </si>
  <si>
    <t>CapEx Percentage of Total Monthly support (per location)</t>
  </si>
  <si>
    <t>CapEx Portion of Capped Monthly support            (per location)</t>
  </si>
  <si>
    <t>Capex Payments Received Over Life of ACAM II Program (total census block)</t>
  </si>
  <si>
    <t>ACAM II Model Investment Costs Not Recovered Through Capex Support Payments (total census block)</t>
  </si>
  <si>
    <t>Is ACAM Funded</t>
  </si>
  <si>
    <t>Is 25/3</t>
  </si>
  <si>
    <t>ACAM Unfunded, Funded, Capped</t>
  </si>
  <si>
    <t>310479680002125</t>
  </si>
  <si>
    <t>Overton</t>
  </si>
  <si>
    <t>Capped</t>
  </si>
  <si>
    <t>310479680002191</t>
  </si>
  <si>
    <t>310479680002227</t>
  </si>
  <si>
    <t>310479680002249</t>
  </si>
  <si>
    <t>310479680003046</t>
  </si>
  <si>
    <t>310479680003151</t>
  </si>
  <si>
    <t>310479680003171</t>
  </si>
  <si>
    <t>310479680003192</t>
  </si>
  <si>
    <t>310479680003224</t>
  </si>
  <si>
    <t>Totals</t>
  </si>
  <si>
    <t>Limited to Project Cost less Capex Payments Received: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</si>
</sst>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9" fontId="0" fillId="0" borderId="2" xfId="0" applyNumberFormat="1" applyBorder="1"/>
    <xf numFmtId="165" fontId="0" fillId="0" borderId="0" xfId="0" applyNumberFormat="1"/>
    <xf numFmtId="42" fontId="1" fillId="0" borderId="0" xfId="0" applyNumberFormat="1" applyFont="1" applyAlignment="1">
      <alignment horizontal="center" wrapText="1"/>
    </xf>
    <xf numFmtId="10" fontId="0" fillId="0" borderId="0" xfId="0" applyNumberFormat="1"/>
    <xf numFmtId="165" fontId="1" fillId="0" borderId="0" xfId="0" applyNumberFormat="1" applyFont="1"/>
    <xf numFmtId="1" fontId="0" fillId="0" borderId="0" xfId="0" applyNumberFormat="1" applyAlignment="1">
      <alignment horizontal="left"/>
    </xf>
    <xf numFmtId="166" fontId="0" fillId="0" borderId="0" xfId="1" applyNumberFormat="1" applyFont="1" applyFill="1"/>
    <xf numFmtId="0" fontId="1" fillId="0" borderId="0" xfId="0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0" xfId="0" applyNumberFormat="1" applyAlignment="1">
      <alignment horizontal="center"/>
    </xf>
    <xf numFmtId="3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8"/>
  <sheetViews>
    <sheetView tabSelected="1" workbookViewId="0">
      <selection activeCell="J18" sqref="J18"/>
    </sheetView>
  </sheetViews>
  <sheetFormatPr defaultColWidth="8.85546875" defaultRowHeight="14.1"/>
  <cols>
    <col min="10" max="17" width="10.85546875" customWidth="1"/>
  </cols>
  <sheetData>
    <row r="1" spans="2:18">
      <c r="B1" s="1" t="s">
        <v>0</v>
      </c>
    </row>
    <row r="2" spans="2:18">
      <c r="B2" s="1" t="s">
        <v>1</v>
      </c>
    </row>
    <row r="5" spans="2:18">
      <c r="J5" s="15">
        <v>2022</v>
      </c>
      <c r="K5" s="15">
        <v>2023</v>
      </c>
      <c r="L5" s="15">
        <v>2024</v>
      </c>
      <c r="M5" s="15">
        <v>2025</v>
      </c>
      <c r="N5" s="15">
        <v>2026</v>
      </c>
      <c r="O5" s="15">
        <v>2027</v>
      </c>
      <c r="P5" s="15"/>
      <c r="Q5" s="15" t="s">
        <v>2</v>
      </c>
    </row>
    <row r="6" spans="2:18">
      <c r="B6" s="1" t="s">
        <v>3</v>
      </c>
    </row>
    <row r="8" spans="2:18">
      <c r="B8" t="s">
        <v>4</v>
      </c>
      <c r="J8" s="2">
        <f>+J41</f>
        <v>4680</v>
      </c>
      <c r="K8" s="2">
        <f t="shared" ref="K8:O8" si="0">+K41</f>
        <v>11700</v>
      </c>
      <c r="L8" s="2">
        <f t="shared" si="0"/>
        <v>15210</v>
      </c>
      <c r="M8" s="2">
        <f t="shared" si="0"/>
        <v>15210</v>
      </c>
      <c r="N8" s="2">
        <f t="shared" si="0"/>
        <v>15210</v>
      </c>
      <c r="O8" s="2">
        <f t="shared" si="0"/>
        <v>15210</v>
      </c>
      <c r="P8" s="2"/>
      <c r="Q8" s="2">
        <f>SUM(J8:P8)</f>
        <v>77220</v>
      </c>
      <c r="R8" s="2"/>
    </row>
    <row r="9" spans="2:18">
      <c r="B9" t="s">
        <v>5</v>
      </c>
      <c r="J9" s="2">
        <f>+'Attachment L_1'!G16</f>
        <v>474266</v>
      </c>
      <c r="K9" s="2"/>
      <c r="L9" s="2"/>
      <c r="M9" s="2"/>
      <c r="N9" s="2"/>
      <c r="O9" s="2"/>
      <c r="P9" s="2"/>
      <c r="Q9" s="2">
        <f>SUM(J9:P9)</f>
        <v>474266</v>
      </c>
      <c r="R9" s="2"/>
    </row>
    <row r="10" spans="2:18">
      <c r="B10" t="s">
        <v>6</v>
      </c>
      <c r="J10" s="2">
        <f>+'Attachment L_1'!G10</f>
        <v>178944</v>
      </c>
      <c r="K10" s="2"/>
      <c r="L10" s="2"/>
      <c r="M10" s="2"/>
      <c r="N10" s="2"/>
      <c r="O10" s="2"/>
      <c r="P10" s="2"/>
      <c r="Q10" s="2">
        <f>SUM(J10:P10)</f>
        <v>178944</v>
      </c>
      <c r="R10" s="2"/>
    </row>
    <row r="11" spans="2:18">
      <c r="J11" s="2"/>
      <c r="K11" s="2"/>
      <c r="L11" s="2"/>
      <c r="M11" s="2"/>
      <c r="N11" s="2"/>
      <c r="O11" s="2"/>
      <c r="P11" s="2"/>
      <c r="Q11" s="2">
        <f>SUM(J11:P11)</f>
        <v>0</v>
      </c>
      <c r="R11" s="2"/>
    </row>
    <row r="12" spans="2:18">
      <c r="J12" s="3"/>
      <c r="K12" s="3"/>
      <c r="L12" s="3"/>
      <c r="M12" s="3"/>
      <c r="N12" s="3"/>
      <c r="O12" s="3"/>
      <c r="P12" s="2"/>
      <c r="Q12" s="3">
        <f>SUM(J12:P12)</f>
        <v>0</v>
      </c>
      <c r="R12" s="2"/>
    </row>
    <row r="13" spans="2:18">
      <c r="J13" s="2"/>
      <c r="K13" s="2"/>
      <c r="L13" s="2"/>
      <c r="M13" s="2"/>
      <c r="N13" s="2"/>
      <c r="O13" s="2"/>
      <c r="P13" s="2"/>
      <c r="Q13" s="2"/>
      <c r="R13" s="2"/>
    </row>
    <row r="14" spans="2:18">
      <c r="E14" s="1" t="s">
        <v>7</v>
      </c>
      <c r="J14" s="3">
        <f t="shared" ref="J14:O14" si="1">SUM(J8:J13)</f>
        <v>657890</v>
      </c>
      <c r="K14" s="3">
        <f t="shared" si="1"/>
        <v>11700</v>
      </c>
      <c r="L14" s="3">
        <f t="shared" si="1"/>
        <v>15210</v>
      </c>
      <c r="M14" s="3">
        <f t="shared" si="1"/>
        <v>15210</v>
      </c>
      <c r="N14" s="3">
        <f t="shared" si="1"/>
        <v>15210</v>
      </c>
      <c r="O14" s="3">
        <f t="shared" si="1"/>
        <v>15210</v>
      </c>
      <c r="P14" s="2"/>
      <c r="Q14" s="3">
        <f>SUM(Q8:Q13)</f>
        <v>730430</v>
      </c>
      <c r="R14" s="2"/>
    </row>
    <row r="15" spans="2:18">
      <c r="J15" s="2"/>
      <c r="K15" s="2"/>
      <c r="L15" s="2"/>
      <c r="M15" s="2"/>
      <c r="N15" s="2"/>
      <c r="O15" s="2"/>
      <c r="P15" s="2"/>
      <c r="Q15" s="2"/>
      <c r="R15" s="2"/>
    </row>
    <row r="16" spans="2:18">
      <c r="B16" s="1" t="s">
        <v>8</v>
      </c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J18" s="2"/>
      <c r="K18" s="2"/>
      <c r="L18" s="2"/>
      <c r="M18" s="2"/>
      <c r="N18" s="2"/>
      <c r="O18" s="2"/>
      <c r="P18" s="2"/>
      <c r="Q18" s="2"/>
      <c r="R18" s="2"/>
    </row>
    <row r="19" spans="2:18">
      <c r="B19" t="s">
        <v>9</v>
      </c>
      <c r="J19" s="2">
        <f>+'Attachment H'!I27</f>
        <v>653210</v>
      </c>
      <c r="K19" s="2"/>
      <c r="L19" s="2"/>
      <c r="M19" s="2"/>
      <c r="N19" s="2"/>
      <c r="O19" s="2"/>
      <c r="P19" s="2"/>
      <c r="Q19" s="2">
        <f>SUM(J19:P19)</f>
        <v>653210</v>
      </c>
      <c r="R19" s="2"/>
    </row>
    <row r="20" spans="2:18">
      <c r="B20" t="s">
        <v>10</v>
      </c>
      <c r="J20" s="2"/>
      <c r="K20" s="2"/>
      <c r="L20" s="2"/>
      <c r="M20" s="2"/>
      <c r="N20" s="2"/>
      <c r="O20" s="2"/>
      <c r="P20" s="2"/>
      <c r="Q20" s="2"/>
      <c r="R20" s="2"/>
    </row>
    <row r="21" spans="2:18">
      <c r="B21" t="s">
        <v>11</v>
      </c>
      <c r="J21" s="2">
        <v>5000</v>
      </c>
      <c r="K21" s="2">
        <v>1000</v>
      </c>
      <c r="L21" s="2">
        <f>+K21</f>
        <v>1000</v>
      </c>
      <c r="M21" s="2">
        <f t="shared" ref="M21:O21" si="2">+L21</f>
        <v>1000</v>
      </c>
      <c r="N21" s="2">
        <f t="shared" si="2"/>
        <v>1000</v>
      </c>
      <c r="O21" s="2">
        <f t="shared" si="2"/>
        <v>1000</v>
      </c>
      <c r="P21" s="2"/>
      <c r="Q21" s="2">
        <f>SUM(J21:P21)</f>
        <v>10000</v>
      </c>
      <c r="R21" s="2"/>
    </row>
    <row r="22" spans="2:18">
      <c r="B22" t="s">
        <v>12</v>
      </c>
      <c r="J22" s="2">
        <f>ROUND(((0.7*J44)*12),0)</f>
        <v>118</v>
      </c>
      <c r="K22" s="2">
        <f t="shared" ref="K22:O22" si="3">ROUND(((0.7*K44)*12),0)</f>
        <v>126</v>
      </c>
      <c r="L22" s="2">
        <f t="shared" si="3"/>
        <v>168</v>
      </c>
      <c r="M22" s="2">
        <f t="shared" si="3"/>
        <v>168</v>
      </c>
      <c r="N22" s="2">
        <f t="shared" si="3"/>
        <v>168</v>
      </c>
      <c r="O22" s="2">
        <f t="shared" si="3"/>
        <v>168</v>
      </c>
      <c r="P22" s="2"/>
      <c r="Q22" s="2">
        <f>SUM(J22:P22)</f>
        <v>916</v>
      </c>
      <c r="R22" s="2"/>
    </row>
    <row r="23" spans="2:18">
      <c r="B23" t="s">
        <v>13</v>
      </c>
      <c r="J23" s="2">
        <v>500</v>
      </c>
      <c r="K23" s="2">
        <v>500</v>
      </c>
      <c r="L23" s="2">
        <v>500</v>
      </c>
      <c r="M23" s="2">
        <v>500</v>
      </c>
      <c r="N23" s="2">
        <v>500</v>
      </c>
      <c r="O23" s="2">
        <v>500</v>
      </c>
      <c r="P23" s="2"/>
      <c r="Q23" s="2">
        <f>SUM(J23:P23)</f>
        <v>3000</v>
      </c>
      <c r="R23" s="2"/>
    </row>
    <row r="24" spans="2:18">
      <c r="B24" t="s">
        <v>14</v>
      </c>
      <c r="J24" s="3">
        <v>0</v>
      </c>
      <c r="K24" s="3">
        <f>+D51</f>
        <v>2931</v>
      </c>
      <c r="L24" s="3">
        <f>+D52</f>
        <v>2638</v>
      </c>
      <c r="M24" s="3">
        <f>+D53</f>
        <v>2374</v>
      </c>
      <c r="N24" s="3">
        <f>+D54</f>
        <v>2136</v>
      </c>
      <c r="O24" s="3">
        <f>+D55</f>
        <v>1923</v>
      </c>
      <c r="P24" s="2"/>
      <c r="Q24" s="3">
        <f>SUM(J24:P24)</f>
        <v>12002</v>
      </c>
      <c r="R24" s="2"/>
    </row>
    <row r="25" spans="2:18">
      <c r="J25" s="2"/>
      <c r="K25" s="2"/>
      <c r="L25" s="2"/>
      <c r="M25" s="2"/>
      <c r="N25" s="2"/>
      <c r="O25" s="2"/>
      <c r="P25" s="2"/>
      <c r="Q25" s="2"/>
      <c r="R25" s="2"/>
    </row>
    <row r="26" spans="2:18">
      <c r="J26" s="2"/>
      <c r="K26" s="2"/>
      <c r="L26" s="2"/>
      <c r="M26" s="2"/>
      <c r="N26" s="2"/>
      <c r="O26" s="2"/>
      <c r="P26" s="2"/>
      <c r="Q26" s="2"/>
      <c r="R26" s="2"/>
    </row>
    <row r="27" spans="2:18">
      <c r="E27" s="1" t="s">
        <v>15</v>
      </c>
      <c r="J27" s="3">
        <f t="shared" ref="J27:O27" si="4">SUM(J19:J24)</f>
        <v>658828</v>
      </c>
      <c r="K27" s="3">
        <f t="shared" si="4"/>
        <v>4557</v>
      </c>
      <c r="L27" s="3">
        <f t="shared" si="4"/>
        <v>4306</v>
      </c>
      <c r="M27" s="3">
        <f t="shared" si="4"/>
        <v>4042</v>
      </c>
      <c r="N27" s="3">
        <f t="shared" si="4"/>
        <v>3804</v>
      </c>
      <c r="O27" s="3">
        <f t="shared" si="4"/>
        <v>3591</v>
      </c>
      <c r="P27" s="2"/>
      <c r="Q27" s="3">
        <f>SUM(J27:P27)</f>
        <v>679128</v>
      </c>
      <c r="R27" s="2"/>
    </row>
    <row r="28" spans="2:18">
      <c r="J28" s="2"/>
      <c r="K28" s="2"/>
      <c r="L28" s="2"/>
      <c r="M28" s="2"/>
      <c r="N28" s="2"/>
      <c r="O28" s="2"/>
      <c r="P28" s="2"/>
      <c r="Q28" s="2"/>
      <c r="R28" s="2"/>
    </row>
    <row r="29" spans="2:18" ht="15" thickBot="1">
      <c r="E29" s="1" t="s">
        <v>16</v>
      </c>
      <c r="J29" s="4">
        <f t="shared" ref="J29:O29" si="5">+J14-J27</f>
        <v>-938</v>
      </c>
      <c r="K29" s="4">
        <f t="shared" si="5"/>
        <v>7143</v>
      </c>
      <c r="L29" s="4">
        <f t="shared" si="5"/>
        <v>10904</v>
      </c>
      <c r="M29" s="4">
        <f t="shared" si="5"/>
        <v>11168</v>
      </c>
      <c r="N29" s="4">
        <f t="shared" si="5"/>
        <v>11406</v>
      </c>
      <c r="O29" s="4">
        <f t="shared" si="5"/>
        <v>11619</v>
      </c>
      <c r="P29" s="2"/>
      <c r="Q29" s="4">
        <f>+Q14-Q27</f>
        <v>51302</v>
      </c>
      <c r="R29" s="2"/>
    </row>
    <row r="30" spans="2:18" ht="15" thickTop="1">
      <c r="E30" s="1"/>
      <c r="J30" s="2"/>
      <c r="K30" s="2"/>
      <c r="L30" s="2"/>
      <c r="M30" s="2"/>
      <c r="N30" s="2"/>
      <c r="O30" s="2"/>
      <c r="P30" s="2"/>
      <c r="Q30" s="2"/>
      <c r="R30" s="2"/>
    </row>
    <row r="31" spans="2:18">
      <c r="E31" s="1" t="s">
        <v>17</v>
      </c>
      <c r="J31" s="2">
        <f>+J29</f>
        <v>-938</v>
      </c>
      <c r="K31" s="2">
        <f>+J31+K29</f>
        <v>6205</v>
      </c>
      <c r="L31" s="2">
        <f t="shared" ref="L31:O31" si="6">+K31+L29</f>
        <v>17109</v>
      </c>
      <c r="M31" s="2">
        <f t="shared" si="6"/>
        <v>28277</v>
      </c>
      <c r="N31" s="2">
        <f t="shared" si="6"/>
        <v>39683</v>
      </c>
      <c r="O31" s="2">
        <f t="shared" si="6"/>
        <v>51302</v>
      </c>
      <c r="P31" s="2"/>
      <c r="Q31" s="2"/>
      <c r="R31" s="2"/>
    </row>
    <row r="32" spans="2:18">
      <c r="J32" s="2"/>
      <c r="K32" s="2"/>
      <c r="L32" s="2"/>
      <c r="M32" s="2"/>
      <c r="N32" s="2"/>
      <c r="O32" s="2"/>
      <c r="P32" s="2"/>
      <c r="Q32" s="2"/>
      <c r="R32" s="2"/>
    </row>
    <row r="34" spans="2:15">
      <c r="G34" s="16" t="s">
        <v>18</v>
      </c>
      <c r="H34" s="16" t="s">
        <v>19</v>
      </c>
      <c r="I34" s="16"/>
      <c r="J34" s="16"/>
      <c r="K34" s="16"/>
      <c r="L34" s="16"/>
    </row>
    <row r="35" spans="2:15">
      <c r="B35" t="s">
        <v>20</v>
      </c>
      <c r="G35" s="16" t="s">
        <v>21</v>
      </c>
      <c r="H35" s="16" t="s">
        <v>22</v>
      </c>
      <c r="I35" s="16"/>
      <c r="J35" s="16"/>
      <c r="K35" s="16"/>
      <c r="L35" s="16"/>
    </row>
    <row r="37" spans="2:15">
      <c r="B37" t="s">
        <v>23</v>
      </c>
      <c r="F37">
        <v>5</v>
      </c>
      <c r="G37" s="2">
        <v>40</v>
      </c>
      <c r="H37" s="2">
        <f>ROUND((F37*G37*12),0)</f>
        <v>2400</v>
      </c>
      <c r="I37" s="2"/>
      <c r="J37" s="2"/>
      <c r="K37" s="2"/>
      <c r="L37" s="2"/>
    </row>
    <row r="38" spans="2:15">
      <c r="B38" t="s">
        <v>24</v>
      </c>
      <c r="F38">
        <v>20</v>
      </c>
      <c r="G38" s="2">
        <v>65</v>
      </c>
      <c r="H38" s="2">
        <f t="shared" ref="H38:H39" si="7">ROUND((F38*G38*12),0)</f>
        <v>15600</v>
      </c>
      <c r="I38" s="2"/>
      <c r="J38" s="2"/>
      <c r="K38" s="2"/>
      <c r="L38" s="2"/>
    </row>
    <row r="39" spans="2:15">
      <c r="B39" t="s">
        <v>25</v>
      </c>
      <c r="F39" s="17">
        <v>5</v>
      </c>
      <c r="G39" s="2">
        <v>90</v>
      </c>
      <c r="H39" s="3">
        <f t="shared" si="7"/>
        <v>5400</v>
      </c>
      <c r="I39" s="2"/>
      <c r="J39" s="2"/>
      <c r="K39" s="2"/>
      <c r="L39" s="2"/>
    </row>
    <row r="40" spans="2:15">
      <c r="G40" s="2"/>
      <c r="H40" s="2"/>
      <c r="I40" s="2"/>
      <c r="J40" s="2"/>
      <c r="K40" s="2"/>
      <c r="L40" s="2"/>
    </row>
    <row r="41" spans="2:15" ht="15" thickBot="1">
      <c r="C41" t="s">
        <v>26</v>
      </c>
      <c r="F41" s="18">
        <f>SUM(F37:F40)</f>
        <v>30</v>
      </c>
      <c r="G41" s="2"/>
      <c r="H41" s="4">
        <f>SUM(H37:H40)</f>
        <v>23400</v>
      </c>
      <c r="I41" s="2"/>
      <c r="J41" s="4">
        <f>ROUND(($H41*0.2),0)</f>
        <v>4680</v>
      </c>
      <c r="K41" s="4">
        <f>ROUND(($H41*0.5),0)</f>
        <v>11700</v>
      </c>
      <c r="L41" s="4">
        <f>ROUND(($H41*0.65),0)</f>
        <v>15210</v>
      </c>
      <c r="M41" s="4">
        <f t="shared" ref="M41:O41" si="8">ROUND(($H41*0.65),0)</f>
        <v>15210</v>
      </c>
      <c r="N41" s="4">
        <f t="shared" si="8"/>
        <v>15210</v>
      </c>
      <c r="O41" s="4">
        <f t="shared" si="8"/>
        <v>15210</v>
      </c>
    </row>
    <row r="42" spans="2:15" ht="15" thickTop="1">
      <c r="G42" s="2"/>
      <c r="H42" s="2"/>
      <c r="I42" s="2"/>
      <c r="J42" s="2"/>
      <c r="K42" s="2"/>
      <c r="L42" s="2"/>
    </row>
    <row r="43" spans="2:15">
      <c r="G43" s="2"/>
      <c r="H43" s="2"/>
      <c r="I43" s="2"/>
      <c r="J43" s="19" t="s">
        <v>27</v>
      </c>
      <c r="K43" s="19" t="s">
        <v>28</v>
      </c>
      <c r="L43" s="19" t="s">
        <v>29</v>
      </c>
      <c r="M43" s="19" t="s">
        <v>29</v>
      </c>
      <c r="N43" s="19" t="s">
        <v>29</v>
      </c>
      <c r="O43" s="19" t="s">
        <v>29</v>
      </c>
    </row>
    <row r="44" spans="2:15">
      <c r="G44" s="2"/>
      <c r="H44" s="2" t="s">
        <v>30</v>
      </c>
      <c r="I44" s="2"/>
      <c r="J44" s="13">
        <f>ROUND(($F41*0.45),0)</f>
        <v>14</v>
      </c>
      <c r="K44" s="13">
        <f>ROUND(($F41*0.5),0)</f>
        <v>15</v>
      </c>
      <c r="L44" s="13">
        <f>ROUND(($F41*0.65),0)</f>
        <v>20</v>
      </c>
      <c r="M44" s="13">
        <f t="shared" ref="M44:O44" si="9">ROUND(($F41*0.65),0)</f>
        <v>20</v>
      </c>
      <c r="N44" s="13">
        <f t="shared" si="9"/>
        <v>20</v>
      </c>
      <c r="O44" s="13">
        <f t="shared" si="9"/>
        <v>20</v>
      </c>
    </row>
    <row r="47" spans="2:15">
      <c r="C47" t="s">
        <v>31</v>
      </c>
    </row>
    <row r="49" spans="2:7">
      <c r="C49" s="20"/>
      <c r="D49" s="20">
        <f>+'Attachment H'!I33</f>
        <v>178944</v>
      </c>
      <c r="E49" s="20"/>
      <c r="F49" s="20"/>
      <c r="G49" s="20"/>
    </row>
    <row r="50" spans="2:7">
      <c r="C50" s="20"/>
      <c r="D50" s="20"/>
      <c r="E50" s="20"/>
      <c r="F50" s="20"/>
      <c r="G50" s="20"/>
    </row>
    <row r="51" spans="2:7">
      <c r="B51">
        <v>2023</v>
      </c>
      <c r="C51" s="20"/>
      <c r="D51" s="20">
        <f>ROUND(((D$49*0.95)*0.01724),0)</f>
        <v>2931</v>
      </c>
      <c r="E51" s="20"/>
      <c r="F51" s="20"/>
      <c r="G51" s="20"/>
    </row>
    <row r="52" spans="2:7">
      <c r="B52">
        <v>2024</v>
      </c>
      <c r="C52" s="20"/>
      <c r="D52" s="20">
        <f>ROUND(((D$49*0.855)*0.01724),0)</f>
        <v>2638</v>
      </c>
      <c r="E52" s="20"/>
      <c r="F52" s="20"/>
      <c r="G52" s="20"/>
    </row>
    <row r="53" spans="2:7">
      <c r="B53">
        <v>2025</v>
      </c>
      <c r="C53" s="20"/>
      <c r="D53" s="20">
        <f>ROUND(((D$49*0.7695)*0.01724),0)</f>
        <v>2374</v>
      </c>
      <c r="E53" s="20"/>
      <c r="F53" s="20"/>
      <c r="G53" s="20"/>
    </row>
    <row r="54" spans="2:7">
      <c r="B54">
        <v>2026</v>
      </c>
      <c r="C54" s="20"/>
      <c r="D54" s="20">
        <f>ROUND(((D$49*0.6925)*0.01724),0)</f>
        <v>2136</v>
      </c>
      <c r="E54" s="20"/>
      <c r="F54" s="20"/>
      <c r="G54" s="20"/>
    </row>
    <row r="55" spans="2:7">
      <c r="B55">
        <v>2027</v>
      </c>
      <c r="C55" s="20"/>
      <c r="D55" s="20">
        <f>ROUND(((D$49*0.6232)*0.01724),0)</f>
        <v>1923</v>
      </c>
      <c r="E55" s="20"/>
      <c r="F55" s="20"/>
      <c r="G55" s="20"/>
    </row>
    <row r="56" spans="2:7">
      <c r="B56">
        <v>2028</v>
      </c>
      <c r="C56" s="20"/>
      <c r="D56" s="20">
        <f>ROUND(((D$49*0.5609)*0.01724),0)</f>
        <v>1730</v>
      </c>
      <c r="E56" s="20"/>
      <c r="F56" s="20"/>
      <c r="G56" s="20"/>
    </row>
    <row r="57" spans="2:7">
      <c r="B57">
        <v>2029</v>
      </c>
      <c r="C57" s="20"/>
      <c r="D57" s="20">
        <f>ROUND(((D$49*0.5019)*0.01724),0)</f>
        <v>1548</v>
      </c>
      <c r="E57" s="20"/>
      <c r="F57" s="20"/>
      <c r="G57" s="20"/>
    </row>
    <row r="58" spans="2:7">
      <c r="B58">
        <v>2030</v>
      </c>
      <c r="C58" s="20"/>
      <c r="D58" s="20">
        <f>ROUND(((D$49*0.4429)*0.01724),0)</f>
        <v>1366</v>
      </c>
      <c r="E58" s="20"/>
      <c r="F58" s="20"/>
      <c r="G58" s="20"/>
    </row>
    <row r="59" spans="2:7">
      <c r="B59">
        <v>2031</v>
      </c>
      <c r="C59" s="20"/>
      <c r="D59" s="20">
        <f>ROUND(((D$49*0.3838)*0.01724),0)</f>
        <v>1184</v>
      </c>
      <c r="E59" s="20"/>
      <c r="F59" s="20"/>
      <c r="G59" s="20"/>
    </row>
    <row r="60" spans="2:7">
      <c r="B60">
        <v>2032</v>
      </c>
      <c r="C60" s="20"/>
      <c r="D60" s="20">
        <f>ROUND(((D$49*0.3248)*0.01724),0)</f>
        <v>1002</v>
      </c>
      <c r="E60" s="20"/>
      <c r="F60" s="20"/>
      <c r="G60" s="20"/>
    </row>
    <row r="61" spans="2:7">
      <c r="B61">
        <v>2033</v>
      </c>
      <c r="C61" s="20"/>
      <c r="D61" s="20">
        <f>ROUND(((D$49*0.2657)*0.01724),0)</f>
        <v>820</v>
      </c>
      <c r="E61" s="20"/>
      <c r="F61" s="20"/>
      <c r="G61" s="20"/>
    </row>
    <row r="62" spans="2:7">
      <c r="B62">
        <v>2034</v>
      </c>
      <c r="C62" s="20"/>
      <c r="D62" s="20">
        <f>ROUND(((D$49*0.2067)*0.01724),0)</f>
        <v>638</v>
      </c>
      <c r="E62" s="20"/>
      <c r="F62" s="20"/>
      <c r="G62" s="20"/>
    </row>
    <row r="63" spans="2:7">
      <c r="B63">
        <v>2035</v>
      </c>
      <c r="C63" s="20"/>
      <c r="D63" s="20">
        <f>ROUND(((D$49*0.1476)*0.01724),0)</f>
        <v>455</v>
      </c>
      <c r="E63" s="20"/>
      <c r="F63" s="20"/>
      <c r="G63" s="20"/>
    </row>
    <row r="64" spans="2:7">
      <c r="B64">
        <v>2036</v>
      </c>
      <c r="C64" s="20"/>
      <c r="D64" s="20">
        <f>ROUND(((D$49*0.0886)*0.01724),0)</f>
        <v>273</v>
      </c>
      <c r="E64" s="20"/>
      <c r="F64" s="20"/>
      <c r="G64" s="20"/>
    </row>
    <row r="65" spans="2:7">
      <c r="B65">
        <v>2037</v>
      </c>
      <c r="C65" s="20"/>
      <c r="D65" s="20">
        <f>ROUND(((D$49*0.0295)*0.01724),0)</f>
        <v>91</v>
      </c>
      <c r="E65" s="20"/>
      <c r="F65" s="20"/>
      <c r="G65" s="20"/>
    </row>
    <row r="66" spans="2:7">
      <c r="C66" s="20"/>
      <c r="D66" s="20"/>
      <c r="E66" s="20"/>
      <c r="F66" s="20"/>
      <c r="G66" s="20"/>
    </row>
    <row r="67" spans="2:7">
      <c r="C67" s="20"/>
      <c r="D67" s="20"/>
      <c r="E67" s="20"/>
      <c r="F67" s="20"/>
      <c r="G67" s="20"/>
    </row>
    <row r="68" spans="2:7">
      <c r="C68" s="20"/>
      <c r="D68" s="20">
        <f>SUM(D51:D67)</f>
        <v>21109</v>
      </c>
      <c r="E68" s="20"/>
      <c r="F68" s="20"/>
      <c r="G68" s="20"/>
    </row>
  </sheetData>
  <phoneticPr fontId="3" type="noConversion"/>
  <pageMargins left="0.7" right="0.7" top="0.75" bottom="0.75" header="0.3" footer="0.3"/>
  <pageSetup scale="51" orientation="portrait" horizontalDpi="4294967292" verticalDpi="4294967292"/>
  <rowBreaks count="1" manualBreakCount="1">
    <brk id="68" max="16383" man="1"/>
  </rowBreaks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M38"/>
  <sheetViews>
    <sheetView workbookViewId="0">
      <selection activeCell="B5" sqref="B5"/>
    </sheetView>
  </sheetViews>
  <sheetFormatPr defaultColWidth="8.85546875" defaultRowHeight="14.1"/>
  <cols>
    <col min="3" max="3" width="2.85546875" customWidth="1"/>
    <col min="4" max="4" width="5.85546875" customWidth="1"/>
    <col min="8" max="8" width="25.85546875" customWidth="1"/>
    <col min="9" max="9" width="10.85546875" customWidth="1"/>
  </cols>
  <sheetData>
    <row r="4" spans="3:13">
      <c r="C4" s="1" t="s">
        <v>32</v>
      </c>
    </row>
    <row r="5" spans="3:13">
      <c r="C5" s="1" t="s">
        <v>33</v>
      </c>
    </row>
    <row r="6" spans="3:13">
      <c r="I6" s="2"/>
      <c r="J6" s="2"/>
      <c r="K6" s="2"/>
      <c r="L6" s="2"/>
      <c r="M6" s="2"/>
    </row>
    <row r="7" spans="3:13">
      <c r="C7" t="s">
        <v>34</v>
      </c>
      <c r="I7" s="2"/>
      <c r="J7" s="2"/>
      <c r="K7" s="2"/>
      <c r="L7" s="2"/>
      <c r="M7" s="2"/>
    </row>
    <row r="8" spans="3:13">
      <c r="D8" t="s">
        <v>35</v>
      </c>
      <c r="I8" s="2"/>
      <c r="J8" s="2"/>
      <c r="K8" s="2"/>
      <c r="L8" s="2"/>
      <c r="M8" s="2"/>
    </row>
    <row r="9" spans="3:13">
      <c r="E9" t="s">
        <v>36</v>
      </c>
      <c r="I9" s="2">
        <v>21940</v>
      </c>
      <c r="J9" s="2"/>
      <c r="K9" s="2"/>
      <c r="L9" s="2"/>
      <c r="M9" s="2"/>
    </row>
    <row r="10" spans="3:13">
      <c r="I10" s="2"/>
      <c r="J10" s="2"/>
      <c r="K10" s="2"/>
      <c r="L10" s="2"/>
      <c r="M10" s="2"/>
    </row>
    <row r="11" spans="3:13">
      <c r="I11" s="2"/>
      <c r="J11" s="2"/>
      <c r="K11" s="2"/>
      <c r="L11" s="2"/>
      <c r="M11" s="2"/>
    </row>
    <row r="12" spans="3:13">
      <c r="I12" s="2"/>
      <c r="J12" s="2"/>
      <c r="K12" s="2"/>
      <c r="L12" s="2"/>
      <c r="M12" s="2"/>
    </row>
    <row r="13" spans="3:13">
      <c r="I13" s="2"/>
      <c r="J13" s="2"/>
      <c r="K13" s="2"/>
      <c r="L13" s="2"/>
      <c r="M13" s="2"/>
    </row>
    <row r="14" spans="3:13">
      <c r="I14" s="2"/>
      <c r="J14" s="2"/>
      <c r="K14" s="2"/>
      <c r="L14" s="2"/>
      <c r="M14" s="2"/>
    </row>
    <row r="15" spans="3:13">
      <c r="I15" s="2"/>
      <c r="J15" s="2"/>
      <c r="K15" s="2"/>
      <c r="L15" s="2"/>
      <c r="M15" s="2"/>
    </row>
    <row r="16" spans="3:13">
      <c r="C16" t="s">
        <v>37</v>
      </c>
      <c r="I16" s="2"/>
      <c r="J16" s="2"/>
      <c r="K16" s="2"/>
      <c r="L16" s="2"/>
      <c r="M16" s="2"/>
    </row>
    <row r="17" spans="3:13">
      <c r="D17" t="s">
        <v>38</v>
      </c>
      <c r="I17" s="2"/>
      <c r="J17" s="2"/>
      <c r="K17" s="2"/>
      <c r="L17" s="2"/>
      <c r="M17" s="2"/>
    </row>
    <row r="18" spans="3:13">
      <c r="D18" t="s">
        <v>39</v>
      </c>
      <c r="I18" s="2">
        <v>575000</v>
      </c>
      <c r="J18" s="2"/>
      <c r="K18" s="2"/>
      <c r="L18" s="2"/>
      <c r="M18" s="2"/>
    </row>
    <row r="19" spans="3:13">
      <c r="I19" s="2"/>
      <c r="J19" s="2"/>
      <c r="K19" s="2"/>
      <c r="L19" s="2"/>
      <c r="M19" s="2"/>
    </row>
    <row r="20" spans="3:13">
      <c r="C20" t="s">
        <v>40</v>
      </c>
      <c r="I20" s="2"/>
      <c r="J20" s="2"/>
      <c r="K20" s="2"/>
      <c r="L20" s="2"/>
      <c r="M20" s="2"/>
    </row>
    <row r="21" spans="3:13">
      <c r="I21" s="2"/>
      <c r="J21" s="2"/>
      <c r="K21" s="2"/>
      <c r="L21" s="2"/>
      <c r="M21" s="2"/>
    </row>
    <row r="22" spans="3:13">
      <c r="D22" t="s">
        <v>41</v>
      </c>
      <c r="I22" s="2">
        <v>13500</v>
      </c>
      <c r="J22" s="2"/>
      <c r="K22" s="2"/>
      <c r="L22" s="2"/>
      <c r="M22" s="2"/>
    </row>
    <row r="23" spans="3:13">
      <c r="D23" t="s">
        <v>42</v>
      </c>
      <c r="I23" s="2">
        <v>36270</v>
      </c>
      <c r="J23" s="2"/>
      <c r="K23" s="2"/>
      <c r="L23" s="2"/>
      <c r="M23" s="2"/>
    </row>
    <row r="24" spans="3:13">
      <c r="D24" t="s">
        <v>43</v>
      </c>
      <c r="I24" s="2">
        <v>2000</v>
      </c>
      <c r="J24" s="2"/>
      <c r="K24" s="2"/>
      <c r="L24" s="2"/>
      <c r="M24" s="2"/>
    </row>
    <row r="25" spans="3:13">
      <c r="D25" t="s">
        <v>44</v>
      </c>
      <c r="I25" s="3">
        <v>4500</v>
      </c>
      <c r="J25" s="2"/>
      <c r="K25" s="2"/>
      <c r="L25" s="2"/>
      <c r="M25" s="2"/>
    </row>
    <row r="26" spans="3:13">
      <c r="I26" s="2"/>
      <c r="J26" s="2"/>
      <c r="K26" s="2"/>
      <c r="L26" s="2"/>
      <c r="M26" s="2"/>
    </row>
    <row r="27" spans="3:13" ht="15" thickBot="1">
      <c r="F27" s="1" t="s">
        <v>45</v>
      </c>
      <c r="I27" s="4">
        <f>SUM(I9:I25)</f>
        <v>653210</v>
      </c>
      <c r="J27" s="2"/>
      <c r="K27" s="2"/>
      <c r="L27" s="2"/>
      <c r="M27" s="2"/>
    </row>
    <row r="28" spans="3:13" ht="15" thickTop="1">
      <c r="I28" s="2"/>
      <c r="J28" s="2"/>
      <c r="K28" s="2"/>
      <c r="L28" s="2"/>
      <c r="M28" s="2"/>
    </row>
    <row r="29" spans="3:13">
      <c r="C29" t="s">
        <v>46</v>
      </c>
      <c r="I29" s="2">
        <f>+'Attachment L_2 '!J17</f>
        <v>474266</v>
      </c>
      <c r="J29" s="2"/>
      <c r="K29" s="2"/>
      <c r="L29" s="2"/>
      <c r="M29" s="2"/>
    </row>
    <row r="30" spans="3:13">
      <c r="C30" t="s">
        <v>47</v>
      </c>
      <c r="I30" s="2">
        <f>+I27-I29</f>
        <v>178944</v>
      </c>
      <c r="J30" s="2"/>
      <c r="K30" s="2"/>
      <c r="L30" s="2"/>
      <c r="M30" s="2"/>
    </row>
    <row r="31" spans="3:13">
      <c r="I31" s="2"/>
      <c r="J31" s="2"/>
      <c r="K31" s="2"/>
      <c r="L31" s="2"/>
      <c r="M31" s="2"/>
    </row>
    <row r="32" spans="3:13">
      <c r="C32" t="s">
        <v>48</v>
      </c>
      <c r="I32" s="2"/>
      <c r="J32" s="2"/>
      <c r="K32" s="2"/>
      <c r="L32" s="2"/>
      <c r="M32" s="2"/>
    </row>
    <row r="33" spans="4:13">
      <c r="D33" t="s">
        <v>6</v>
      </c>
      <c r="I33" s="2">
        <f>+'Attachment L_2 '!I15</f>
        <v>178944</v>
      </c>
      <c r="J33" s="2"/>
      <c r="K33" s="2"/>
      <c r="L33" s="2"/>
      <c r="M33" s="2"/>
    </row>
    <row r="34" spans="4:13">
      <c r="D34" t="s">
        <v>49</v>
      </c>
      <c r="I34" s="2">
        <v>0</v>
      </c>
      <c r="J34" s="2"/>
      <c r="K34" s="2"/>
      <c r="L34" s="2"/>
      <c r="M34" s="2"/>
    </row>
    <row r="35" spans="4:13">
      <c r="D35" t="s">
        <v>50</v>
      </c>
      <c r="I35" s="3">
        <v>0</v>
      </c>
      <c r="J35" s="2"/>
      <c r="K35" s="2"/>
      <c r="L35" s="2"/>
      <c r="M35" s="2"/>
    </row>
    <row r="36" spans="4:13">
      <c r="I36" s="2"/>
      <c r="J36" s="2"/>
      <c r="K36" s="2"/>
      <c r="L36" s="2"/>
      <c r="M36" s="2"/>
    </row>
    <row r="37" spans="4:13" ht="15" thickBot="1">
      <c r="I37" s="4">
        <f>SUM(I33:I36)</f>
        <v>178944</v>
      </c>
      <c r="J37" s="2"/>
      <c r="K37" s="2"/>
      <c r="L37" s="2"/>
      <c r="M37" s="2"/>
    </row>
    <row r="38" spans="4:13" ht="15" thickTop="1">
      <c r="I38" s="2"/>
      <c r="J38" s="2"/>
      <c r="K38" s="2"/>
      <c r="L38" s="2"/>
      <c r="M38" s="2"/>
    </row>
  </sheetData>
  <phoneticPr fontId="3" type="noConversion"/>
  <pageMargins left="0.7" right="0.7" top="0.75" bottom="0.75" header="0.3" footer="0.3"/>
  <pageSetup scale="95" orientation="portrait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H28"/>
  <sheetViews>
    <sheetView workbookViewId="0">
      <selection activeCell="G33" sqref="G33"/>
    </sheetView>
  </sheetViews>
  <sheetFormatPr defaultColWidth="8.85546875" defaultRowHeight="14.1"/>
  <cols>
    <col min="7" max="7" width="9.85546875" bestFit="1" customWidth="1"/>
  </cols>
  <sheetData>
    <row r="5" spans="2:8">
      <c r="B5" s="1" t="s">
        <v>51</v>
      </c>
    </row>
    <row r="6" spans="2:8">
      <c r="B6" s="1" t="s">
        <v>52</v>
      </c>
    </row>
    <row r="9" spans="2:8">
      <c r="B9" t="s">
        <v>53</v>
      </c>
      <c r="G9" s="2">
        <v>0</v>
      </c>
      <c r="H9" s="2"/>
    </row>
    <row r="10" spans="2:8">
      <c r="B10" t="s">
        <v>6</v>
      </c>
      <c r="G10" s="2">
        <f>+'Attachment L_2 '!I15</f>
        <v>178944</v>
      </c>
      <c r="H10" s="2"/>
    </row>
    <row r="11" spans="2:8">
      <c r="B11" t="s">
        <v>54</v>
      </c>
      <c r="G11" s="2">
        <v>0</v>
      </c>
      <c r="H11" s="2"/>
    </row>
    <row r="12" spans="2:8">
      <c r="B12" t="s">
        <v>55</v>
      </c>
      <c r="G12" s="2">
        <f>+'Attachment H'!I34</f>
        <v>0</v>
      </c>
      <c r="H12" s="2"/>
    </row>
    <row r="13" spans="2:8">
      <c r="B13" t="s">
        <v>50</v>
      </c>
      <c r="G13" s="3">
        <v>0</v>
      </c>
      <c r="H13" s="2"/>
    </row>
    <row r="14" spans="2:8">
      <c r="G14" s="2"/>
      <c r="H14" s="2"/>
    </row>
    <row r="15" spans="2:8">
      <c r="C15" t="s">
        <v>56</v>
      </c>
      <c r="G15" s="2">
        <f>SUM(G9:G14)</f>
        <v>178944</v>
      </c>
      <c r="H15" s="2"/>
    </row>
    <row r="16" spans="2:8">
      <c r="C16" t="s">
        <v>46</v>
      </c>
      <c r="G16" s="3">
        <f>+'Attachment L_2 '!J17</f>
        <v>474266</v>
      </c>
      <c r="H16" s="2"/>
    </row>
    <row r="17" spans="3:8">
      <c r="G17" s="2"/>
      <c r="H17" s="2"/>
    </row>
    <row r="18" spans="3:8" ht="15" thickBot="1">
      <c r="C18" t="s">
        <v>45</v>
      </c>
      <c r="G18" s="4">
        <f>+'Attachment H'!I27</f>
        <v>653210</v>
      </c>
      <c r="H18" s="2"/>
    </row>
    <row r="19" spans="3:8" ht="15" thickTop="1">
      <c r="G19" s="2"/>
      <c r="H19" s="2"/>
    </row>
    <row r="20" spans="3:8" ht="15" thickBot="1">
      <c r="C20" t="s">
        <v>57</v>
      </c>
      <c r="G20" s="5">
        <f>ROUND((G15/G18),2)</f>
        <v>0.27</v>
      </c>
      <c r="H20" s="2"/>
    </row>
    <row r="21" spans="3:8" ht="15" thickTop="1">
      <c r="G21" s="2"/>
      <c r="H21" s="2"/>
    </row>
    <row r="22" spans="3:8">
      <c r="G22" s="2"/>
      <c r="H22" s="2"/>
    </row>
    <row r="23" spans="3:8">
      <c r="G23" s="2"/>
      <c r="H23" s="2"/>
    </row>
    <row r="24" spans="3:8">
      <c r="G24" s="2"/>
      <c r="H24" s="2"/>
    </row>
    <row r="25" spans="3:8">
      <c r="G25" s="2"/>
      <c r="H25" s="2"/>
    </row>
    <row r="26" spans="3:8">
      <c r="G26" s="2"/>
      <c r="H26" s="2"/>
    </row>
    <row r="27" spans="3:8">
      <c r="G27" s="2"/>
      <c r="H27" s="2"/>
    </row>
    <row r="28" spans="3:8">
      <c r="G28" s="2"/>
      <c r="H28" s="2"/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workbookViewId="0">
      <selection activeCell="D21" sqref="D21"/>
    </sheetView>
  </sheetViews>
  <sheetFormatPr defaultColWidth="8.85546875" defaultRowHeight="14.1"/>
  <cols>
    <col min="1" max="1" width="16.85546875" customWidth="1"/>
    <col min="2" max="2" width="12.85546875" customWidth="1"/>
    <col min="3" max="3" width="10.85546875" customWidth="1"/>
    <col min="4" max="4" width="13.85546875" customWidth="1"/>
    <col min="5" max="6" width="15.85546875" customWidth="1"/>
    <col min="7" max="7" width="20.85546875" customWidth="1"/>
    <col min="8" max="8" width="22.85546875" customWidth="1"/>
    <col min="9" max="10" width="25.85546875" customWidth="1"/>
    <col min="11" max="13" width="12.85546875" customWidth="1"/>
  </cols>
  <sheetData>
    <row r="1" spans="1:13">
      <c r="A1" t="s">
        <v>58</v>
      </c>
    </row>
    <row r="2" spans="1:13">
      <c r="A2" s="1" t="s">
        <v>59</v>
      </c>
      <c r="L2" s="1"/>
    </row>
    <row r="3" spans="1:13" ht="56.1">
      <c r="A3" s="12" t="s">
        <v>60</v>
      </c>
      <c r="B3" s="12" t="s">
        <v>61</v>
      </c>
      <c r="C3" s="12" t="s">
        <v>62</v>
      </c>
      <c r="D3" s="7" t="s">
        <v>63</v>
      </c>
      <c r="E3" s="7" t="s">
        <v>64</v>
      </c>
      <c r="F3" s="7" t="s">
        <v>65</v>
      </c>
      <c r="G3" s="7" t="s">
        <v>66</v>
      </c>
      <c r="H3" s="7" t="s">
        <v>67</v>
      </c>
      <c r="I3" s="7" t="s">
        <v>68</v>
      </c>
      <c r="J3" s="7" t="s">
        <v>69</v>
      </c>
      <c r="K3" s="12" t="s">
        <v>70</v>
      </c>
      <c r="L3" s="12" t="s">
        <v>71</v>
      </c>
      <c r="M3" s="12" t="s">
        <v>72</v>
      </c>
    </row>
    <row r="4" spans="1:13">
      <c r="A4" t="s">
        <v>73</v>
      </c>
      <c r="B4" t="s">
        <v>74</v>
      </c>
      <c r="C4" s="13">
        <v>1</v>
      </c>
      <c r="D4" s="11">
        <v>32624.566044242896</v>
      </c>
      <c r="E4" s="11">
        <v>352.65054903136212</v>
      </c>
      <c r="F4" s="11">
        <v>255.17276867069478</v>
      </c>
      <c r="G4" s="8">
        <f>ROUND((E4/(E4+F4)),4)</f>
        <v>0.58020000000000005</v>
      </c>
      <c r="H4" s="6">
        <f>ROUND((200*G4),2)</f>
        <v>116.04</v>
      </c>
      <c r="I4" s="6">
        <f t="shared" ref="I4:I12" si="0">ROUND((C4*H4*10*12),2)</f>
        <v>13924.8</v>
      </c>
      <c r="J4" s="6">
        <f>+D4-I4</f>
        <v>18699.766044242897</v>
      </c>
      <c r="K4" t="b">
        <v>1</v>
      </c>
      <c r="L4" t="b">
        <v>0</v>
      </c>
      <c r="M4" t="s">
        <v>75</v>
      </c>
    </row>
    <row r="5" spans="1:13">
      <c r="A5" t="s">
        <v>76</v>
      </c>
      <c r="B5" t="s">
        <v>74</v>
      </c>
      <c r="C5" s="13">
        <v>1</v>
      </c>
      <c r="D5" s="11">
        <v>21064.080445758889</v>
      </c>
      <c r="E5" s="11">
        <v>228.14025853450994</v>
      </c>
      <c r="F5" s="11">
        <v>168.47734095570064</v>
      </c>
      <c r="G5" s="8">
        <f t="shared" ref="G5:G12" si="1">ROUND((E5/(E5+F5)),4)</f>
        <v>0.57520000000000004</v>
      </c>
      <c r="H5" s="6">
        <f t="shared" ref="H5:H12" si="2">ROUND((200*G5),2)</f>
        <v>115.04</v>
      </c>
      <c r="I5" s="6">
        <f t="shared" si="0"/>
        <v>13804.8</v>
      </c>
      <c r="J5" s="6">
        <f t="shared" ref="J5:J12" si="3">+D5-I5</f>
        <v>7259.28044575889</v>
      </c>
      <c r="K5" t="b">
        <v>1</v>
      </c>
      <c r="L5" t="b">
        <v>0</v>
      </c>
      <c r="M5" t="s">
        <v>75</v>
      </c>
    </row>
    <row r="6" spans="1:13">
      <c r="A6" t="s">
        <v>77</v>
      </c>
      <c r="B6" t="s">
        <v>74</v>
      </c>
      <c r="C6" s="13">
        <v>1</v>
      </c>
      <c r="D6" s="11">
        <v>14350.949255400259</v>
      </c>
      <c r="E6" s="11">
        <v>155.68434302064594</v>
      </c>
      <c r="F6" s="11">
        <v>117.94127716309204</v>
      </c>
      <c r="G6" s="8">
        <f t="shared" si="1"/>
        <v>0.56899999999999995</v>
      </c>
      <c r="H6" s="6">
        <f t="shared" si="2"/>
        <v>113.8</v>
      </c>
      <c r="I6" s="6">
        <f t="shared" si="0"/>
        <v>13656</v>
      </c>
      <c r="J6" s="6">
        <f t="shared" si="3"/>
        <v>694.94925540025906</v>
      </c>
      <c r="K6" t="b">
        <v>1</v>
      </c>
      <c r="L6" t="b">
        <v>0</v>
      </c>
      <c r="M6" t="s">
        <v>75</v>
      </c>
    </row>
    <row r="7" spans="1:13">
      <c r="A7" t="s">
        <v>78</v>
      </c>
      <c r="B7" t="s">
        <v>74</v>
      </c>
      <c r="C7" s="13">
        <v>1</v>
      </c>
      <c r="D7" s="11">
        <v>23642.000099907309</v>
      </c>
      <c r="E7" s="11">
        <v>255.89188744857211</v>
      </c>
      <c r="F7" s="11">
        <v>188.04881642810716</v>
      </c>
      <c r="G7" s="8">
        <f t="shared" si="1"/>
        <v>0.57640000000000002</v>
      </c>
      <c r="H7" s="6">
        <f t="shared" si="2"/>
        <v>115.28</v>
      </c>
      <c r="I7" s="6">
        <f t="shared" si="0"/>
        <v>13833.6</v>
      </c>
      <c r="J7" s="6">
        <f t="shared" si="3"/>
        <v>9808.4000999073087</v>
      </c>
      <c r="K7" t="b">
        <v>1</v>
      </c>
      <c r="L7" t="b">
        <v>0</v>
      </c>
      <c r="M7" t="s">
        <v>75</v>
      </c>
    </row>
    <row r="8" spans="1:13">
      <c r="A8" t="s">
        <v>79</v>
      </c>
      <c r="B8" t="s">
        <v>74</v>
      </c>
      <c r="C8" s="13">
        <v>2</v>
      </c>
      <c r="D8" s="11">
        <v>42655.590197319456</v>
      </c>
      <c r="E8" s="11">
        <v>231.21603169401402</v>
      </c>
      <c r="F8" s="11">
        <v>171.17128187637985</v>
      </c>
      <c r="G8" s="8">
        <f t="shared" si="1"/>
        <v>0.5746</v>
      </c>
      <c r="H8" s="6">
        <f t="shared" si="2"/>
        <v>114.92</v>
      </c>
      <c r="I8" s="6">
        <f t="shared" si="0"/>
        <v>27580.799999999999</v>
      </c>
      <c r="J8" s="6">
        <f t="shared" si="3"/>
        <v>15074.790197319457</v>
      </c>
      <c r="K8" t="b">
        <v>1</v>
      </c>
      <c r="L8" t="b">
        <v>0</v>
      </c>
      <c r="M8" t="s">
        <v>75</v>
      </c>
    </row>
    <row r="9" spans="1:13">
      <c r="A9" t="s">
        <v>80</v>
      </c>
      <c r="B9" t="s">
        <v>74</v>
      </c>
      <c r="C9" s="13">
        <v>2</v>
      </c>
      <c r="D9" s="11">
        <v>29171.979136997652</v>
      </c>
      <c r="E9" s="11">
        <v>158.13313476296378</v>
      </c>
      <c r="F9" s="11">
        <v>119.51256823835934</v>
      </c>
      <c r="G9" s="8">
        <f t="shared" si="1"/>
        <v>0.5696</v>
      </c>
      <c r="H9" s="6">
        <f t="shared" si="2"/>
        <v>113.92</v>
      </c>
      <c r="I9" s="6">
        <f t="shared" si="0"/>
        <v>27340.799999999999</v>
      </c>
      <c r="J9" s="6">
        <f t="shared" si="3"/>
        <v>1831.1791369976527</v>
      </c>
      <c r="K9" t="b">
        <v>1</v>
      </c>
      <c r="L9" t="b">
        <v>0</v>
      </c>
      <c r="M9" t="s">
        <v>75</v>
      </c>
    </row>
    <row r="10" spans="1:13">
      <c r="A10" t="s">
        <v>81</v>
      </c>
      <c r="B10" t="s">
        <v>74</v>
      </c>
      <c r="C10" s="13">
        <v>1</v>
      </c>
      <c r="D10" s="11">
        <v>21487.511505607323</v>
      </c>
      <c r="E10" s="11">
        <v>232.71960412015369</v>
      </c>
      <c r="F10" s="11">
        <v>171.74151184655028</v>
      </c>
      <c r="G10" s="8">
        <f t="shared" si="1"/>
        <v>0.57540000000000002</v>
      </c>
      <c r="H10" s="6">
        <f t="shared" si="2"/>
        <v>115.08</v>
      </c>
      <c r="I10" s="6">
        <f t="shared" si="0"/>
        <v>13809.6</v>
      </c>
      <c r="J10" s="6">
        <f t="shared" si="3"/>
        <v>7677.9115056073224</v>
      </c>
      <c r="K10" t="b">
        <v>1</v>
      </c>
      <c r="L10" t="b">
        <v>0</v>
      </c>
      <c r="M10" t="s">
        <v>75</v>
      </c>
    </row>
    <row r="11" spans="1:13">
      <c r="A11" t="s">
        <v>82</v>
      </c>
      <c r="B11" t="s">
        <v>74</v>
      </c>
      <c r="C11" s="13">
        <v>2</v>
      </c>
      <c r="D11" s="11">
        <v>29586.876452527409</v>
      </c>
      <c r="E11" s="11">
        <v>160.50047406459825</v>
      </c>
      <c r="F11" s="11">
        <v>121.29100511506893</v>
      </c>
      <c r="G11" s="8">
        <f t="shared" si="1"/>
        <v>0.5696</v>
      </c>
      <c r="H11" s="6">
        <f t="shared" si="2"/>
        <v>113.92</v>
      </c>
      <c r="I11" s="6">
        <f t="shared" si="0"/>
        <v>27340.799999999999</v>
      </c>
      <c r="J11" s="6">
        <f t="shared" si="3"/>
        <v>2246.0764525274099</v>
      </c>
      <c r="K11" t="b">
        <v>1</v>
      </c>
      <c r="L11" t="b">
        <v>0</v>
      </c>
      <c r="M11" t="s">
        <v>75</v>
      </c>
    </row>
    <row r="12" spans="1:13">
      <c r="A12" t="s">
        <v>83</v>
      </c>
      <c r="B12" t="s">
        <v>74</v>
      </c>
      <c r="C12" s="13">
        <v>2</v>
      </c>
      <c r="D12" s="11">
        <v>58934.806864252227</v>
      </c>
      <c r="E12" s="11">
        <v>320.9236188591351</v>
      </c>
      <c r="F12" s="11">
        <v>236.15728562720301</v>
      </c>
      <c r="G12" s="8">
        <f t="shared" si="1"/>
        <v>0.57609999999999995</v>
      </c>
      <c r="H12" s="6">
        <f t="shared" si="2"/>
        <v>115.22</v>
      </c>
      <c r="I12" s="6">
        <f t="shared" si="0"/>
        <v>27652.799999999999</v>
      </c>
      <c r="J12" s="6">
        <f t="shared" si="3"/>
        <v>31282.006864252227</v>
      </c>
      <c r="K12" t="b">
        <v>1</v>
      </c>
      <c r="L12" t="b">
        <v>0</v>
      </c>
      <c r="M12" t="s">
        <v>75</v>
      </c>
    </row>
    <row r="13" spans="1:13">
      <c r="A13" s="10"/>
      <c r="C13" s="13"/>
      <c r="D13" s="11"/>
      <c r="E13" s="11"/>
      <c r="F13" s="11"/>
      <c r="G13" s="8"/>
      <c r="H13" s="6"/>
      <c r="I13" s="6"/>
      <c r="J13" s="6"/>
    </row>
    <row r="14" spans="1:13">
      <c r="A14" s="14"/>
      <c r="D14" s="6"/>
      <c r="E14" s="6"/>
      <c r="F14" s="6"/>
      <c r="G14" s="6"/>
      <c r="H14" s="6"/>
      <c r="I14" s="6"/>
      <c r="J14" s="6"/>
    </row>
    <row r="15" spans="1:13">
      <c r="A15" s="14"/>
      <c r="B15" t="s">
        <v>84</v>
      </c>
      <c r="C15">
        <f>SUM(C4:C14)</f>
        <v>13</v>
      </c>
      <c r="D15" s="6">
        <f>SUM(D4:D14)</f>
        <v>273518.36000201345</v>
      </c>
      <c r="E15" s="6"/>
      <c r="F15" s="6"/>
      <c r="G15" s="6"/>
      <c r="H15" s="6"/>
      <c r="I15" s="6">
        <f>SUM(I4:I14)</f>
        <v>178944</v>
      </c>
      <c r="J15" s="6">
        <f>SUM(J4:J14)</f>
        <v>94574.360002013433</v>
      </c>
    </row>
    <row r="16" spans="1:13">
      <c r="D16" s="6"/>
      <c r="E16" s="6"/>
      <c r="F16" s="6"/>
      <c r="G16" s="6"/>
      <c r="H16" s="6"/>
      <c r="I16" s="6"/>
      <c r="J16" s="6"/>
    </row>
    <row r="17" spans="4:10">
      <c r="D17" s="6"/>
      <c r="E17" s="6"/>
      <c r="F17" s="6"/>
      <c r="G17" s="6"/>
      <c r="H17" s="9" t="s">
        <v>85</v>
      </c>
      <c r="I17" s="9"/>
      <c r="J17" s="9">
        <f>+'Attachment L_1'!G18-'Attachment L_2 '!I15</f>
        <v>474266</v>
      </c>
    </row>
    <row r="18" spans="4:10">
      <c r="D18" s="6"/>
      <c r="E18" s="6"/>
      <c r="F18" s="6"/>
      <c r="G18" s="6"/>
      <c r="H18" s="6"/>
      <c r="I18" s="6"/>
      <c r="J18" s="6"/>
    </row>
    <row r="19" spans="4:10">
      <c r="D19" s="6"/>
      <c r="E19" s="6"/>
      <c r="F19" s="6"/>
      <c r="G19" s="6"/>
      <c r="H19" s="6"/>
      <c r="I19" s="6"/>
      <c r="J19" s="6"/>
    </row>
    <row r="20" spans="4:10">
      <c r="D20" s="6"/>
      <c r="E20" s="6"/>
      <c r="F20" s="6"/>
      <c r="G20" s="6"/>
      <c r="H20" s="6"/>
      <c r="I20" s="6"/>
      <c r="J20" s="6"/>
    </row>
    <row r="21" spans="4:10">
      <c r="D21" s="6"/>
      <c r="E21" s="6"/>
      <c r="F21" s="6"/>
      <c r="G21" s="6"/>
      <c r="H21" s="6"/>
      <c r="I21" s="6"/>
      <c r="J21" s="6"/>
    </row>
  </sheetData>
  <phoneticPr fontId="3" type="noConversion"/>
  <pageMargins left="0.7" right="0.7" top="0.75" bottom="0.75" header="0.3" footer="0.3"/>
  <pageSetup scale="38" orientation="portrait" horizontalDpi="4294967295" verticalDpi="4294967295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F08767B7D02488818CBBD161AF80D" ma:contentTypeVersion="4" ma:contentTypeDescription="Create a new document." ma:contentTypeScope="" ma:versionID="9dde97f8fa9a5a4a43451537fa30f61d">
  <xsd:schema xmlns:xsd="http://www.w3.org/2001/XMLSchema" xmlns:xs="http://www.w3.org/2001/XMLSchema" xmlns:p="http://schemas.microsoft.com/office/2006/metadata/properties" xmlns:ns2="10fa9d04-633e-480e-8b6a-a3d0d51354c1" targetNamespace="http://schemas.microsoft.com/office/2006/metadata/properties" ma:root="true" ma:fieldsID="96907fc5357a70c08b31d632903b26af" ns2:_="">
    <xsd:import namespace="10fa9d04-633e-480e-8b6a-a3d0d51354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a9d04-633e-480e-8b6a-a3d0d51354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D61D20-1C63-4EF5-AB8C-E1466E57D7BD}"/>
</file>

<file path=customXml/itemProps2.xml><?xml version="1.0" encoding="utf-8"?>
<ds:datastoreItem xmlns:ds="http://schemas.openxmlformats.org/officeDocument/2006/customXml" ds:itemID="{10FBAEA9-A551-4ABC-92B8-8CF6440BE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Latitude E5570</dc:creator>
  <cp:keywords/>
  <dc:description/>
  <cp:lastModifiedBy>joene@mongooptics.com</cp:lastModifiedBy>
  <cp:revision/>
  <dcterms:created xsi:type="dcterms:W3CDTF">2020-03-20T17:58:33Z</dcterms:created>
  <dcterms:modified xsi:type="dcterms:W3CDTF">2022-06-23T12:24:22Z</dcterms:modified>
  <cp:category/>
  <cp:contentStatus/>
</cp:coreProperties>
</file>