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tcjet-my.sharepoint.com/personal/dmccorkle_atcjet_com/Documents/Documents/NBBP/Submission Files/"/>
    </mc:Choice>
  </mc:AlternateContent>
  <xr:revisionPtr revIDLastSave="0" documentId="8_{B7E936C3-E217-4643-B3F0-22AA0EBB96BB}" xr6:coauthVersionLast="47" xr6:coauthVersionMax="47" xr10:uidLastSave="{00000000-0000-0000-0000-000000000000}"/>
  <bookViews>
    <workbookView xWindow="-29445" yWindow="-1125" windowWidth="27075" windowHeight="15600" activeTab="2" xr2:uid="{710233CE-2CD0-4BB3-842D-442A0587FD4B}"/>
  </bookViews>
  <sheets>
    <sheet name="Attachment G" sheetId="7" r:id="rId1"/>
    <sheet name="Attachment L" sheetId="9" r:id="rId2"/>
    <sheet name="Attachment H" sheetId="8" r:id="rId3"/>
  </sheets>
  <definedNames>
    <definedName name="_xlnm.Print_Area" localSheetId="0">'Attachment G'!#REF!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8" l="1"/>
  <c r="G12" i="9"/>
  <c r="G15" i="9" s="1"/>
  <c r="V24" i="7" l="1"/>
  <c r="V23" i="7"/>
  <c r="V22" i="7"/>
  <c r="T21" i="7"/>
  <c r="S21" i="7"/>
  <c r="R21" i="7"/>
  <c r="Q21" i="7"/>
  <c r="P21" i="7"/>
  <c r="O21" i="7"/>
  <c r="N21" i="7"/>
  <c r="M21" i="7"/>
  <c r="L21" i="7"/>
  <c r="K21" i="7"/>
  <c r="J21" i="7"/>
  <c r="L20" i="7"/>
  <c r="M20" i="7" s="1"/>
  <c r="V11" i="7"/>
  <c r="J10" i="7"/>
  <c r="V10" i="7" s="1"/>
  <c r="H39" i="7"/>
  <c r="H41" i="7"/>
  <c r="H40" i="7"/>
  <c r="H38" i="7"/>
  <c r="F43" i="7"/>
  <c r="I27" i="8"/>
  <c r="I29" i="8" s="1"/>
  <c r="G16" i="9" s="1"/>
  <c r="G18" i="9" s="1"/>
  <c r="G20" i="9" s="1"/>
  <c r="J18" i="7" l="1"/>
  <c r="J9" i="7"/>
  <c r="D51" i="7" s="1"/>
  <c r="D57" i="7" s="1"/>
  <c r="O25" i="7" s="1"/>
  <c r="J28" i="7"/>
  <c r="V21" i="7"/>
  <c r="N20" i="7"/>
  <c r="D65" i="7"/>
  <c r="D66" i="7"/>
  <c r="D56" i="7"/>
  <c r="N25" i="7" s="1"/>
  <c r="D62" i="7"/>
  <c r="T25" i="7" s="1"/>
  <c r="D55" i="7"/>
  <c r="M25" i="7" s="1"/>
  <c r="M28" i="7" s="1"/>
  <c r="D58" i="7"/>
  <c r="P25" i="7" s="1"/>
  <c r="H43" i="7"/>
  <c r="I30" i="8"/>
  <c r="D61" i="7" l="1"/>
  <c r="S25" i="7" s="1"/>
  <c r="D54" i="7"/>
  <c r="L25" i="7" s="1"/>
  <c r="L28" i="7" s="1"/>
  <c r="D59" i="7"/>
  <c r="Q25" i="7" s="1"/>
  <c r="D60" i="7"/>
  <c r="R25" i="7" s="1"/>
  <c r="D53" i="7"/>
  <c r="K25" i="7" s="1"/>
  <c r="D67" i="7"/>
  <c r="D63" i="7"/>
  <c r="D64" i="7"/>
  <c r="O20" i="7"/>
  <c r="N28" i="7"/>
  <c r="Q43" i="7"/>
  <c r="Q8" i="7" s="1"/>
  <c r="M43" i="7"/>
  <c r="M8" i="7" s="1"/>
  <c r="T43" i="7"/>
  <c r="T8" i="7" s="1"/>
  <c r="P43" i="7"/>
  <c r="P8" i="7" s="1"/>
  <c r="L43" i="7"/>
  <c r="L8" i="7" s="1"/>
  <c r="N43" i="7"/>
  <c r="N8" i="7" s="1"/>
  <c r="S43" i="7"/>
  <c r="S8" i="7" s="1"/>
  <c r="O43" i="7"/>
  <c r="O8" i="7" s="1"/>
  <c r="K43" i="7"/>
  <c r="K8" i="7" s="1"/>
  <c r="R43" i="7"/>
  <c r="R8" i="7" s="1"/>
  <c r="J43" i="7"/>
  <c r="J8" i="7" s="1"/>
  <c r="D70" i="7" l="1"/>
  <c r="K28" i="7"/>
  <c r="V25" i="7"/>
  <c r="P20" i="7"/>
  <c r="O28" i="7"/>
  <c r="J13" i="7"/>
  <c r="J30" i="7" s="1"/>
  <c r="Q20" i="7" l="1"/>
  <c r="P28" i="7"/>
  <c r="J32" i="7"/>
  <c r="R20" i="7" l="1"/>
  <c r="Q28" i="7"/>
  <c r="V18" i="7"/>
  <c r="K13" i="7"/>
  <c r="K30" i="7" s="1"/>
  <c r="V9" i="7"/>
  <c r="S20" i="7" l="1"/>
  <c r="R28" i="7"/>
  <c r="O13" i="7"/>
  <c r="O30" i="7" s="1"/>
  <c r="P13" i="7"/>
  <c r="P30" i="7" s="1"/>
  <c r="S13" i="7"/>
  <c r="R13" i="7"/>
  <c r="N13" i="7"/>
  <c r="N30" i="7" s="1"/>
  <c r="Q13" i="7"/>
  <c r="Q30" i="7" s="1"/>
  <c r="M13" i="7"/>
  <c r="M30" i="7" s="1"/>
  <c r="R30" i="7" l="1"/>
  <c r="T20" i="7"/>
  <c r="S28" i="7"/>
  <c r="S30" i="7" s="1"/>
  <c r="K32" i="7"/>
  <c r="T13" i="7"/>
  <c r="V8" i="7"/>
  <c r="V13" i="7" s="1"/>
  <c r="L13" i="7"/>
  <c r="L30" i="7" s="1"/>
  <c r="T28" i="7" l="1"/>
  <c r="T30" i="7" s="1"/>
  <c r="V20" i="7"/>
  <c r="L32" i="7"/>
  <c r="M32" i="7" s="1"/>
  <c r="N32" i="7" s="1"/>
  <c r="O32" i="7" s="1"/>
  <c r="P32" i="7" s="1"/>
  <c r="Q32" i="7" s="1"/>
  <c r="R32" i="7" s="1"/>
  <c r="S32" i="7" s="1"/>
  <c r="T32" i="7" l="1"/>
  <c r="V28" i="7"/>
  <c r="V30" i="7" s="1"/>
</calcChain>
</file>

<file path=xl/sharedStrings.xml><?xml version="1.0" encoding="utf-8"?>
<sst xmlns="http://schemas.openxmlformats.org/spreadsheetml/2006/main" count="81" uniqueCount="69">
  <si>
    <t>Total</t>
  </si>
  <si>
    <t>Advertising/customer acquisition costs</t>
  </si>
  <si>
    <t>Billing and collection costs</t>
  </si>
  <si>
    <t>Maintenance costs</t>
  </si>
  <si>
    <t>Other general and administrative</t>
  </si>
  <si>
    <t>Cash Sources:</t>
  </si>
  <si>
    <t>Cash Uses:</t>
  </si>
  <si>
    <t>Total Cash Sources</t>
  </si>
  <si>
    <t>Total Cash Uses</t>
  </si>
  <si>
    <t>Net Inflow (Outflow)</t>
  </si>
  <si>
    <t>Cumulative Flows</t>
  </si>
  <si>
    <t>Additional wages/benefits</t>
  </si>
  <si>
    <t>Personal property taxes</t>
  </si>
  <si>
    <t>Grant Proceeds</t>
  </si>
  <si>
    <t>Attachment H:</t>
  </si>
  <si>
    <t>Proposed Grant Budget and Funding Breakdown:</t>
  </si>
  <si>
    <t>Engineering Costs:</t>
  </si>
  <si>
    <t>Data Collection</t>
  </si>
  <si>
    <t>Pole Make Ready Costs</t>
  </si>
  <si>
    <t>Additional GIS Data</t>
  </si>
  <si>
    <t>FTTH Route Design</t>
  </si>
  <si>
    <t>Drop Design</t>
  </si>
  <si>
    <t>Mainline Fiber:</t>
  </si>
  <si>
    <t>Plowed from Arapahoe Telephone exchange boundary</t>
  </si>
  <si>
    <t>FTTH Big Springs Builout:</t>
  </si>
  <si>
    <t>to Big Springs city limits ($15,000 per mile; 5.7 miles)</t>
  </si>
  <si>
    <t>Aerial Cost ($850 per location; 195 locations)</t>
  </si>
  <si>
    <t>Drops and CPE Electronics ($475 per location; 195 locations)</t>
  </si>
  <si>
    <t>Electronics Cabinet, Generator and Transmission Equipment</t>
  </si>
  <si>
    <t>Total Project Cost</t>
  </si>
  <si>
    <t>Grant Amount Requested</t>
  </si>
  <si>
    <t>Contributed by Grant Applicant</t>
  </si>
  <si>
    <t>Breakdown of Grant Applicant Contribution:</t>
  </si>
  <si>
    <t xml:space="preserve">Project Management (including bidding services, materials </t>
  </si>
  <si>
    <t>procurement and construction observation)</t>
  </si>
  <si>
    <t>Total Project Costs</t>
  </si>
  <si>
    <t>Three Public WIFi Projects</t>
  </si>
  <si>
    <t>In-Kind Contribution-materials</t>
  </si>
  <si>
    <t>Subscriber revenue</t>
  </si>
  <si>
    <t>Operating Expenses:</t>
  </si>
  <si>
    <t>Projected Subscriber Revenue:</t>
  </si>
  <si>
    <t>Low income/discounted subscribers</t>
  </si>
  <si>
    <t>Monthly</t>
  </si>
  <si>
    <t>Charge</t>
  </si>
  <si>
    <t>Annual</t>
  </si>
  <si>
    <t>Revenue</t>
  </si>
  <si>
    <t>Low speed subscribers</t>
  </si>
  <si>
    <t>Moderate speed subscribers</t>
  </si>
  <si>
    <t>High speed subscribers</t>
  </si>
  <si>
    <t>50% Take</t>
  </si>
  <si>
    <t>40% Take</t>
  </si>
  <si>
    <t>65% Take</t>
  </si>
  <si>
    <t>Projected Cash Flows for Project:</t>
  </si>
  <si>
    <t>Subscribers</t>
  </si>
  <si>
    <t>Total (Olsson location counts)</t>
  </si>
  <si>
    <t>Personal Property Taxes:</t>
  </si>
  <si>
    <t>Attachment G:</t>
  </si>
  <si>
    <t>Attachment L:</t>
  </si>
  <si>
    <t>Match Source Documentation:</t>
  </si>
  <si>
    <t>Community Partner Match</t>
  </si>
  <si>
    <t>ACAM Funding</t>
  </si>
  <si>
    <t>RDOF Funding</t>
  </si>
  <si>
    <t>In-Kind Contributions-Materials and Supplies</t>
  </si>
  <si>
    <t>In-Kind Contribution-Materials and Supplies</t>
  </si>
  <si>
    <t>Total Matching Contribution</t>
  </si>
  <si>
    <t>Grant Match Percentage</t>
  </si>
  <si>
    <t>Grant applicant will provide invoice documentation with reimbursement request for materials and supplies</t>
  </si>
  <si>
    <t xml:space="preserve">  used and invoices paid with internal cash. </t>
  </si>
  <si>
    <t>Internal Financing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</si>
</sst>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3" fontId="0" fillId="0" borderId="0" xfId="0" applyNumberFormat="1"/>
    <xf numFmtId="0" fontId="1" fillId="0" borderId="0" xfId="0" applyFont="1" applyAlignment="1">
      <alignment horizontal="center"/>
    </xf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164" fontId="0" fillId="0" borderId="0" xfId="0" applyNumberFormat="1" applyBorder="1"/>
    <xf numFmtId="164" fontId="0" fillId="0" borderId="0" xfId="0" applyNumberFormat="1" applyAlignment="1">
      <alignment horizontal="center"/>
    </xf>
    <xf numFmtId="1" fontId="0" fillId="0" borderId="0" xfId="0" applyNumberFormat="1"/>
    <xf numFmtId="9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DDD70-762D-474B-8000-A152B4DA7809}">
  <sheetPr>
    <pageSetUpPr fitToPage="1"/>
  </sheetPr>
  <dimension ref="B1:X70"/>
  <sheetViews>
    <sheetView zoomScale="90" zoomScaleNormal="90" workbookViewId="0">
      <selection activeCell="B1" sqref="B1:W47"/>
    </sheetView>
  </sheetViews>
  <sheetFormatPr defaultRowHeight="15" x14ac:dyDescent="0.25"/>
  <cols>
    <col min="9" max="9" width="2.7109375" customWidth="1"/>
    <col min="10" max="20" width="10.7109375" customWidth="1"/>
    <col min="22" max="22" width="10.7109375" customWidth="1"/>
    <col min="23" max="23" width="1.7109375" customWidth="1"/>
    <col min="24" max="24" width="20.7109375" customWidth="1"/>
    <col min="25" max="25" width="9.5703125" bestFit="1" customWidth="1"/>
    <col min="26" max="26" width="10.7109375" customWidth="1"/>
    <col min="36" max="36" width="10.7109375" customWidth="1"/>
    <col min="38" max="39" width="10.7109375" customWidth="1"/>
    <col min="49" max="49" width="10.7109375" customWidth="1"/>
  </cols>
  <sheetData>
    <row r="1" spans="2:24" x14ac:dyDescent="0.25">
      <c r="B1" s="1" t="s">
        <v>56</v>
      </c>
    </row>
    <row r="2" spans="2:24" x14ac:dyDescent="0.25">
      <c r="B2" s="1" t="s">
        <v>52</v>
      </c>
    </row>
    <row r="4" spans="2:24" x14ac:dyDescent="0.25">
      <c r="X4" s="3"/>
    </row>
    <row r="5" spans="2:24" x14ac:dyDescent="0.25">
      <c r="J5" s="3">
        <v>2022</v>
      </c>
      <c r="K5" s="3">
        <v>2023</v>
      </c>
      <c r="L5" s="3">
        <v>2024</v>
      </c>
      <c r="M5" s="3">
        <v>2025</v>
      </c>
      <c r="N5" s="3">
        <v>2026</v>
      </c>
      <c r="O5" s="3">
        <v>2027</v>
      </c>
      <c r="P5" s="3">
        <v>2028</v>
      </c>
      <c r="Q5" s="3">
        <v>2029</v>
      </c>
      <c r="R5" s="3">
        <v>2030</v>
      </c>
      <c r="S5" s="3">
        <v>2031</v>
      </c>
      <c r="T5" s="3">
        <v>2032</v>
      </c>
      <c r="U5" s="3"/>
      <c r="V5" s="3" t="s">
        <v>0</v>
      </c>
      <c r="X5" s="3"/>
    </row>
    <row r="6" spans="2:24" x14ac:dyDescent="0.25">
      <c r="B6" s="1" t="s">
        <v>5</v>
      </c>
    </row>
    <row r="8" spans="2:24" x14ac:dyDescent="0.25">
      <c r="B8" t="s">
        <v>38</v>
      </c>
      <c r="J8" s="4">
        <f>+J43</f>
        <v>51000</v>
      </c>
      <c r="K8" s="4">
        <f t="shared" ref="K8:T8" si="0">+K43</f>
        <v>63750</v>
      </c>
      <c r="L8" s="4">
        <f t="shared" si="0"/>
        <v>82875</v>
      </c>
      <c r="M8" s="4">
        <f t="shared" si="0"/>
        <v>82875</v>
      </c>
      <c r="N8" s="4">
        <f t="shared" si="0"/>
        <v>82875</v>
      </c>
      <c r="O8" s="4">
        <f t="shared" si="0"/>
        <v>82875</v>
      </c>
      <c r="P8" s="4">
        <f t="shared" si="0"/>
        <v>82875</v>
      </c>
      <c r="Q8" s="4">
        <f t="shared" si="0"/>
        <v>82875</v>
      </c>
      <c r="R8" s="4">
        <f t="shared" si="0"/>
        <v>82875</v>
      </c>
      <c r="S8" s="4">
        <f t="shared" si="0"/>
        <v>82875</v>
      </c>
      <c r="T8" s="4">
        <f t="shared" si="0"/>
        <v>82875</v>
      </c>
      <c r="U8" s="4"/>
      <c r="V8" s="4">
        <f>SUM(J8:U8)</f>
        <v>860625</v>
      </c>
      <c r="W8" s="4"/>
      <c r="X8" s="4"/>
    </row>
    <row r="9" spans="2:24" x14ac:dyDescent="0.25">
      <c r="B9" t="s">
        <v>13</v>
      </c>
      <c r="J9" s="4">
        <f>+'Attachment H'!I29</f>
        <v>254075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>
        <f>SUM(J9:U9)</f>
        <v>254075</v>
      </c>
      <c r="W9" s="4"/>
      <c r="X9" s="4"/>
    </row>
    <row r="10" spans="2:24" x14ac:dyDescent="0.25">
      <c r="B10" t="s">
        <v>37</v>
      </c>
      <c r="J10" s="4">
        <f>+'Attachment H'!I33</f>
        <v>1000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>
        <f t="shared" ref="V10:V11" si="1">SUM(J10:U10)</f>
        <v>1000</v>
      </c>
      <c r="W10" s="4"/>
      <c r="X10" s="4"/>
    </row>
    <row r="11" spans="2:24" x14ac:dyDescent="0.25">
      <c r="B11" t="s">
        <v>68</v>
      </c>
      <c r="J11" s="5">
        <v>253075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4"/>
      <c r="V11" s="5">
        <f t="shared" si="1"/>
        <v>253075</v>
      </c>
      <c r="W11" s="4"/>
      <c r="X11" s="10"/>
    </row>
    <row r="12" spans="2:24" x14ac:dyDescent="0.25"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2:24" x14ac:dyDescent="0.25">
      <c r="E13" s="1" t="s">
        <v>7</v>
      </c>
      <c r="J13" s="5">
        <f t="shared" ref="J13:T13" si="2">SUM(J8:J12)</f>
        <v>559150</v>
      </c>
      <c r="K13" s="5">
        <f t="shared" si="2"/>
        <v>63750</v>
      </c>
      <c r="L13" s="5">
        <f t="shared" si="2"/>
        <v>82875</v>
      </c>
      <c r="M13" s="5">
        <f t="shared" si="2"/>
        <v>82875</v>
      </c>
      <c r="N13" s="5">
        <f t="shared" si="2"/>
        <v>82875</v>
      </c>
      <c r="O13" s="5">
        <f t="shared" si="2"/>
        <v>82875</v>
      </c>
      <c r="P13" s="5">
        <f t="shared" si="2"/>
        <v>82875</v>
      </c>
      <c r="Q13" s="5">
        <f t="shared" si="2"/>
        <v>82875</v>
      </c>
      <c r="R13" s="5">
        <f t="shared" si="2"/>
        <v>82875</v>
      </c>
      <c r="S13" s="5">
        <f t="shared" si="2"/>
        <v>82875</v>
      </c>
      <c r="T13" s="5">
        <f t="shared" si="2"/>
        <v>82875</v>
      </c>
      <c r="U13" s="4"/>
      <c r="V13" s="5">
        <f>SUM(V8:V12)</f>
        <v>1368775</v>
      </c>
      <c r="W13" s="4"/>
      <c r="X13" s="10"/>
    </row>
    <row r="14" spans="2:24" x14ac:dyDescent="0.25"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2:24" x14ac:dyDescent="0.25">
      <c r="B15" s="1" t="s">
        <v>6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2:24" x14ac:dyDescent="0.25"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2:24" x14ac:dyDescent="0.25"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2:24" x14ac:dyDescent="0.25">
      <c r="B18" t="s">
        <v>35</v>
      </c>
      <c r="J18" s="4">
        <f>+'Attachment H'!I27</f>
        <v>508150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>
        <f>SUM(J18:U18)</f>
        <v>508150</v>
      </c>
      <c r="W18" s="4"/>
      <c r="X18" s="4"/>
    </row>
    <row r="19" spans="2:24" x14ac:dyDescent="0.25">
      <c r="B19" t="s">
        <v>39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2:24" x14ac:dyDescent="0.25">
      <c r="B20" t="s">
        <v>1</v>
      </c>
      <c r="J20" s="4">
        <v>19500</v>
      </c>
      <c r="K20" s="4">
        <v>4000</v>
      </c>
      <c r="L20" s="4">
        <f>+K20</f>
        <v>4000</v>
      </c>
      <c r="M20" s="4">
        <f t="shared" ref="M20:T20" si="3">+L20</f>
        <v>4000</v>
      </c>
      <c r="N20" s="4">
        <f t="shared" si="3"/>
        <v>4000</v>
      </c>
      <c r="O20" s="4">
        <f t="shared" si="3"/>
        <v>4000</v>
      </c>
      <c r="P20" s="4">
        <f t="shared" si="3"/>
        <v>4000</v>
      </c>
      <c r="Q20" s="4">
        <f t="shared" si="3"/>
        <v>4000</v>
      </c>
      <c r="R20" s="4">
        <f t="shared" si="3"/>
        <v>4000</v>
      </c>
      <c r="S20" s="4">
        <f t="shared" si="3"/>
        <v>4000</v>
      </c>
      <c r="T20" s="4">
        <f t="shared" si="3"/>
        <v>4000</v>
      </c>
      <c r="U20" s="4"/>
      <c r="V20" s="4">
        <f t="shared" ref="V20:V25" si="4">SUM(J20:U20)</f>
        <v>59500</v>
      </c>
      <c r="W20" s="4"/>
      <c r="X20" s="4"/>
    </row>
    <row r="21" spans="2:24" x14ac:dyDescent="0.25">
      <c r="B21" t="s">
        <v>2</v>
      </c>
      <c r="J21" s="4">
        <f>ROUND(((0.7*J46)*12),0)</f>
        <v>655</v>
      </c>
      <c r="K21" s="4">
        <f t="shared" ref="K21:T21" si="5">ROUND(((0.7*K46)*12),0)</f>
        <v>823</v>
      </c>
      <c r="L21" s="4">
        <f t="shared" si="5"/>
        <v>1067</v>
      </c>
      <c r="M21" s="4">
        <f t="shared" si="5"/>
        <v>1067</v>
      </c>
      <c r="N21" s="4">
        <f t="shared" si="5"/>
        <v>1067</v>
      </c>
      <c r="O21" s="4">
        <f t="shared" si="5"/>
        <v>1067</v>
      </c>
      <c r="P21" s="4">
        <f t="shared" si="5"/>
        <v>1067</v>
      </c>
      <c r="Q21" s="4">
        <f t="shared" si="5"/>
        <v>1067</v>
      </c>
      <c r="R21" s="4">
        <f t="shared" si="5"/>
        <v>1067</v>
      </c>
      <c r="S21" s="4">
        <f t="shared" si="5"/>
        <v>1067</v>
      </c>
      <c r="T21" s="4">
        <f t="shared" si="5"/>
        <v>1067</v>
      </c>
      <c r="U21" s="4"/>
      <c r="V21" s="4">
        <f t="shared" si="4"/>
        <v>11081</v>
      </c>
      <c r="W21" s="4"/>
      <c r="X21" s="4"/>
    </row>
    <row r="22" spans="2:24" x14ac:dyDescent="0.25">
      <c r="B22" t="s">
        <v>3</v>
      </c>
      <c r="J22" s="4">
        <v>2000</v>
      </c>
      <c r="K22" s="4">
        <v>9750</v>
      </c>
      <c r="L22" s="4">
        <v>9750</v>
      </c>
      <c r="M22" s="4">
        <v>9750</v>
      </c>
      <c r="N22" s="4">
        <v>9750</v>
      </c>
      <c r="O22" s="4">
        <v>9750</v>
      </c>
      <c r="P22" s="4">
        <v>9750</v>
      </c>
      <c r="Q22" s="4">
        <v>9750</v>
      </c>
      <c r="R22" s="4">
        <v>9750</v>
      </c>
      <c r="S22" s="4">
        <v>9750</v>
      </c>
      <c r="T22" s="4">
        <v>9750</v>
      </c>
      <c r="U22" s="4"/>
      <c r="V22" s="4">
        <f t="shared" si="4"/>
        <v>99500</v>
      </c>
      <c r="W22" s="4"/>
      <c r="X22" s="4"/>
    </row>
    <row r="23" spans="2:24" x14ac:dyDescent="0.25">
      <c r="B23" t="s">
        <v>4</v>
      </c>
      <c r="J23" s="4">
        <v>2000</v>
      </c>
      <c r="K23" s="4">
        <v>2000</v>
      </c>
      <c r="L23" s="4">
        <v>2000</v>
      </c>
      <c r="M23" s="4">
        <v>2000</v>
      </c>
      <c r="N23" s="4">
        <v>2000</v>
      </c>
      <c r="O23" s="4">
        <v>2000</v>
      </c>
      <c r="P23" s="4">
        <v>2000</v>
      </c>
      <c r="Q23" s="4">
        <v>2000</v>
      </c>
      <c r="R23" s="4">
        <v>2000</v>
      </c>
      <c r="S23" s="4">
        <v>2000</v>
      </c>
      <c r="T23" s="4">
        <v>2000</v>
      </c>
      <c r="U23" s="4"/>
      <c r="V23" s="4">
        <f t="shared" si="4"/>
        <v>22000</v>
      </c>
      <c r="W23" s="4"/>
      <c r="X23" s="4"/>
    </row>
    <row r="24" spans="2:24" x14ac:dyDescent="0.25">
      <c r="B24" t="s">
        <v>11</v>
      </c>
      <c r="J24" s="4">
        <v>39000</v>
      </c>
      <c r="K24" s="4">
        <v>39000</v>
      </c>
      <c r="L24" s="4">
        <v>39000</v>
      </c>
      <c r="M24" s="4">
        <v>39000</v>
      </c>
      <c r="N24" s="4">
        <v>39000</v>
      </c>
      <c r="O24" s="4">
        <v>39000</v>
      </c>
      <c r="P24" s="4">
        <v>39000</v>
      </c>
      <c r="Q24" s="4">
        <v>39000</v>
      </c>
      <c r="R24" s="4">
        <v>39000</v>
      </c>
      <c r="S24" s="4">
        <v>39000</v>
      </c>
      <c r="T24" s="4">
        <v>39000</v>
      </c>
      <c r="U24" s="4"/>
      <c r="V24" s="4">
        <f t="shared" si="4"/>
        <v>429000</v>
      </c>
      <c r="W24" s="4"/>
      <c r="X24" s="4"/>
    </row>
    <row r="25" spans="2:24" x14ac:dyDescent="0.25">
      <c r="B25" t="s">
        <v>12</v>
      </c>
      <c r="J25" s="5">
        <v>0</v>
      </c>
      <c r="K25" s="5">
        <f>+D53</f>
        <v>4161</v>
      </c>
      <c r="L25" s="5">
        <f>+D54</f>
        <v>3745</v>
      </c>
      <c r="M25" s="5">
        <f>+D55</f>
        <v>3371</v>
      </c>
      <c r="N25" s="5">
        <f>+D56</f>
        <v>3033</v>
      </c>
      <c r="O25" s="5">
        <f>+D57</f>
        <v>2730</v>
      </c>
      <c r="P25" s="5">
        <f>+D58</f>
        <v>2457</v>
      </c>
      <c r="Q25" s="5">
        <f>+D59</f>
        <v>2198</v>
      </c>
      <c r="R25" s="5">
        <f>+D60</f>
        <v>1940</v>
      </c>
      <c r="S25" s="5">
        <f>+D61</f>
        <v>1681</v>
      </c>
      <c r="T25" s="5">
        <f>+D62</f>
        <v>1423</v>
      </c>
      <c r="U25" s="4"/>
      <c r="V25" s="5">
        <f t="shared" si="4"/>
        <v>26739</v>
      </c>
      <c r="W25" s="4"/>
      <c r="X25" s="4"/>
    </row>
    <row r="26" spans="2:24" x14ac:dyDescent="0.25"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2:24" x14ac:dyDescent="0.25"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2:24" x14ac:dyDescent="0.25">
      <c r="E28" s="1" t="s">
        <v>8</v>
      </c>
      <c r="J28" s="5">
        <f>SUM(J18:J25)</f>
        <v>571305</v>
      </c>
      <c r="K28" s="5">
        <f t="shared" ref="K28:T28" si="6">SUM(K18:K25)</f>
        <v>59734</v>
      </c>
      <c r="L28" s="5">
        <f t="shared" si="6"/>
        <v>59562</v>
      </c>
      <c r="M28" s="5">
        <f t="shared" si="6"/>
        <v>59188</v>
      </c>
      <c r="N28" s="5">
        <f t="shared" si="6"/>
        <v>58850</v>
      </c>
      <c r="O28" s="5">
        <f t="shared" si="6"/>
        <v>58547</v>
      </c>
      <c r="P28" s="5">
        <f t="shared" si="6"/>
        <v>58274</v>
      </c>
      <c r="Q28" s="5">
        <f t="shared" si="6"/>
        <v>58015</v>
      </c>
      <c r="R28" s="5">
        <f t="shared" si="6"/>
        <v>57757</v>
      </c>
      <c r="S28" s="5">
        <f t="shared" si="6"/>
        <v>57498</v>
      </c>
      <c r="T28" s="5">
        <f t="shared" si="6"/>
        <v>57240</v>
      </c>
      <c r="U28" s="4"/>
      <c r="V28" s="5">
        <f>SUM(J28:U28)</f>
        <v>1155970</v>
      </c>
      <c r="W28" s="4"/>
      <c r="X28" s="10"/>
    </row>
    <row r="29" spans="2:24" x14ac:dyDescent="0.25"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2:24" ht="15.75" thickBot="1" x14ac:dyDescent="0.3">
      <c r="E30" s="1" t="s">
        <v>9</v>
      </c>
      <c r="J30" s="6">
        <f>+J13-J28</f>
        <v>-12155</v>
      </c>
      <c r="K30" s="6">
        <f t="shared" ref="K30:V30" si="7">+K13-K28</f>
        <v>4016</v>
      </c>
      <c r="L30" s="6">
        <f t="shared" si="7"/>
        <v>23313</v>
      </c>
      <c r="M30" s="6">
        <f t="shared" si="7"/>
        <v>23687</v>
      </c>
      <c r="N30" s="6">
        <f t="shared" si="7"/>
        <v>24025</v>
      </c>
      <c r="O30" s="6">
        <f t="shared" si="7"/>
        <v>24328</v>
      </c>
      <c r="P30" s="6">
        <f t="shared" si="7"/>
        <v>24601</v>
      </c>
      <c r="Q30" s="6">
        <f t="shared" si="7"/>
        <v>24860</v>
      </c>
      <c r="R30" s="6">
        <f t="shared" si="7"/>
        <v>25118</v>
      </c>
      <c r="S30" s="6">
        <f t="shared" si="7"/>
        <v>25377</v>
      </c>
      <c r="T30" s="6">
        <f t="shared" si="7"/>
        <v>25635</v>
      </c>
      <c r="U30" s="4"/>
      <c r="V30" s="6">
        <f t="shared" si="7"/>
        <v>212805</v>
      </c>
      <c r="W30" s="4"/>
      <c r="X30" s="10"/>
    </row>
    <row r="31" spans="2:24" ht="15.75" thickTop="1" x14ac:dyDescent="0.25">
      <c r="E31" s="1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4"/>
      <c r="V31" s="10"/>
      <c r="W31" s="4"/>
      <c r="X31" s="4"/>
    </row>
    <row r="32" spans="2:24" x14ac:dyDescent="0.25">
      <c r="E32" s="1" t="s">
        <v>10</v>
      </c>
      <c r="J32" s="10">
        <f>+J30</f>
        <v>-12155</v>
      </c>
      <c r="K32" s="10">
        <f>+J32+K30</f>
        <v>-8139</v>
      </c>
      <c r="L32" s="10">
        <f t="shared" ref="L32" si="8">+K32+L30</f>
        <v>15174</v>
      </c>
      <c r="M32" s="10">
        <f t="shared" ref="M32" si="9">+L32+M30</f>
        <v>38861</v>
      </c>
      <c r="N32" s="10">
        <f t="shared" ref="N32" si="10">+M32+N30</f>
        <v>62886</v>
      </c>
      <c r="O32" s="10">
        <f t="shared" ref="O32" si="11">+N32+O30</f>
        <v>87214</v>
      </c>
      <c r="P32" s="10">
        <f t="shared" ref="P32" si="12">+O32+P30</f>
        <v>111815</v>
      </c>
      <c r="Q32" s="10">
        <f t="shared" ref="Q32" si="13">+P32+Q30</f>
        <v>136675</v>
      </c>
      <c r="R32" s="10">
        <f t="shared" ref="R32" si="14">+Q32+R30</f>
        <v>161793</v>
      </c>
      <c r="S32" s="10">
        <f t="shared" ref="S32" si="15">+R32+S30</f>
        <v>187170</v>
      </c>
      <c r="T32" s="10">
        <f t="shared" ref="T32" si="16">+S32+T30</f>
        <v>212805</v>
      </c>
      <c r="U32" s="4"/>
      <c r="V32" s="10"/>
      <c r="W32" s="4"/>
      <c r="X32" s="4"/>
    </row>
    <row r="33" spans="2:24" x14ac:dyDescent="0.25"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5" spans="2:24" x14ac:dyDescent="0.25">
      <c r="G35" s="8" t="s">
        <v>42</v>
      </c>
      <c r="H35" s="8" t="s">
        <v>44</v>
      </c>
      <c r="I35" s="8"/>
      <c r="J35" s="8"/>
      <c r="K35" s="8"/>
      <c r="L35" s="8"/>
    </row>
    <row r="36" spans="2:24" x14ac:dyDescent="0.25">
      <c r="B36" t="s">
        <v>40</v>
      </c>
      <c r="G36" s="8" t="s">
        <v>43</v>
      </c>
      <c r="H36" s="8" t="s">
        <v>45</v>
      </c>
      <c r="I36" s="8"/>
      <c r="J36" s="8"/>
      <c r="K36" s="8"/>
      <c r="L36" s="8"/>
    </row>
    <row r="38" spans="2:24" x14ac:dyDescent="0.25">
      <c r="B38" t="s">
        <v>41</v>
      </c>
      <c r="F38">
        <v>20</v>
      </c>
      <c r="G38" s="4">
        <v>30</v>
      </c>
      <c r="H38" s="4">
        <f>ROUND((F38*G38*12),0)</f>
        <v>7200</v>
      </c>
      <c r="I38" s="4"/>
      <c r="J38" s="4"/>
      <c r="K38" s="4"/>
      <c r="L38" s="4"/>
    </row>
    <row r="39" spans="2:24" x14ac:dyDescent="0.25">
      <c r="B39" t="s">
        <v>46</v>
      </c>
      <c r="F39">
        <v>50</v>
      </c>
      <c r="G39" s="4">
        <v>40</v>
      </c>
      <c r="H39" s="4">
        <f>ROUND((F39*G39*12),0)</f>
        <v>24000</v>
      </c>
      <c r="I39" s="4"/>
      <c r="J39" s="4"/>
      <c r="K39" s="4"/>
      <c r="L39" s="4"/>
    </row>
    <row r="40" spans="2:24" x14ac:dyDescent="0.25">
      <c r="B40" t="s">
        <v>47</v>
      </c>
      <c r="F40">
        <v>105</v>
      </c>
      <c r="G40" s="4">
        <v>65</v>
      </c>
      <c r="H40" s="4">
        <f t="shared" ref="H40:H41" si="17">ROUND((F40*G40*12),0)</f>
        <v>81900</v>
      </c>
      <c r="I40" s="4"/>
      <c r="J40" s="4"/>
      <c r="K40" s="4"/>
      <c r="L40" s="4"/>
    </row>
    <row r="41" spans="2:24" x14ac:dyDescent="0.25">
      <c r="B41" t="s">
        <v>48</v>
      </c>
      <c r="F41" s="7">
        <v>20</v>
      </c>
      <c r="G41" s="4">
        <v>60</v>
      </c>
      <c r="H41" s="5">
        <f t="shared" si="17"/>
        <v>14400</v>
      </c>
      <c r="I41" s="10"/>
      <c r="J41" s="4"/>
      <c r="K41" s="4"/>
      <c r="L41" s="4"/>
    </row>
    <row r="42" spans="2:24" x14ac:dyDescent="0.25">
      <c r="G42" s="4"/>
      <c r="H42" s="4"/>
      <c r="I42" s="4"/>
      <c r="J42" s="4"/>
      <c r="K42" s="4"/>
      <c r="L42" s="4"/>
    </row>
    <row r="43" spans="2:24" ht="15.75" thickBot="1" x14ac:dyDescent="0.3">
      <c r="C43" t="s">
        <v>54</v>
      </c>
      <c r="F43" s="9">
        <f>SUM(F38:F42)</f>
        <v>195</v>
      </c>
      <c r="G43" s="4"/>
      <c r="H43" s="6">
        <f>SUM(H38:H42)</f>
        <v>127500</v>
      </c>
      <c r="I43" s="10"/>
      <c r="J43" s="6">
        <f>ROUND(($H43*0.4),0)</f>
        <v>51000</v>
      </c>
      <c r="K43" s="6">
        <f>ROUND(($H43*0.5),0)</f>
        <v>63750</v>
      </c>
      <c r="L43" s="6">
        <f>ROUND(($H43*0.65),0)</f>
        <v>82875</v>
      </c>
      <c r="M43" s="6">
        <f t="shared" ref="M43:T43" si="18">ROUND(($H43*0.65),0)</f>
        <v>82875</v>
      </c>
      <c r="N43" s="6">
        <f t="shared" si="18"/>
        <v>82875</v>
      </c>
      <c r="O43" s="6">
        <f t="shared" si="18"/>
        <v>82875</v>
      </c>
      <c r="P43" s="6">
        <f t="shared" si="18"/>
        <v>82875</v>
      </c>
      <c r="Q43" s="6">
        <f t="shared" si="18"/>
        <v>82875</v>
      </c>
      <c r="R43" s="6">
        <f t="shared" si="18"/>
        <v>82875</v>
      </c>
      <c r="S43" s="6">
        <f t="shared" si="18"/>
        <v>82875</v>
      </c>
      <c r="T43" s="6">
        <f t="shared" si="18"/>
        <v>82875</v>
      </c>
    </row>
    <row r="44" spans="2:24" ht="15.75" thickTop="1" x14ac:dyDescent="0.25">
      <c r="G44" s="4"/>
      <c r="H44" s="4"/>
      <c r="I44" s="4"/>
      <c r="J44" s="4"/>
      <c r="K44" s="4"/>
      <c r="L44" s="4"/>
    </row>
    <row r="45" spans="2:24" x14ac:dyDescent="0.25">
      <c r="G45" s="4"/>
      <c r="H45" s="4"/>
      <c r="I45" s="4"/>
      <c r="J45" s="11" t="s">
        <v>50</v>
      </c>
      <c r="K45" s="11" t="s">
        <v>49</v>
      </c>
      <c r="L45" s="11" t="s">
        <v>51</v>
      </c>
      <c r="M45" s="11" t="s">
        <v>51</v>
      </c>
      <c r="N45" s="11" t="s">
        <v>51</v>
      </c>
      <c r="O45" s="11" t="s">
        <v>51</v>
      </c>
      <c r="P45" s="11" t="s">
        <v>51</v>
      </c>
      <c r="Q45" s="11" t="s">
        <v>51</v>
      </c>
      <c r="R45" s="11" t="s">
        <v>51</v>
      </c>
      <c r="S45" s="11" t="s">
        <v>51</v>
      </c>
      <c r="T45" s="11" t="s">
        <v>51</v>
      </c>
    </row>
    <row r="46" spans="2:24" x14ac:dyDescent="0.25">
      <c r="G46" s="4"/>
      <c r="H46" s="4" t="s">
        <v>53</v>
      </c>
      <c r="I46" s="4"/>
      <c r="J46" s="12">
        <v>78</v>
      </c>
      <c r="K46" s="12">
        <v>98</v>
      </c>
      <c r="L46" s="12">
        <v>127</v>
      </c>
      <c r="M46" s="12">
        <v>127</v>
      </c>
      <c r="N46" s="12">
        <v>127</v>
      </c>
      <c r="O46" s="12">
        <v>127</v>
      </c>
      <c r="P46" s="12">
        <v>127</v>
      </c>
      <c r="Q46" s="12">
        <v>127</v>
      </c>
      <c r="R46" s="12">
        <v>127</v>
      </c>
      <c r="S46" s="12">
        <v>127</v>
      </c>
      <c r="T46" s="12">
        <v>127</v>
      </c>
    </row>
    <row r="49" spans="2:7" x14ac:dyDescent="0.25">
      <c r="C49" t="s">
        <v>55</v>
      </c>
    </row>
    <row r="51" spans="2:7" x14ac:dyDescent="0.25">
      <c r="C51" s="2"/>
      <c r="D51" s="2">
        <f>+J9</f>
        <v>254075</v>
      </c>
      <c r="E51" s="2"/>
      <c r="F51" s="2"/>
      <c r="G51" s="2"/>
    </row>
    <row r="52" spans="2:7" x14ac:dyDescent="0.25">
      <c r="C52" s="2"/>
      <c r="D52" s="2"/>
      <c r="E52" s="2"/>
      <c r="F52" s="2"/>
      <c r="G52" s="2"/>
    </row>
    <row r="53" spans="2:7" x14ac:dyDescent="0.25">
      <c r="B53">
        <v>2023</v>
      </c>
      <c r="C53" s="2"/>
      <c r="D53" s="2">
        <f>ROUND(((D$51*0.95)*0.01724),0)</f>
        <v>4161</v>
      </c>
      <c r="E53" s="2"/>
      <c r="F53" s="2"/>
      <c r="G53" s="2"/>
    </row>
    <row r="54" spans="2:7" x14ac:dyDescent="0.25">
      <c r="B54">
        <v>2024</v>
      </c>
      <c r="C54" s="2"/>
      <c r="D54" s="2">
        <f>ROUND(((D$51*0.855)*0.01724),0)</f>
        <v>3745</v>
      </c>
      <c r="E54" s="2"/>
      <c r="F54" s="2"/>
      <c r="G54" s="2"/>
    </row>
    <row r="55" spans="2:7" x14ac:dyDescent="0.25">
      <c r="B55">
        <v>2025</v>
      </c>
      <c r="C55" s="2"/>
      <c r="D55" s="2">
        <f>ROUND(((D$51*0.7695)*0.01724),0)</f>
        <v>3371</v>
      </c>
      <c r="E55" s="2"/>
      <c r="F55" s="2"/>
      <c r="G55" s="2"/>
    </row>
    <row r="56" spans="2:7" x14ac:dyDescent="0.25">
      <c r="B56">
        <v>2026</v>
      </c>
      <c r="C56" s="2"/>
      <c r="D56" s="2">
        <f>ROUND(((D$51*0.6925)*0.01724),0)</f>
        <v>3033</v>
      </c>
      <c r="E56" s="2"/>
      <c r="F56" s="2"/>
      <c r="G56" s="2"/>
    </row>
    <row r="57" spans="2:7" x14ac:dyDescent="0.25">
      <c r="B57">
        <v>2027</v>
      </c>
      <c r="C57" s="2"/>
      <c r="D57" s="2">
        <f>ROUND(((D$51*0.6232)*0.01724),0)</f>
        <v>2730</v>
      </c>
      <c r="E57" s="2"/>
      <c r="F57" s="2"/>
      <c r="G57" s="2"/>
    </row>
    <row r="58" spans="2:7" x14ac:dyDescent="0.25">
      <c r="B58">
        <v>2028</v>
      </c>
      <c r="C58" s="2"/>
      <c r="D58" s="2">
        <f>ROUND(((D$51*0.5609)*0.01724),0)</f>
        <v>2457</v>
      </c>
      <c r="E58" s="2"/>
      <c r="F58" s="2"/>
      <c r="G58" s="2"/>
    </row>
    <row r="59" spans="2:7" x14ac:dyDescent="0.25">
      <c r="B59">
        <v>2029</v>
      </c>
      <c r="C59" s="2"/>
      <c r="D59" s="2">
        <f>ROUND(((D$51*0.5019)*0.01724),0)</f>
        <v>2198</v>
      </c>
      <c r="E59" s="2"/>
      <c r="F59" s="2"/>
      <c r="G59" s="2"/>
    </row>
    <row r="60" spans="2:7" x14ac:dyDescent="0.25">
      <c r="B60">
        <v>2030</v>
      </c>
      <c r="C60" s="2"/>
      <c r="D60" s="2">
        <f>ROUND(((D$51*0.4429)*0.01724),0)</f>
        <v>1940</v>
      </c>
      <c r="E60" s="2"/>
      <c r="F60" s="2"/>
      <c r="G60" s="2"/>
    </row>
    <row r="61" spans="2:7" x14ac:dyDescent="0.25">
      <c r="B61">
        <v>2031</v>
      </c>
      <c r="C61" s="2"/>
      <c r="D61" s="2">
        <f>ROUND(((D$51*0.3838)*0.01724),0)</f>
        <v>1681</v>
      </c>
      <c r="E61" s="2"/>
      <c r="F61" s="2"/>
      <c r="G61" s="2"/>
    </row>
    <row r="62" spans="2:7" x14ac:dyDescent="0.25">
      <c r="B62">
        <v>2032</v>
      </c>
      <c r="C62" s="2"/>
      <c r="D62" s="2">
        <f>ROUND(((D$51*0.3248)*0.01724),0)</f>
        <v>1423</v>
      </c>
      <c r="E62" s="2"/>
      <c r="F62" s="2"/>
      <c r="G62" s="2"/>
    </row>
    <row r="63" spans="2:7" x14ac:dyDescent="0.25">
      <c r="B63">
        <v>2033</v>
      </c>
      <c r="C63" s="2"/>
      <c r="D63" s="2">
        <f>ROUND(((D$51*0.2657)*0.01724),0)</f>
        <v>1164</v>
      </c>
      <c r="E63" s="2"/>
      <c r="F63" s="2"/>
      <c r="G63" s="2"/>
    </row>
    <row r="64" spans="2:7" x14ac:dyDescent="0.25">
      <c r="B64">
        <v>2034</v>
      </c>
      <c r="C64" s="2"/>
      <c r="D64" s="2">
        <f>ROUND(((D$51*0.2067)*0.01724),0)</f>
        <v>905</v>
      </c>
      <c r="E64" s="2"/>
      <c r="F64" s="2"/>
      <c r="G64" s="2"/>
    </row>
    <row r="65" spans="2:7" x14ac:dyDescent="0.25">
      <c r="B65">
        <v>2035</v>
      </c>
      <c r="C65" s="2"/>
      <c r="D65" s="2">
        <f>ROUND(((D$51*0.1476)*0.01724),0)</f>
        <v>647</v>
      </c>
      <c r="E65" s="2"/>
      <c r="F65" s="2"/>
      <c r="G65" s="2"/>
    </row>
    <row r="66" spans="2:7" x14ac:dyDescent="0.25">
      <c r="B66">
        <v>2036</v>
      </c>
      <c r="C66" s="2"/>
      <c r="D66" s="2">
        <f>ROUND(((D$51*0.0886)*0.01724),0)</f>
        <v>388</v>
      </c>
      <c r="E66" s="2"/>
      <c r="F66" s="2"/>
      <c r="G66" s="2"/>
    </row>
    <row r="67" spans="2:7" x14ac:dyDescent="0.25">
      <c r="B67">
        <v>2037</v>
      </c>
      <c r="C67" s="2"/>
      <c r="D67" s="2">
        <f>ROUND(((D$51*0.0295)*0.01724),0)</f>
        <v>129</v>
      </c>
      <c r="E67" s="2"/>
      <c r="F67" s="2"/>
      <c r="G67" s="2"/>
    </row>
    <row r="68" spans="2:7" x14ac:dyDescent="0.25">
      <c r="C68" s="2"/>
      <c r="D68" s="2"/>
      <c r="E68" s="2"/>
      <c r="F68" s="2"/>
      <c r="G68" s="2"/>
    </row>
    <row r="69" spans="2:7" x14ac:dyDescent="0.25">
      <c r="C69" s="2"/>
      <c r="D69" s="2"/>
      <c r="E69" s="2"/>
      <c r="F69" s="2"/>
      <c r="G69" s="2"/>
    </row>
    <row r="70" spans="2:7" x14ac:dyDescent="0.25">
      <c r="C70" s="2"/>
      <c r="D70" s="2">
        <f>SUM(D53:D69)</f>
        <v>29972</v>
      </c>
      <c r="E70" s="2"/>
      <c r="F70" s="2"/>
      <c r="G70" s="2"/>
    </row>
  </sheetData>
  <pageMargins left="0.7" right="0.7" top="0.75" bottom="0.75" header="0.3" footer="0.3"/>
  <pageSetup scale="4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AA797-69C8-4017-93B1-90DB78E21FAA}">
  <dimension ref="B5:H28"/>
  <sheetViews>
    <sheetView workbookViewId="0">
      <selection activeCell="B23" sqref="B23"/>
    </sheetView>
  </sheetViews>
  <sheetFormatPr defaultRowHeight="15" x14ac:dyDescent="0.25"/>
  <sheetData>
    <row r="5" spans="2:8" x14ac:dyDescent="0.25">
      <c r="B5" s="1" t="s">
        <v>57</v>
      </c>
    </row>
    <row r="6" spans="2:8" x14ac:dyDescent="0.25">
      <c r="B6" s="1" t="s">
        <v>58</v>
      </c>
    </row>
    <row r="9" spans="2:8" x14ac:dyDescent="0.25">
      <c r="B9" t="s">
        <v>59</v>
      </c>
      <c r="G9" s="4">
        <v>0</v>
      </c>
      <c r="H9" s="4"/>
    </row>
    <row r="10" spans="2:8" x14ac:dyDescent="0.25">
      <c r="B10" t="s">
        <v>60</v>
      </c>
      <c r="G10" s="4">
        <v>0</v>
      </c>
      <c r="H10" s="4"/>
    </row>
    <row r="11" spans="2:8" x14ac:dyDescent="0.25">
      <c r="B11" t="s">
        <v>61</v>
      </c>
      <c r="G11" s="4">
        <v>0</v>
      </c>
      <c r="H11" s="4"/>
    </row>
    <row r="12" spans="2:8" x14ac:dyDescent="0.25">
      <c r="B12" t="s">
        <v>62</v>
      </c>
      <c r="G12" s="4">
        <f>+'Attachment H'!I33</f>
        <v>1000</v>
      </c>
      <c r="H12" s="4"/>
    </row>
    <row r="13" spans="2:8" x14ac:dyDescent="0.25">
      <c r="B13" t="s">
        <v>68</v>
      </c>
      <c r="G13" s="5">
        <v>253075</v>
      </c>
      <c r="H13" s="4"/>
    </row>
    <row r="14" spans="2:8" x14ac:dyDescent="0.25">
      <c r="G14" s="4"/>
      <c r="H14" s="4"/>
    </row>
    <row r="15" spans="2:8" x14ac:dyDescent="0.25">
      <c r="C15" t="s">
        <v>64</v>
      </c>
      <c r="G15" s="4">
        <f>SUM(G9:G14)</f>
        <v>254075</v>
      </c>
      <c r="H15" s="4"/>
    </row>
    <row r="16" spans="2:8" x14ac:dyDescent="0.25">
      <c r="C16" t="s">
        <v>30</v>
      </c>
      <c r="G16" s="5">
        <f>+'Attachment H'!I29</f>
        <v>254075</v>
      </c>
      <c r="H16" s="4"/>
    </row>
    <row r="17" spans="2:8" x14ac:dyDescent="0.25">
      <c r="G17" s="4"/>
      <c r="H17" s="4"/>
    </row>
    <row r="18" spans="2:8" ht="15.75" thickBot="1" x14ac:dyDescent="0.3">
      <c r="C18" t="s">
        <v>29</v>
      </c>
      <c r="G18" s="6">
        <f>+G15+G16</f>
        <v>508150</v>
      </c>
      <c r="H18" s="4"/>
    </row>
    <row r="19" spans="2:8" ht="15.75" thickTop="1" x14ac:dyDescent="0.25">
      <c r="G19" s="4"/>
      <c r="H19" s="4"/>
    </row>
    <row r="20" spans="2:8" ht="15.75" thickBot="1" x14ac:dyDescent="0.3">
      <c r="C20" t="s">
        <v>65</v>
      </c>
      <c r="G20" s="13">
        <f>ROUND((G15/G18),2)</f>
        <v>0.5</v>
      </c>
      <c r="H20" s="4"/>
    </row>
    <row r="21" spans="2:8" ht="15.75" thickTop="1" x14ac:dyDescent="0.25">
      <c r="G21" s="4"/>
      <c r="H21" s="4"/>
    </row>
    <row r="22" spans="2:8" x14ac:dyDescent="0.25">
      <c r="G22" s="4"/>
      <c r="H22" s="4"/>
    </row>
    <row r="23" spans="2:8" x14ac:dyDescent="0.25">
      <c r="G23" s="4"/>
      <c r="H23" s="4"/>
    </row>
    <row r="24" spans="2:8" x14ac:dyDescent="0.25">
      <c r="B24" t="s">
        <v>66</v>
      </c>
      <c r="G24" s="4"/>
      <c r="H24" s="4"/>
    </row>
    <row r="25" spans="2:8" x14ac:dyDescent="0.25">
      <c r="B25" t="s">
        <v>67</v>
      </c>
      <c r="G25" s="4"/>
      <c r="H25" s="4"/>
    </row>
    <row r="26" spans="2:8" x14ac:dyDescent="0.25">
      <c r="G26" s="4"/>
      <c r="H26" s="4"/>
    </row>
    <row r="27" spans="2:8" x14ac:dyDescent="0.25">
      <c r="G27" s="4"/>
      <c r="H27" s="4"/>
    </row>
    <row r="28" spans="2:8" x14ac:dyDescent="0.25">
      <c r="G28" s="4"/>
      <c r="H28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F73FC-7255-4A14-B714-422B7929C0B8}">
  <dimension ref="C4:M37"/>
  <sheetViews>
    <sheetView tabSelected="1" workbookViewId="0">
      <selection activeCell="Q22" sqref="Q22"/>
    </sheetView>
  </sheetViews>
  <sheetFormatPr defaultRowHeight="15" x14ac:dyDescent="0.25"/>
  <cols>
    <col min="3" max="3" width="2.7109375" customWidth="1"/>
    <col min="4" max="4" width="1.7109375" customWidth="1"/>
    <col min="8" max="8" width="25.7109375" customWidth="1"/>
  </cols>
  <sheetData>
    <row r="4" spans="3:13" x14ac:dyDescent="0.25">
      <c r="C4" s="1" t="s">
        <v>14</v>
      </c>
    </row>
    <row r="5" spans="3:13" x14ac:dyDescent="0.25">
      <c r="C5" s="1" t="s">
        <v>15</v>
      </c>
    </row>
    <row r="6" spans="3:13" x14ac:dyDescent="0.25">
      <c r="I6" s="4"/>
      <c r="J6" s="4"/>
      <c r="K6" s="4"/>
      <c r="L6" s="4"/>
      <c r="M6" s="4"/>
    </row>
    <row r="7" spans="3:13" x14ac:dyDescent="0.25">
      <c r="C7" t="s">
        <v>16</v>
      </c>
      <c r="I7" s="4"/>
      <c r="J7" s="4"/>
      <c r="K7" s="4"/>
      <c r="L7" s="4"/>
      <c r="M7" s="4"/>
    </row>
    <row r="8" spans="3:13" x14ac:dyDescent="0.25">
      <c r="D8" t="s">
        <v>33</v>
      </c>
      <c r="I8" s="4"/>
      <c r="J8" s="4"/>
      <c r="K8" s="4"/>
      <c r="L8" s="4"/>
      <c r="M8" s="4"/>
    </row>
    <row r="9" spans="3:13" x14ac:dyDescent="0.25">
      <c r="E9" t="s">
        <v>34</v>
      </c>
      <c r="I9" s="4">
        <v>23245</v>
      </c>
      <c r="J9" s="4"/>
      <c r="K9" s="4"/>
      <c r="L9" s="4"/>
      <c r="M9" s="4"/>
    </row>
    <row r="10" spans="3:13" x14ac:dyDescent="0.25">
      <c r="D10" t="s">
        <v>17</v>
      </c>
      <c r="I10" s="4">
        <v>3413</v>
      </c>
      <c r="J10" s="4"/>
      <c r="K10" s="4"/>
      <c r="L10" s="4"/>
      <c r="M10" s="4"/>
    </row>
    <row r="11" spans="3:13" x14ac:dyDescent="0.25">
      <c r="D11" t="s">
        <v>18</v>
      </c>
      <c r="I11" s="4">
        <v>12188</v>
      </c>
      <c r="J11" s="4"/>
      <c r="K11" s="4"/>
      <c r="L11" s="4"/>
      <c r="M11" s="4"/>
    </row>
    <row r="12" spans="3:13" x14ac:dyDescent="0.25">
      <c r="D12" t="s">
        <v>19</v>
      </c>
      <c r="I12" s="4">
        <v>780</v>
      </c>
      <c r="J12" s="4"/>
      <c r="K12" s="4"/>
      <c r="L12" s="4"/>
      <c r="M12" s="4"/>
    </row>
    <row r="13" spans="3:13" x14ac:dyDescent="0.25">
      <c r="D13" t="s">
        <v>20</v>
      </c>
      <c r="I13" s="4">
        <v>19500</v>
      </c>
      <c r="J13" s="4"/>
      <c r="K13" s="4"/>
      <c r="L13" s="4"/>
      <c r="M13" s="4"/>
    </row>
    <row r="14" spans="3:13" x14ac:dyDescent="0.25">
      <c r="D14" t="s">
        <v>21</v>
      </c>
      <c r="I14" s="4">
        <v>1463</v>
      </c>
      <c r="J14" s="4"/>
      <c r="K14" s="4"/>
      <c r="L14" s="4"/>
      <c r="M14" s="4"/>
    </row>
    <row r="15" spans="3:13" x14ac:dyDescent="0.25">
      <c r="I15" s="4"/>
      <c r="J15" s="4"/>
      <c r="K15" s="4"/>
      <c r="L15" s="4"/>
      <c r="M15" s="4"/>
    </row>
    <row r="16" spans="3:13" x14ac:dyDescent="0.25">
      <c r="C16" t="s">
        <v>22</v>
      </c>
      <c r="I16" s="4"/>
      <c r="J16" s="4"/>
      <c r="K16" s="4"/>
      <c r="L16" s="4"/>
      <c r="M16" s="4"/>
    </row>
    <row r="17" spans="3:13" x14ac:dyDescent="0.25">
      <c r="D17" t="s">
        <v>23</v>
      </c>
      <c r="I17" s="4"/>
      <c r="J17" s="4"/>
      <c r="K17" s="4"/>
      <c r="L17" s="4"/>
      <c r="M17" s="4"/>
    </row>
    <row r="18" spans="3:13" x14ac:dyDescent="0.25">
      <c r="E18" t="s">
        <v>25</v>
      </c>
      <c r="I18" s="4">
        <v>85500</v>
      </c>
      <c r="J18" s="4"/>
      <c r="K18" s="4"/>
      <c r="L18" s="4"/>
      <c r="M18" s="4"/>
    </row>
    <row r="19" spans="3:13" x14ac:dyDescent="0.25">
      <c r="I19" s="4"/>
      <c r="J19" s="4"/>
      <c r="K19" s="4"/>
      <c r="L19" s="4"/>
      <c r="M19" s="4"/>
    </row>
    <row r="20" spans="3:13" x14ac:dyDescent="0.25">
      <c r="C20" t="s">
        <v>24</v>
      </c>
      <c r="I20" s="4"/>
      <c r="J20" s="4"/>
      <c r="K20" s="4"/>
      <c r="L20" s="4"/>
      <c r="M20" s="4"/>
    </row>
    <row r="21" spans="3:13" x14ac:dyDescent="0.25">
      <c r="D21" t="s">
        <v>26</v>
      </c>
      <c r="I21" s="4">
        <v>165750</v>
      </c>
      <c r="J21" s="4"/>
      <c r="K21" s="4"/>
      <c r="L21" s="4"/>
      <c r="M21" s="4"/>
    </row>
    <row r="22" spans="3:13" x14ac:dyDescent="0.25">
      <c r="D22" t="s">
        <v>27</v>
      </c>
      <c r="I22" s="4">
        <v>121875</v>
      </c>
      <c r="J22" s="4"/>
      <c r="K22" s="4"/>
      <c r="L22" s="4"/>
      <c r="M22" s="4"/>
    </row>
    <row r="23" spans="3:13" x14ac:dyDescent="0.25">
      <c r="D23" t="s">
        <v>28</v>
      </c>
      <c r="I23" s="4">
        <v>68000</v>
      </c>
      <c r="J23" s="4"/>
      <c r="K23" s="4"/>
      <c r="L23" s="4"/>
      <c r="M23" s="4"/>
    </row>
    <row r="24" spans="3:13" x14ac:dyDescent="0.25">
      <c r="I24" s="4"/>
      <c r="J24" s="4"/>
      <c r="K24" s="4"/>
      <c r="L24" s="4"/>
      <c r="M24" s="4"/>
    </row>
    <row r="25" spans="3:13" x14ac:dyDescent="0.25">
      <c r="C25" t="s">
        <v>36</v>
      </c>
      <c r="I25" s="5">
        <v>6436</v>
      </c>
      <c r="J25" s="4"/>
      <c r="K25" s="4"/>
      <c r="L25" s="4"/>
      <c r="M25" s="4"/>
    </row>
    <row r="26" spans="3:13" x14ac:dyDescent="0.25">
      <c r="I26" s="4"/>
      <c r="J26" s="4"/>
      <c r="K26" s="4"/>
      <c r="L26" s="4"/>
      <c r="M26" s="4"/>
    </row>
    <row r="27" spans="3:13" ht="15.75" thickBot="1" x14ac:dyDescent="0.3">
      <c r="F27" s="1" t="s">
        <v>29</v>
      </c>
      <c r="I27" s="6">
        <f>SUM(I9:I25)</f>
        <v>508150</v>
      </c>
      <c r="J27" s="4"/>
      <c r="K27" s="4"/>
      <c r="L27" s="4"/>
      <c r="M27" s="4"/>
    </row>
    <row r="28" spans="3:13" ht="15.75" thickTop="1" x14ac:dyDescent="0.25">
      <c r="I28" s="4"/>
      <c r="J28" s="4"/>
      <c r="K28" s="4"/>
      <c r="L28" s="4"/>
      <c r="M28" s="4"/>
    </row>
    <row r="29" spans="3:13" x14ac:dyDescent="0.25">
      <c r="C29" t="s">
        <v>30</v>
      </c>
      <c r="I29" s="4">
        <f>ROUND((I27/2),0)</f>
        <v>254075</v>
      </c>
      <c r="J29" s="4"/>
      <c r="K29" s="4"/>
      <c r="L29" s="4"/>
      <c r="M29" s="4"/>
    </row>
    <row r="30" spans="3:13" x14ac:dyDescent="0.25">
      <c r="C30" t="s">
        <v>31</v>
      </c>
      <c r="I30" s="4">
        <f>ROUND((I27/2),0)</f>
        <v>254075</v>
      </c>
      <c r="J30" s="4"/>
      <c r="K30" s="4"/>
      <c r="L30" s="4"/>
      <c r="M30" s="4"/>
    </row>
    <row r="31" spans="3:13" x14ac:dyDescent="0.25">
      <c r="I31" s="4"/>
      <c r="J31" s="4"/>
      <c r="K31" s="4"/>
      <c r="L31" s="4"/>
      <c r="M31" s="4"/>
    </row>
    <row r="32" spans="3:13" x14ac:dyDescent="0.25">
      <c r="C32" t="s">
        <v>32</v>
      </c>
      <c r="I32" s="4"/>
      <c r="J32" s="4"/>
      <c r="K32" s="4"/>
      <c r="L32" s="4"/>
      <c r="M32" s="4"/>
    </row>
    <row r="33" spans="4:13" x14ac:dyDescent="0.25">
      <c r="D33" t="s">
        <v>63</v>
      </c>
      <c r="I33" s="4">
        <v>1000</v>
      </c>
      <c r="J33" s="4"/>
      <c r="K33" s="4"/>
      <c r="L33" s="4"/>
      <c r="M33" s="4"/>
    </row>
    <row r="34" spans="4:13" x14ac:dyDescent="0.25">
      <c r="D34" t="s">
        <v>68</v>
      </c>
      <c r="I34" s="5">
        <f>+I36</f>
        <v>254075</v>
      </c>
      <c r="J34" s="4"/>
      <c r="K34" s="4"/>
      <c r="L34" s="4"/>
      <c r="M34" s="4"/>
    </row>
    <row r="35" spans="4:13" x14ac:dyDescent="0.25">
      <c r="I35" s="4"/>
      <c r="J35" s="4"/>
      <c r="K35" s="4"/>
      <c r="L35" s="4"/>
      <c r="M35" s="4"/>
    </row>
    <row r="36" spans="4:13" ht="15.75" thickBot="1" x14ac:dyDescent="0.3">
      <c r="I36" s="6">
        <v>254075</v>
      </c>
      <c r="J36" s="4"/>
      <c r="K36" s="4"/>
      <c r="L36" s="4"/>
      <c r="M36" s="4"/>
    </row>
    <row r="37" spans="4:13" ht="15.75" thickTop="1" x14ac:dyDescent="0.25">
      <c r="I37" s="4"/>
      <c r="J37" s="4"/>
      <c r="K37" s="4"/>
      <c r="L37" s="4"/>
      <c r="M3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Attachment G</vt:lpstr>
      <vt:lpstr>Attachment L</vt:lpstr>
      <vt:lpstr>Attachment 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Latitude E5570</dc:creator>
  <cp:lastModifiedBy>Donnie McCorkle</cp:lastModifiedBy>
  <cp:lastPrinted>2021-09-28T20:22:55Z</cp:lastPrinted>
  <dcterms:created xsi:type="dcterms:W3CDTF">2020-03-20T17:58:33Z</dcterms:created>
  <dcterms:modified xsi:type="dcterms:W3CDTF">2021-09-28T20:23:30Z</dcterms:modified>
</cp:coreProperties>
</file>