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cjet.sharepoint.com/Shared Documents/CPF/2023-Feb CPF Arapahoe/Arapahoe CFP/"/>
    </mc:Choice>
  </mc:AlternateContent>
  <xr:revisionPtr revIDLastSave="0" documentId="8_{8F1898E8-BA1A-4D42-8C3E-D63A3B1914B0}" xr6:coauthVersionLast="47" xr6:coauthVersionMax="47" xr10:uidLastSave="{00000000-0000-0000-0000-000000000000}"/>
  <bookViews>
    <workbookView xWindow="-30840" yWindow="-1185" windowWidth="30960" windowHeight="17520" xr2:uid="{710233CE-2CD0-4BB3-842D-442A0587FD4B}"/>
  </bookViews>
  <sheets>
    <sheet name="Attachment G1" sheetId="11" r:id="rId1"/>
    <sheet name="Attachment H" sheetId="8" r:id="rId2"/>
    <sheet name="Attachment L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8" l="1"/>
  <c r="F41" i="11" l="1"/>
  <c r="H39" i="11"/>
  <c r="H38" i="11"/>
  <c r="H37" i="11"/>
  <c r="Q23" i="11"/>
  <c r="L21" i="11"/>
  <c r="M21" i="11" s="1"/>
  <c r="Q12" i="11"/>
  <c r="L44" i="11" l="1"/>
  <c r="L22" i="11" s="1"/>
  <c r="M44" i="11"/>
  <c r="M22" i="11" s="1"/>
  <c r="N44" i="11"/>
  <c r="N22" i="11" s="1"/>
  <c r="O44" i="11"/>
  <c r="O22" i="11" s="1"/>
  <c r="K44" i="11"/>
  <c r="K22" i="11" s="1"/>
  <c r="J44" i="11"/>
  <c r="J22" i="11" s="1"/>
  <c r="H41" i="11"/>
  <c r="N21" i="11"/>
  <c r="O41" i="11" l="1"/>
  <c r="O8" i="11" s="1"/>
  <c r="O14" i="11" s="1"/>
  <c r="N41" i="11"/>
  <c r="N8" i="11" s="1"/>
  <c r="M41" i="11"/>
  <c r="M8" i="11" s="1"/>
  <c r="M14" i="11" s="1"/>
  <c r="K41" i="11"/>
  <c r="K8" i="11" s="1"/>
  <c r="K14" i="11" s="1"/>
  <c r="J41" i="11"/>
  <c r="J8" i="11" s="1"/>
  <c r="L41" i="11"/>
  <c r="L8" i="11" s="1"/>
  <c r="L14" i="11" s="1"/>
  <c r="Q22" i="11"/>
  <c r="O21" i="11"/>
  <c r="Q11" i="11"/>
  <c r="Q8" i="11" l="1"/>
  <c r="N14" i="11"/>
  <c r="Q21" i="11"/>
  <c r="G12" i="9" l="1"/>
  <c r="Q10" i="11" l="1"/>
  <c r="I24" i="8"/>
  <c r="Q19" i="11" l="1"/>
  <c r="J27" i="11"/>
  <c r="D64" i="11"/>
  <c r="D51" i="11"/>
  <c r="D59" i="11"/>
  <c r="D61" i="11"/>
  <c r="D55" i="11"/>
  <c r="O24" i="11" s="1"/>
  <c r="O27" i="11" s="1"/>
  <c r="D62" i="11"/>
  <c r="D53" i="11"/>
  <c r="M24" i="11" s="1"/>
  <c r="M27" i="11" s="1"/>
  <c r="M29" i="11" s="1"/>
  <c r="D57" i="11"/>
  <c r="D56" i="11"/>
  <c r="D54" i="11"/>
  <c r="N24" i="11" s="1"/>
  <c r="N27" i="11" s="1"/>
  <c r="N29" i="11" s="1"/>
  <c r="D58" i="11"/>
  <c r="D52" i="11"/>
  <c r="L24" i="11" s="1"/>
  <c r="L27" i="11" s="1"/>
  <c r="L29" i="11" s="1"/>
  <c r="D60" i="11"/>
  <c r="D65" i="11"/>
  <c r="D63" i="11"/>
  <c r="K24" i="11" l="1"/>
  <c r="D68" i="11"/>
  <c r="O29" i="11"/>
  <c r="G15" i="9"/>
  <c r="G18" i="9" s="1"/>
  <c r="G16" i="9" s="1"/>
  <c r="I26" i="8" s="1"/>
  <c r="I27" i="8" s="1"/>
  <c r="I34" i="8"/>
  <c r="Q9" i="11" l="1"/>
  <c r="Q14" i="11" s="1"/>
  <c r="J14" i="11"/>
  <c r="J29" i="11" s="1"/>
  <c r="J31" i="11" s="1"/>
  <c r="Q24" i="11"/>
  <c r="K27" i="11"/>
  <c r="G20" i="9"/>
  <c r="K29" i="11" l="1"/>
  <c r="K31" i="11" s="1"/>
  <c r="L31" i="11" s="1"/>
  <c r="M31" i="11" s="1"/>
  <c r="N31" i="11" s="1"/>
  <c r="O31" i="11" s="1"/>
  <c r="Q27" i="11"/>
  <c r="Q29" i="11" s="1"/>
</calcChain>
</file>

<file path=xl/sharedStrings.xml><?xml version="1.0" encoding="utf-8"?>
<sst xmlns="http://schemas.openxmlformats.org/spreadsheetml/2006/main" count="63" uniqueCount="54">
  <si>
    <t>Attachment G:</t>
  </si>
  <si>
    <t>Projected Cash Flows for Project:</t>
  </si>
  <si>
    <t>Total</t>
  </si>
  <si>
    <t>Cash Sources:</t>
  </si>
  <si>
    <t>Subscriber revenue</t>
  </si>
  <si>
    <t>Grant Proceeds</t>
  </si>
  <si>
    <t>ACAM Funding</t>
  </si>
  <si>
    <t>Total Cash Sources</t>
  </si>
  <si>
    <t>Cash Uses:</t>
  </si>
  <si>
    <t>Total Project Costs</t>
  </si>
  <si>
    <t>Operating Expenses:</t>
  </si>
  <si>
    <t>Advertising/customer acquisition costs</t>
  </si>
  <si>
    <t>Billing and collection costs</t>
  </si>
  <si>
    <t>Maintenance costs</t>
  </si>
  <si>
    <t>Personal property taxes</t>
  </si>
  <si>
    <t>Total Cash Uses</t>
  </si>
  <si>
    <t>Net Inflow (Outflow)</t>
  </si>
  <si>
    <t>Cumulative Flows</t>
  </si>
  <si>
    <t>Monthly</t>
  </si>
  <si>
    <t>Annual</t>
  </si>
  <si>
    <t>Projected Subscriber Revenue:</t>
  </si>
  <si>
    <t>Charge</t>
  </si>
  <si>
    <t>Revenue</t>
  </si>
  <si>
    <t>Low speed subscribers</t>
  </si>
  <si>
    <t>Moderate speed subscribers</t>
  </si>
  <si>
    <t>High speed subscribers</t>
  </si>
  <si>
    <t>Subscribers</t>
  </si>
  <si>
    <t>Personal Property Taxes:</t>
  </si>
  <si>
    <t>Attachment H:</t>
  </si>
  <si>
    <t>Proposed Grant Budget and Funding Breakdown:</t>
  </si>
  <si>
    <t>Engineering Costs:</t>
  </si>
  <si>
    <t xml:space="preserve">Project Management (including route design, materials </t>
  </si>
  <si>
    <t>procurement and construction observation)</t>
  </si>
  <si>
    <t>Total Project Cost</t>
  </si>
  <si>
    <t>Grant Amount Requested</t>
  </si>
  <si>
    <t>Contributed by Grant Applicant</t>
  </si>
  <si>
    <t>Breakdown of Grant Applicant Contribution:</t>
  </si>
  <si>
    <t>In-Kind Contribution-Materials and Supplies</t>
  </si>
  <si>
    <t>Internal Financing</t>
  </si>
  <si>
    <t>Attachment L:</t>
  </si>
  <si>
    <t>Match Source Documentation:</t>
  </si>
  <si>
    <t>Community Partner Match</t>
  </si>
  <si>
    <t>RDOF Funding</t>
  </si>
  <si>
    <t>In-Kind Contributions-Materials and Supplies</t>
  </si>
  <si>
    <t>Total Matching Contribution</t>
  </si>
  <si>
    <t>Grant Match Percentage</t>
  </si>
  <si>
    <t>Inclues boring, duct, pedestals, canes, grounding, and clamshells</t>
  </si>
  <si>
    <t>Phase 1 Mainline Fiber:</t>
  </si>
  <si>
    <t>Phase 2 Drop Fiber:</t>
  </si>
  <si>
    <t>Phase 3 Customer Premise FTTH Buildout:</t>
  </si>
  <si>
    <t>Includes Installation of ONT Electronics, CPE Gateway, UPS, and Labor</t>
  </si>
  <si>
    <t>Includes construction, fiber, vaults, splitters, splicing, and CO electronics</t>
  </si>
  <si>
    <t>80% Take</t>
  </si>
  <si>
    <t>Total Underserved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</si>
</sst>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9" fontId="0" fillId="0" borderId="2" xfId="0" applyNumberFormat="1" applyBorder="1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0" xfId="0" applyNumberForma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98818-A3CD-4FC7-886E-AE71F3E445E9}">
  <dimension ref="B1:R68"/>
  <sheetViews>
    <sheetView tabSelected="1" workbookViewId="0">
      <selection activeCell="C42" sqref="C42"/>
    </sheetView>
  </sheetViews>
  <sheetFormatPr defaultRowHeight="15" x14ac:dyDescent="0.25"/>
  <cols>
    <col min="10" max="17" width="10.85546875" customWidth="1"/>
  </cols>
  <sheetData>
    <row r="1" spans="2:18" x14ac:dyDescent="0.25">
      <c r="B1" s="1" t="s">
        <v>0</v>
      </c>
    </row>
    <row r="2" spans="2:18" x14ac:dyDescent="0.25">
      <c r="B2" s="1" t="s">
        <v>1</v>
      </c>
    </row>
    <row r="5" spans="2:18" x14ac:dyDescent="0.25">
      <c r="J5" s="7">
        <v>2023</v>
      </c>
      <c r="K5" s="7">
        <v>2024</v>
      </c>
      <c r="L5" s="7">
        <v>2025</v>
      </c>
      <c r="M5" s="7">
        <v>2026</v>
      </c>
      <c r="N5" s="7">
        <v>2027</v>
      </c>
      <c r="O5" s="7">
        <v>2028</v>
      </c>
      <c r="P5" s="7"/>
      <c r="Q5" s="7" t="s">
        <v>2</v>
      </c>
    </row>
    <row r="6" spans="2:18" x14ac:dyDescent="0.25">
      <c r="B6" s="1" t="s">
        <v>3</v>
      </c>
    </row>
    <row r="8" spans="2:18" x14ac:dyDescent="0.25">
      <c r="B8" t="s">
        <v>4</v>
      </c>
      <c r="J8" s="2">
        <f>+J41</f>
        <v>79872</v>
      </c>
      <c r="K8" s="2">
        <f t="shared" ref="K8:O8" si="0">+K41</f>
        <v>79872</v>
      </c>
      <c r="L8" s="2">
        <f t="shared" si="0"/>
        <v>79872</v>
      </c>
      <c r="M8" s="2">
        <f t="shared" si="0"/>
        <v>79872</v>
      </c>
      <c r="N8" s="2">
        <f t="shared" si="0"/>
        <v>79872</v>
      </c>
      <c r="O8" s="2">
        <f t="shared" si="0"/>
        <v>79872</v>
      </c>
      <c r="P8" s="2"/>
      <c r="Q8" s="2">
        <f>SUM(J8:P8)</f>
        <v>479232</v>
      </c>
      <c r="R8" s="2"/>
    </row>
    <row r="9" spans="2:18" x14ac:dyDescent="0.25">
      <c r="B9" t="s">
        <v>5</v>
      </c>
      <c r="J9" s="2">
        <v>183753.75</v>
      </c>
      <c r="K9" s="2">
        <v>183753.75</v>
      </c>
      <c r="L9" s="2">
        <v>367507</v>
      </c>
      <c r="M9" s="2"/>
      <c r="N9" s="2"/>
      <c r="O9" s="2"/>
      <c r="P9" s="2"/>
      <c r="Q9" s="2">
        <f>SUM(J9:P9)</f>
        <v>735014.5</v>
      </c>
      <c r="R9" s="2"/>
    </row>
    <row r="10" spans="2:18" x14ac:dyDescent="0.25">
      <c r="J10" s="2"/>
      <c r="K10" s="2"/>
      <c r="L10" s="2"/>
      <c r="M10" s="2"/>
      <c r="N10" s="2"/>
      <c r="O10" s="2"/>
      <c r="P10" s="2"/>
      <c r="Q10" s="2">
        <f>SUM(J10:P10)</f>
        <v>0</v>
      </c>
      <c r="R10" s="2"/>
    </row>
    <row r="11" spans="2:18" x14ac:dyDescent="0.25">
      <c r="J11" s="2"/>
      <c r="K11" s="2"/>
      <c r="L11" s="2"/>
      <c r="M11" s="2"/>
      <c r="N11" s="2"/>
      <c r="O11" s="2"/>
      <c r="P11" s="2"/>
      <c r="Q11" s="2">
        <f>SUM(J11:P11)</f>
        <v>0</v>
      </c>
      <c r="R11" s="2"/>
    </row>
    <row r="12" spans="2:18" x14ac:dyDescent="0.25">
      <c r="J12" s="3"/>
      <c r="K12" s="3"/>
      <c r="L12" s="3"/>
      <c r="M12" s="3"/>
      <c r="N12" s="3"/>
      <c r="O12" s="3"/>
      <c r="P12" s="2"/>
      <c r="Q12" s="3">
        <f>SUM(J12:P12)</f>
        <v>0</v>
      </c>
      <c r="R12" s="2"/>
    </row>
    <row r="13" spans="2:18" x14ac:dyDescent="0.25">
      <c r="J13" s="2"/>
      <c r="K13" s="2"/>
      <c r="L13" s="2"/>
      <c r="M13" s="2"/>
      <c r="N13" s="2"/>
      <c r="O13" s="2"/>
      <c r="P13" s="2"/>
      <c r="Q13" s="2"/>
      <c r="R13" s="2"/>
    </row>
    <row r="14" spans="2:18" x14ac:dyDescent="0.25">
      <c r="E14" s="1" t="s">
        <v>7</v>
      </c>
      <c r="J14" s="3">
        <f t="shared" ref="J14:O14" si="1">SUM(J8:J13)</f>
        <v>263625.75</v>
      </c>
      <c r="K14" s="3">
        <f t="shared" si="1"/>
        <v>263625.75</v>
      </c>
      <c r="L14" s="3">
        <f t="shared" si="1"/>
        <v>447379</v>
      </c>
      <c r="M14" s="3">
        <f t="shared" si="1"/>
        <v>79872</v>
      </c>
      <c r="N14" s="3">
        <f t="shared" si="1"/>
        <v>79872</v>
      </c>
      <c r="O14" s="3">
        <f t="shared" si="1"/>
        <v>79872</v>
      </c>
      <c r="P14" s="2"/>
      <c r="Q14" s="3">
        <f>SUM(Q8:Q13)</f>
        <v>1214246.5</v>
      </c>
      <c r="R14" s="2"/>
    </row>
    <row r="15" spans="2:18" x14ac:dyDescent="0.25">
      <c r="J15" s="2"/>
      <c r="K15" s="2"/>
      <c r="L15" s="2"/>
      <c r="M15" s="2"/>
      <c r="N15" s="2"/>
      <c r="O15" s="2"/>
      <c r="P15" s="2"/>
      <c r="Q15" s="2"/>
      <c r="R15" s="2"/>
    </row>
    <row r="16" spans="2:18" x14ac:dyDescent="0.25">
      <c r="B16" s="1" t="s">
        <v>8</v>
      </c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25"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J18" s="2"/>
      <c r="K18" s="2"/>
      <c r="L18" s="2"/>
      <c r="M18" s="2"/>
      <c r="N18" s="2"/>
      <c r="O18" s="2"/>
      <c r="P18" s="2"/>
      <c r="Q18" s="2"/>
      <c r="R18" s="2"/>
    </row>
    <row r="19" spans="2:18" x14ac:dyDescent="0.25">
      <c r="B19" t="s">
        <v>9</v>
      </c>
      <c r="J19" s="2">
        <v>242555</v>
      </c>
      <c r="K19" s="2">
        <v>492460</v>
      </c>
      <c r="L19" s="2"/>
      <c r="M19" s="2"/>
      <c r="N19" s="2"/>
      <c r="O19" s="2"/>
      <c r="P19" s="2"/>
      <c r="Q19" s="2">
        <f>SUM(J19:P19)</f>
        <v>735015</v>
      </c>
      <c r="R19" s="2"/>
    </row>
    <row r="20" spans="2:18" x14ac:dyDescent="0.25">
      <c r="B20" t="s">
        <v>10</v>
      </c>
      <c r="J20" s="2">
        <v>56600</v>
      </c>
      <c r="K20" s="2">
        <v>56600</v>
      </c>
      <c r="L20" s="2">
        <v>56600</v>
      </c>
      <c r="M20" s="2">
        <v>56600</v>
      </c>
      <c r="N20" s="2">
        <v>56600</v>
      </c>
      <c r="O20" s="2">
        <v>56600</v>
      </c>
      <c r="P20" s="2"/>
      <c r="Q20" s="2"/>
      <c r="R20" s="2"/>
    </row>
    <row r="21" spans="2:18" x14ac:dyDescent="0.25">
      <c r="B21" t="s">
        <v>11</v>
      </c>
      <c r="J21" s="2">
        <v>5000</v>
      </c>
      <c r="K21" s="2">
        <v>1000</v>
      </c>
      <c r="L21" s="2">
        <f>+K21</f>
        <v>1000</v>
      </c>
      <c r="M21" s="2">
        <f t="shared" ref="M21:O21" si="2">+L21</f>
        <v>1000</v>
      </c>
      <c r="N21" s="2">
        <f t="shared" si="2"/>
        <v>1000</v>
      </c>
      <c r="O21" s="2">
        <f t="shared" si="2"/>
        <v>1000</v>
      </c>
      <c r="P21" s="2"/>
      <c r="Q21" s="2">
        <f>SUM(J21:P21)</f>
        <v>10000</v>
      </c>
      <c r="R21" s="2"/>
    </row>
    <row r="22" spans="2:18" x14ac:dyDescent="0.25">
      <c r="B22" t="s">
        <v>12</v>
      </c>
      <c r="J22" s="2">
        <f>ROUND(((0.7*J44)*12),0)</f>
        <v>974</v>
      </c>
      <c r="K22" s="2">
        <f t="shared" ref="K22:O22" si="3">ROUND(((0.7*K44)*12),0)</f>
        <v>974</v>
      </c>
      <c r="L22" s="2">
        <f t="shared" si="3"/>
        <v>974</v>
      </c>
      <c r="M22" s="2">
        <f t="shared" si="3"/>
        <v>974</v>
      </c>
      <c r="N22" s="2">
        <f t="shared" si="3"/>
        <v>974</v>
      </c>
      <c r="O22" s="2">
        <f t="shared" si="3"/>
        <v>974</v>
      </c>
      <c r="P22" s="2"/>
      <c r="Q22" s="2">
        <f>SUM(J22:P22)</f>
        <v>5844</v>
      </c>
      <c r="R22" s="2"/>
    </row>
    <row r="23" spans="2:18" x14ac:dyDescent="0.25">
      <c r="B23" t="s">
        <v>13</v>
      </c>
      <c r="J23" s="2">
        <v>5040</v>
      </c>
      <c r="K23" s="2">
        <v>5040</v>
      </c>
      <c r="L23" s="2">
        <v>5040</v>
      </c>
      <c r="M23" s="2">
        <v>6000</v>
      </c>
      <c r="N23" s="2">
        <v>6000</v>
      </c>
      <c r="O23" s="2">
        <v>6000</v>
      </c>
      <c r="P23" s="2"/>
      <c r="Q23" s="2">
        <f>SUM(J23:P23)</f>
        <v>33120</v>
      </c>
      <c r="R23" s="2"/>
    </row>
    <row r="24" spans="2:18" x14ac:dyDescent="0.25">
      <c r="B24" t="s">
        <v>14</v>
      </c>
      <c r="J24" s="3">
        <v>0</v>
      </c>
      <c r="K24" s="3">
        <f>+D51</f>
        <v>11679</v>
      </c>
      <c r="L24" s="3">
        <f>+D52</f>
        <v>10511</v>
      </c>
      <c r="M24" s="3">
        <f>+D53</f>
        <v>9460</v>
      </c>
      <c r="N24" s="3">
        <f>+D54</f>
        <v>8513</v>
      </c>
      <c r="O24" s="3">
        <f>+D55</f>
        <v>7661</v>
      </c>
      <c r="P24" s="2"/>
      <c r="Q24" s="3">
        <f>SUM(J24:P24)</f>
        <v>47824</v>
      </c>
      <c r="R24" s="2"/>
    </row>
    <row r="25" spans="2:18" x14ac:dyDescent="0.25">
      <c r="J25" s="2"/>
      <c r="K25" s="2"/>
      <c r="L25" s="2"/>
      <c r="M25" s="2"/>
      <c r="N25" s="2"/>
      <c r="O25" s="2"/>
      <c r="P25" s="2"/>
      <c r="Q25" s="2"/>
      <c r="R25" s="2"/>
    </row>
    <row r="26" spans="2:18" x14ac:dyDescent="0.25">
      <c r="J26" s="2"/>
      <c r="K26" s="2"/>
      <c r="L26" s="2"/>
      <c r="M26" s="2"/>
      <c r="N26" s="2"/>
      <c r="O26" s="2"/>
      <c r="P26" s="2"/>
      <c r="Q26" s="2"/>
      <c r="R26" s="2"/>
    </row>
    <row r="27" spans="2:18" x14ac:dyDescent="0.25">
      <c r="E27" s="1" t="s">
        <v>15</v>
      </c>
      <c r="J27" s="3">
        <f t="shared" ref="J27:O27" si="4">SUM(J19:J24)</f>
        <v>310169</v>
      </c>
      <c r="K27" s="3">
        <f t="shared" si="4"/>
        <v>567753</v>
      </c>
      <c r="L27" s="3">
        <f t="shared" si="4"/>
        <v>74125</v>
      </c>
      <c r="M27" s="3">
        <f t="shared" si="4"/>
        <v>74034</v>
      </c>
      <c r="N27" s="3">
        <f t="shared" si="4"/>
        <v>73087</v>
      </c>
      <c r="O27" s="3">
        <f t="shared" si="4"/>
        <v>72235</v>
      </c>
      <c r="P27" s="2"/>
      <c r="Q27" s="3">
        <f>SUM(J27:P27)</f>
        <v>1171403</v>
      </c>
      <c r="R27" s="2"/>
    </row>
    <row r="28" spans="2:18" x14ac:dyDescent="0.25">
      <c r="J28" s="2"/>
      <c r="K28" s="2"/>
      <c r="L28" s="2"/>
      <c r="M28" s="2"/>
      <c r="N28" s="2"/>
      <c r="O28" s="2"/>
      <c r="P28" s="2"/>
      <c r="Q28" s="2"/>
      <c r="R28" s="2"/>
    </row>
    <row r="29" spans="2:18" ht="15.75" thickBot="1" x14ac:dyDescent="0.3">
      <c r="E29" s="1" t="s">
        <v>16</v>
      </c>
      <c r="J29" s="4">
        <f t="shared" ref="J29:O29" si="5">+J14-J27</f>
        <v>-46543.25</v>
      </c>
      <c r="K29" s="4">
        <f t="shared" si="5"/>
        <v>-304127.25</v>
      </c>
      <c r="L29" s="4">
        <f t="shared" si="5"/>
        <v>373254</v>
      </c>
      <c r="M29" s="4">
        <f t="shared" si="5"/>
        <v>5838</v>
      </c>
      <c r="N29" s="4">
        <f t="shared" si="5"/>
        <v>6785</v>
      </c>
      <c r="O29" s="4">
        <f t="shared" si="5"/>
        <v>7637</v>
      </c>
      <c r="P29" s="2"/>
      <c r="Q29" s="4">
        <f>+Q14-Q27</f>
        <v>42843.5</v>
      </c>
      <c r="R29" s="2"/>
    </row>
    <row r="30" spans="2:18" ht="15.75" thickTop="1" x14ac:dyDescent="0.25">
      <c r="E30" s="1"/>
      <c r="J30" s="2"/>
      <c r="K30" s="2"/>
      <c r="L30" s="2"/>
      <c r="M30" s="2"/>
      <c r="N30" s="2"/>
      <c r="O30" s="2"/>
      <c r="P30" s="2"/>
      <c r="Q30" s="2"/>
      <c r="R30" s="2"/>
    </row>
    <row r="31" spans="2:18" x14ac:dyDescent="0.25">
      <c r="E31" s="1" t="s">
        <v>17</v>
      </c>
      <c r="J31" s="2">
        <f>+J29</f>
        <v>-46543.25</v>
      </c>
      <c r="K31" s="2">
        <f>+J31+K29</f>
        <v>-350670.5</v>
      </c>
      <c r="L31" s="2">
        <f t="shared" ref="L31:O31" si="6">+K31+L29</f>
        <v>22583.5</v>
      </c>
      <c r="M31" s="2">
        <f t="shared" si="6"/>
        <v>28421.5</v>
      </c>
      <c r="N31" s="2">
        <f t="shared" si="6"/>
        <v>35206.5</v>
      </c>
      <c r="O31" s="2">
        <f t="shared" si="6"/>
        <v>42843.5</v>
      </c>
      <c r="P31" s="2"/>
      <c r="Q31" s="2"/>
      <c r="R31" s="2"/>
    </row>
    <row r="32" spans="2:18" x14ac:dyDescent="0.25">
      <c r="J32" s="2"/>
      <c r="K32" s="2"/>
      <c r="L32" s="2"/>
      <c r="M32" s="2"/>
      <c r="N32" s="2"/>
      <c r="O32" s="2"/>
      <c r="P32" s="2"/>
      <c r="Q32" s="2"/>
      <c r="R32" s="2"/>
    </row>
    <row r="34" spans="2:15" x14ac:dyDescent="0.25">
      <c r="G34" s="8" t="s">
        <v>18</v>
      </c>
      <c r="H34" s="8" t="s">
        <v>19</v>
      </c>
      <c r="I34" s="8"/>
      <c r="J34" s="8"/>
      <c r="K34" s="8"/>
      <c r="L34" s="8"/>
    </row>
    <row r="35" spans="2:15" x14ac:dyDescent="0.25">
      <c r="B35" t="s">
        <v>20</v>
      </c>
      <c r="G35" s="8" t="s">
        <v>21</v>
      </c>
      <c r="H35" s="8" t="s">
        <v>22</v>
      </c>
      <c r="I35" s="8"/>
      <c r="J35" s="8"/>
      <c r="K35" s="8"/>
      <c r="L35" s="8"/>
    </row>
    <row r="37" spans="2:15" x14ac:dyDescent="0.25">
      <c r="B37" t="s">
        <v>23</v>
      </c>
      <c r="F37">
        <v>99</v>
      </c>
      <c r="G37" s="2">
        <v>50</v>
      </c>
      <c r="H37" s="2">
        <f>ROUND((F37*G37*12),0)</f>
        <v>59400</v>
      </c>
      <c r="I37" s="2"/>
      <c r="J37" s="2"/>
      <c r="K37" s="2"/>
      <c r="L37" s="2"/>
    </row>
    <row r="38" spans="2:15" x14ac:dyDescent="0.25">
      <c r="B38" t="s">
        <v>24</v>
      </c>
      <c r="F38">
        <v>41</v>
      </c>
      <c r="G38" s="2">
        <v>70</v>
      </c>
      <c r="H38" s="2">
        <f t="shared" ref="H38:H39" si="7">ROUND((F38*G38*12),0)</f>
        <v>34440</v>
      </c>
      <c r="I38" s="2"/>
      <c r="J38" s="2"/>
      <c r="K38" s="2"/>
      <c r="L38" s="2"/>
    </row>
    <row r="39" spans="2:15" x14ac:dyDescent="0.25">
      <c r="B39" t="s">
        <v>25</v>
      </c>
      <c r="F39" s="9">
        <v>5</v>
      </c>
      <c r="G39" s="2">
        <v>100</v>
      </c>
      <c r="H39" s="3">
        <f t="shared" si="7"/>
        <v>6000</v>
      </c>
      <c r="I39" s="2"/>
      <c r="J39" s="2"/>
      <c r="K39" s="2"/>
      <c r="L39" s="2"/>
    </row>
    <row r="40" spans="2:15" x14ac:dyDescent="0.25">
      <c r="G40" s="2"/>
      <c r="H40" s="2"/>
      <c r="I40" s="2"/>
      <c r="J40" s="2"/>
      <c r="K40" s="2"/>
      <c r="L40" s="2"/>
    </row>
    <row r="41" spans="2:15" ht="15.75" thickBot="1" x14ac:dyDescent="0.3">
      <c r="C41" t="s">
        <v>53</v>
      </c>
      <c r="F41" s="10">
        <f>SUM(F37:F40)</f>
        <v>145</v>
      </c>
      <c r="G41" s="2"/>
      <c r="H41" s="4">
        <f>SUM(H37:H40)</f>
        <v>99840</v>
      </c>
      <c r="I41" s="2"/>
      <c r="J41" s="4">
        <f t="shared" ref="J41:O41" si="8">ROUND(($H41*0.8),0)</f>
        <v>79872</v>
      </c>
      <c r="K41" s="4">
        <f t="shared" si="8"/>
        <v>79872</v>
      </c>
      <c r="L41" s="4">
        <f t="shared" si="8"/>
        <v>79872</v>
      </c>
      <c r="M41" s="4">
        <f t="shared" si="8"/>
        <v>79872</v>
      </c>
      <c r="N41" s="4">
        <f t="shared" si="8"/>
        <v>79872</v>
      </c>
      <c r="O41" s="4">
        <f t="shared" si="8"/>
        <v>79872</v>
      </c>
    </row>
    <row r="42" spans="2:15" ht="15.75" thickTop="1" x14ac:dyDescent="0.25">
      <c r="G42" s="2"/>
      <c r="H42" s="2"/>
      <c r="I42" s="2"/>
      <c r="J42" s="2"/>
      <c r="K42" s="2"/>
      <c r="L42" s="2"/>
    </row>
    <row r="43" spans="2:15" x14ac:dyDescent="0.25">
      <c r="G43" s="2"/>
      <c r="H43" s="2"/>
      <c r="I43" s="2"/>
      <c r="J43" s="11" t="s">
        <v>52</v>
      </c>
      <c r="K43" s="11" t="s">
        <v>52</v>
      </c>
      <c r="L43" s="11" t="s">
        <v>52</v>
      </c>
      <c r="M43" s="11" t="s">
        <v>52</v>
      </c>
      <c r="N43" s="11" t="s">
        <v>52</v>
      </c>
      <c r="O43" s="11" t="s">
        <v>52</v>
      </c>
    </row>
    <row r="44" spans="2:15" x14ac:dyDescent="0.25">
      <c r="G44" s="2"/>
      <c r="H44" s="2" t="s">
        <v>26</v>
      </c>
      <c r="I44" s="2"/>
      <c r="J44" s="6">
        <f>ROUND(($F41*0.8),0)</f>
        <v>116</v>
      </c>
      <c r="K44" s="6">
        <f t="shared" ref="K44:O44" si="9">ROUND(($F41*0.8),0)</f>
        <v>116</v>
      </c>
      <c r="L44" s="6">
        <f t="shared" si="9"/>
        <v>116</v>
      </c>
      <c r="M44" s="6">
        <f t="shared" si="9"/>
        <v>116</v>
      </c>
      <c r="N44" s="6">
        <f t="shared" si="9"/>
        <v>116</v>
      </c>
      <c r="O44" s="6">
        <f t="shared" si="9"/>
        <v>116</v>
      </c>
    </row>
    <row r="47" spans="2:15" x14ac:dyDescent="0.25">
      <c r="C47" t="s">
        <v>27</v>
      </c>
    </row>
    <row r="49" spans="2:7" x14ac:dyDescent="0.25">
      <c r="C49" s="12"/>
      <c r="D49" s="12">
        <v>713072</v>
      </c>
      <c r="E49" s="12"/>
      <c r="F49" s="12"/>
      <c r="G49" s="12"/>
    </row>
    <row r="50" spans="2:7" x14ac:dyDescent="0.25">
      <c r="C50" s="12"/>
      <c r="D50" s="12"/>
      <c r="E50" s="12"/>
      <c r="F50" s="12"/>
      <c r="G50" s="12"/>
    </row>
    <row r="51" spans="2:7" x14ac:dyDescent="0.25">
      <c r="B51">
        <v>2023</v>
      </c>
      <c r="C51" s="12"/>
      <c r="D51" s="12">
        <f>ROUND(((D$49*0.95)*0.01724),0)</f>
        <v>11679</v>
      </c>
      <c r="E51" s="12"/>
      <c r="F51" s="12"/>
      <c r="G51" s="12"/>
    </row>
    <row r="52" spans="2:7" x14ac:dyDescent="0.25">
      <c r="B52">
        <v>2024</v>
      </c>
      <c r="C52" s="12"/>
      <c r="D52" s="12">
        <f>ROUND(((D$49*0.855)*0.01724),0)</f>
        <v>10511</v>
      </c>
      <c r="E52" s="12"/>
      <c r="F52" s="12"/>
      <c r="G52" s="12"/>
    </row>
    <row r="53" spans="2:7" x14ac:dyDescent="0.25">
      <c r="B53">
        <v>2025</v>
      </c>
      <c r="C53" s="12"/>
      <c r="D53" s="12">
        <f>ROUND(((D$49*0.7695)*0.01724),0)</f>
        <v>9460</v>
      </c>
      <c r="E53" s="12"/>
      <c r="F53" s="12"/>
      <c r="G53" s="12"/>
    </row>
    <row r="54" spans="2:7" x14ac:dyDescent="0.25">
      <c r="B54">
        <v>2026</v>
      </c>
      <c r="C54" s="12"/>
      <c r="D54" s="12">
        <f>ROUND(((D$49*0.6925)*0.01724),0)</f>
        <v>8513</v>
      </c>
      <c r="E54" s="12"/>
      <c r="F54" s="12"/>
      <c r="G54" s="12"/>
    </row>
    <row r="55" spans="2:7" x14ac:dyDescent="0.25">
      <c r="B55">
        <v>2027</v>
      </c>
      <c r="C55" s="12"/>
      <c r="D55" s="12">
        <f>ROUND(((D$49*0.6232)*0.01724),0)</f>
        <v>7661</v>
      </c>
      <c r="E55" s="12"/>
      <c r="F55" s="12"/>
      <c r="G55" s="12"/>
    </row>
    <row r="56" spans="2:7" x14ac:dyDescent="0.25">
      <c r="B56">
        <v>2028</v>
      </c>
      <c r="C56" s="12"/>
      <c r="D56" s="12">
        <f>ROUND(((D$49*0.5609)*0.01724),0)</f>
        <v>6895</v>
      </c>
      <c r="E56" s="12"/>
      <c r="F56" s="12"/>
      <c r="G56" s="12"/>
    </row>
    <row r="57" spans="2:7" x14ac:dyDescent="0.25">
      <c r="B57">
        <v>2029</v>
      </c>
      <c r="C57" s="12"/>
      <c r="D57" s="12">
        <f>ROUND(((D$49*0.5019)*0.01724),0)</f>
        <v>6170</v>
      </c>
      <c r="E57" s="12"/>
      <c r="F57" s="12"/>
      <c r="G57" s="12"/>
    </row>
    <row r="58" spans="2:7" x14ac:dyDescent="0.25">
      <c r="B58">
        <v>2030</v>
      </c>
      <c r="C58" s="12"/>
      <c r="D58" s="12">
        <f>ROUND(((D$49*0.4429)*0.01724),0)</f>
        <v>5445</v>
      </c>
      <c r="E58" s="12"/>
      <c r="F58" s="12"/>
      <c r="G58" s="12"/>
    </row>
    <row r="59" spans="2:7" x14ac:dyDescent="0.25">
      <c r="B59">
        <v>2031</v>
      </c>
      <c r="C59" s="12"/>
      <c r="D59" s="12">
        <f>ROUND(((D$49*0.3838)*0.01724),0)</f>
        <v>4718</v>
      </c>
      <c r="E59" s="12"/>
      <c r="F59" s="12"/>
      <c r="G59" s="12"/>
    </row>
    <row r="60" spans="2:7" x14ac:dyDescent="0.25">
      <c r="B60">
        <v>2032</v>
      </c>
      <c r="C60" s="12"/>
      <c r="D60" s="12">
        <f>ROUND(((D$49*0.3248)*0.01724),0)</f>
        <v>3993</v>
      </c>
      <c r="E60" s="12"/>
      <c r="F60" s="12"/>
      <c r="G60" s="12"/>
    </row>
    <row r="61" spans="2:7" x14ac:dyDescent="0.25">
      <c r="B61">
        <v>2033</v>
      </c>
      <c r="C61" s="12"/>
      <c r="D61" s="12">
        <f>ROUND(((D$49*0.2657)*0.01724),0)</f>
        <v>3266</v>
      </c>
      <c r="E61" s="12"/>
      <c r="F61" s="12"/>
      <c r="G61" s="12"/>
    </row>
    <row r="62" spans="2:7" x14ac:dyDescent="0.25">
      <c r="B62">
        <v>2034</v>
      </c>
      <c r="C62" s="12"/>
      <c r="D62" s="12">
        <f>ROUND(((D$49*0.2067)*0.01724),0)</f>
        <v>2541</v>
      </c>
      <c r="E62" s="12"/>
      <c r="F62" s="12"/>
      <c r="G62" s="12"/>
    </row>
    <row r="63" spans="2:7" x14ac:dyDescent="0.25">
      <c r="B63">
        <v>2035</v>
      </c>
      <c r="C63" s="12"/>
      <c r="D63" s="12">
        <f>ROUND(((D$49*0.1476)*0.01724),0)</f>
        <v>1815</v>
      </c>
      <c r="E63" s="12"/>
      <c r="F63" s="12"/>
      <c r="G63" s="12"/>
    </row>
    <row r="64" spans="2:7" x14ac:dyDescent="0.25">
      <c r="B64">
        <v>2036</v>
      </c>
      <c r="C64" s="12"/>
      <c r="D64" s="12">
        <f>ROUND(((D$49*0.0886)*0.01724),0)</f>
        <v>1089</v>
      </c>
      <c r="E64" s="12"/>
      <c r="F64" s="12"/>
      <c r="G64" s="12"/>
    </row>
    <row r="65" spans="2:7" x14ac:dyDescent="0.25">
      <c r="B65">
        <v>2037</v>
      </c>
      <c r="C65" s="12"/>
      <c r="D65" s="12">
        <f>ROUND(((D$49*0.0295)*0.01724),0)</f>
        <v>363</v>
      </c>
      <c r="E65" s="12"/>
      <c r="F65" s="12"/>
      <c r="G65" s="12"/>
    </row>
    <row r="66" spans="2:7" x14ac:dyDescent="0.25">
      <c r="C66" s="12"/>
      <c r="D66" s="12"/>
      <c r="E66" s="12"/>
      <c r="F66" s="12"/>
      <c r="G66" s="12"/>
    </row>
    <row r="67" spans="2:7" x14ac:dyDescent="0.25">
      <c r="C67" s="12"/>
      <c r="D67" s="12"/>
      <c r="E67" s="12"/>
      <c r="F67" s="12"/>
      <c r="G67" s="12"/>
    </row>
    <row r="68" spans="2:7" x14ac:dyDescent="0.25">
      <c r="C68" s="12"/>
      <c r="D68" s="12">
        <f>SUM(D51:D67)</f>
        <v>84119</v>
      </c>
      <c r="E68" s="12"/>
      <c r="F68" s="12"/>
      <c r="G6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73FC-7255-4A14-B714-422B7929C0B8}">
  <dimension ref="C4:M35"/>
  <sheetViews>
    <sheetView workbookViewId="0">
      <selection activeCell="C19" sqref="C19"/>
    </sheetView>
  </sheetViews>
  <sheetFormatPr defaultRowHeight="15" x14ac:dyDescent="0.25"/>
  <cols>
    <col min="3" max="3" width="2.85546875" customWidth="1"/>
    <col min="4" max="4" width="5.85546875" customWidth="1"/>
    <col min="8" max="8" width="25.85546875" customWidth="1"/>
    <col min="9" max="9" width="10.85546875" customWidth="1"/>
  </cols>
  <sheetData>
    <row r="4" spans="3:13" x14ac:dyDescent="0.25">
      <c r="C4" s="1" t="s">
        <v>28</v>
      </c>
    </row>
    <row r="5" spans="3:13" x14ac:dyDescent="0.25">
      <c r="C5" s="1" t="s">
        <v>29</v>
      </c>
    </row>
    <row r="6" spans="3:13" x14ac:dyDescent="0.25">
      <c r="I6" s="2"/>
      <c r="J6" s="2"/>
      <c r="K6" s="2"/>
      <c r="L6" s="2"/>
      <c r="M6" s="2"/>
    </row>
    <row r="7" spans="3:13" x14ac:dyDescent="0.25">
      <c r="C7" t="s">
        <v>30</v>
      </c>
      <c r="I7" s="2"/>
      <c r="J7" s="2"/>
      <c r="K7" s="2"/>
      <c r="L7" s="2"/>
      <c r="M7" s="2"/>
    </row>
    <row r="8" spans="3:13" x14ac:dyDescent="0.25">
      <c r="D8" t="s">
        <v>31</v>
      </c>
      <c r="I8" s="2"/>
      <c r="J8" s="2"/>
      <c r="K8" s="2"/>
      <c r="L8" s="2"/>
      <c r="M8" s="2"/>
    </row>
    <row r="9" spans="3:13" x14ac:dyDescent="0.25">
      <c r="E9" t="s">
        <v>32</v>
      </c>
      <c r="I9" s="2">
        <v>21940</v>
      </c>
      <c r="J9" s="2"/>
      <c r="K9" s="2"/>
      <c r="L9" s="2"/>
      <c r="M9" s="2"/>
    </row>
    <row r="10" spans="3:13" x14ac:dyDescent="0.25">
      <c r="I10" s="2"/>
      <c r="J10" s="2"/>
      <c r="K10" s="2"/>
      <c r="L10" s="2"/>
      <c r="M10" s="2"/>
    </row>
    <row r="11" spans="3:13" x14ac:dyDescent="0.25">
      <c r="I11" s="2"/>
      <c r="J11" s="2"/>
      <c r="K11" s="2"/>
      <c r="L11" s="2"/>
      <c r="M11" s="2"/>
    </row>
    <row r="12" spans="3:13" x14ac:dyDescent="0.25">
      <c r="C12" t="s">
        <v>47</v>
      </c>
      <c r="I12" s="2"/>
      <c r="J12" s="2"/>
      <c r="K12" s="2"/>
      <c r="L12" s="2"/>
      <c r="M12" s="2"/>
    </row>
    <row r="13" spans="3:13" x14ac:dyDescent="0.25">
      <c r="D13" t="s">
        <v>51</v>
      </c>
      <c r="I13" s="2">
        <v>269948</v>
      </c>
      <c r="J13" s="2"/>
      <c r="K13" s="2"/>
      <c r="L13" s="2"/>
      <c r="M13" s="2"/>
    </row>
    <row r="14" spans="3:13" x14ac:dyDescent="0.25">
      <c r="J14" s="2"/>
      <c r="K14" s="2"/>
      <c r="L14" s="2"/>
      <c r="M14" s="2"/>
    </row>
    <row r="15" spans="3:13" x14ac:dyDescent="0.25">
      <c r="C15" t="s">
        <v>48</v>
      </c>
      <c r="J15" s="2"/>
      <c r="K15" s="2"/>
      <c r="L15" s="2"/>
      <c r="M15" s="2"/>
    </row>
    <row r="16" spans="3:13" x14ac:dyDescent="0.25">
      <c r="D16" t="s">
        <v>46</v>
      </c>
      <c r="I16" s="2">
        <v>327252</v>
      </c>
      <c r="J16" s="2"/>
      <c r="K16" s="2"/>
      <c r="L16" s="2"/>
      <c r="M16" s="2"/>
    </row>
    <row r="17" spans="3:13" x14ac:dyDescent="0.25">
      <c r="I17" s="2"/>
      <c r="J17" s="2"/>
      <c r="K17" s="2"/>
      <c r="L17" s="2"/>
      <c r="M17" s="2"/>
    </row>
    <row r="18" spans="3:13" x14ac:dyDescent="0.25">
      <c r="C18" t="s">
        <v>49</v>
      </c>
      <c r="I18" s="2"/>
      <c r="J18" s="2"/>
      <c r="K18" s="2"/>
      <c r="L18" s="2"/>
      <c r="M18" s="2"/>
    </row>
    <row r="19" spans="3:13" x14ac:dyDescent="0.25">
      <c r="C19">
        <v>145</v>
      </c>
      <c r="D19" t="s">
        <v>50</v>
      </c>
      <c r="I19" s="2">
        <v>74217.600000000006</v>
      </c>
      <c r="J19" s="2"/>
      <c r="K19" s="2"/>
      <c r="L19" s="2"/>
      <c r="M19" s="2"/>
    </row>
    <row r="20" spans="3:13" x14ac:dyDescent="0.25">
      <c r="I20" s="2"/>
      <c r="J20" s="2"/>
      <c r="K20" s="2"/>
      <c r="L20" s="2"/>
      <c r="M20" s="2"/>
    </row>
    <row r="21" spans="3:13" x14ac:dyDescent="0.25">
      <c r="I21" s="2"/>
      <c r="J21" s="2"/>
      <c r="K21" s="2"/>
      <c r="L21" s="2"/>
      <c r="M21" s="2"/>
    </row>
    <row r="22" spans="3:13" x14ac:dyDescent="0.25">
      <c r="I22" s="3"/>
      <c r="J22" s="2"/>
      <c r="K22" s="2"/>
      <c r="L22" s="2"/>
      <c r="M22" s="2"/>
    </row>
    <row r="23" spans="3:13" x14ac:dyDescent="0.25">
      <c r="I23" s="2"/>
      <c r="J23" s="2"/>
      <c r="K23" s="2"/>
      <c r="L23" s="2"/>
      <c r="M23" s="2"/>
    </row>
    <row r="24" spans="3:13" ht="15.75" thickBot="1" x14ac:dyDescent="0.3">
      <c r="F24" s="1" t="s">
        <v>33</v>
      </c>
      <c r="I24" s="4">
        <f>SUM(I9:I22)</f>
        <v>693357.6</v>
      </c>
      <c r="J24" s="2"/>
      <c r="K24" s="2"/>
      <c r="L24" s="2"/>
      <c r="M24" s="2"/>
    </row>
    <row r="25" spans="3:13" ht="15.75" thickTop="1" x14ac:dyDescent="0.25">
      <c r="I25" s="2"/>
      <c r="J25" s="2"/>
      <c r="K25" s="2"/>
      <c r="L25" s="2"/>
      <c r="M25" s="2"/>
    </row>
    <row r="26" spans="3:13" x14ac:dyDescent="0.25">
      <c r="C26" t="s">
        <v>34</v>
      </c>
      <c r="I26" s="2">
        <f>'Attachment L'!G16</f>
        <v>693357.6</v>
      </c>
      <c r="J26" s="2"/>
      <c r="K26" s="2"/>
      <c r="L26" s="2"/>
      <c r="M26" s="2"/>
    </row>
    <row r="27" spans="3:13" x14ac:dyDescent="0.25">
      <c r="C27" t="s">
        <v>35</v>
      </c>
      <c r="I27" s="2">
        <f>+I24-I26</f>
        <v>0</v>
      </c>
      <c r="J27" s="2"/>
      <c r="K27" s="2"/>
      <c r="L27" s="2"/>
      <c r="M27" s="2"/>
    </row>
    <row r="28" spans="3:13" x14ac:dyDescent="0.25">
      <c r="I28" s="2"/>
      <c r="J28" s="2"/>
      <c r="K28" s="2"/>
      <c r="L28" s="2"/>
      <c r="M28" s="2"/>
    </row>
    <row r="29" spans="3:13" x14ac:dyDescent="0.25">
      <c r="C29" t="s">
        <v>36</v>
      </c>
      <c r="I29" s="2"/>
      <c r="J29" s="2"/>
      <c r="K29" s="2"/>
      <c r="L29" s="2"/>
      <c r="M29" s="2"/>
    </row>
    <row r="30" spans="3:13" x14ac:dyDescent="0.25">
      <c r="D30" t="s">
        <v>6</v>
      </c>
      <c r="I30" s="2">
        <f>'Attachment L'!G10</f>
        <v>0</v>
      </c>
      <c r="J30" s="2"/>
      <c r="K30" s="2"/>
      <c r="L30" s="2"/>
      <c r="M30" s="2"/>
    </row>
    <row r="31" spans="3:13" x14ac:dyDescent="0.25">
      <c r="D31" t="s">
        <v>37</v>
      </c>
      <c r="I31" s="2">
        <v>0</v>
      </c>
      <c r="J31" s="2"/>
      <c r="K31" s="2"/>
      <c r="L31" s="2"/>
      <c r="M31" s="2"/>
    </row>
    <row r="32" spans="3:13" x14ac:dyDescent="0.25">
      <c r="D32" t="s">
        <v>38</v>
      </c>
      <c r="I32" s="3">
        <v>0</v>
      </c>
      <c r="J32" s="2"/>
      <c r="K32" s="2"/>
      <c r="L32" s="2"/>
      <c r="M32" s="2"/>
    </row>
    <row r="33" spans="9:13" x14ac:dyDescent="0.25">
      <c r="I33" s="2"/>
      <c r="J33" s="2"/>
      <c r="K33" s="2"/>
      <c r="L33" s="2"/>
      <c r="M33" s="2"/>
    </row>
    <row r="34" spans="9:13" ht="15.75" thickBot="1" x14ac:dyDescent="0.3">
      <c r="I34" s="4">
        <f>SUM(I30:I33)</f>
        <v>0</v>
      </c>
      <c r="J34" s="2"/>
      <c r="K34" s="2"/>
      <c r="L34" s="2"/>
      <c r="M34" s="2"/>
    </row>
    <row r="35" spans="9:13" ht="15.75" thickTop="1" x14ac:dyDescent="0.25">
      <c r="I35" s="2"/>
      <c r="J35" s="2"/>
      <c r="K35" s="2"/>
      <c r="L35" s="2"/>
      <c r="M35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AA797-69C8-4017-93B1-90DB78E21FAA}">
  <dimension ref="B5:H28"/>
  <sheetViews>
    <sheetView topLeftCell="A2" workbookViewId="0">
      <selection activeCell="G17" sqref="G17"/>
    </sheetView>
  </sheetViews>
  <sheetFormatPr defaultRowHeight="15" x14ac:dyDescent="0.25"/>
  <cols>
    <col min="7" max="7" width="9.85546875" bestFit="1" customWidth="1"/>
  </cols>
  <sheetData>
    <row r="5" spans="2:8" x14ac:dyDescent="0.25">
      <c r="B5" s="1" t="s">
        <v>39</v>
      </c>
    </row>
    <row r="6" spans="2:8" x14ac:dyDescent="0.25">
      <c r="B6" s="1" t="s">
        <v>40</v>
      </c>
    </row>
    <row r="9" spans="2:8" x14ac:dyDescent="0.25">
      <c r="B9" t="s">
        <v>41</v>
      </c>
      <c r="G9" s="2">
        <v>0</v>
      </c>
      <c r="H9" s="2"/>
    </row>
    <row r="10" spans="2:8" x14ac:dyDescent="0.25">
      <c r="B10" t="s">
        <v>6</v>
      </c>
      <c r="G10" s="2">
        <v>0</v>
      </c>
      <c r="H10" s="2"/>
    </row>
    <row r="11" spans="2:8" x14ac:dyDescent="0.25">
      <c r="B11" t="s">
        <v>42</v>
      </c>
      <c r="G11" s="2">
        <v>0</v>
      </c>
      <c r="H11" s="2"/>
    </row>
    <row r="12" spans="2:8" x14ac:dyDescent="0.25">
      <c r="B12" t="s">
        <v>43</v>
      </c>
      <c r="G12" s="2">
        <f>+'Attachment H'!I31</f>
        <v>0</v>
      </c>
      <c r="H12" s="2"/>
    </row>
    <row r="13" spans="2:8" x14ac:dyDescent="0.25">
      <c r="B13" t="s">
        <v>38</v>
      </c>
      <c r="G13" s="3">
        <v>0</v>
      </c>
      <c r="H13" s="2"/>
    </row>
    <row r="14" spans="2:8" x14ac:dyDescent="0.25">
      <c r="G14" s="2"/>
      <c r="H14" s="2"/>
    </row>
    <row r="15" spans="2:8" x14ac:dyDescent="0.25">
      <c r="C15" t="s">
        <v>44</v>
      </c>
      <c r="G15" s="2">
        <f>SUM(G9:G14)</f>
        <v>0</v>
      </c>
      <c r="H15" s="2"/>
    </row>
    <row r="16" spans="2:8" x14ac:dyDescent="0.25">
      <c r="C16" t="s">
        <v>34</v>
      </c>
      <c r="G16" s="3">
        <f>SUM(G18-G15)</f>
        <v>693357.6</v>
      </c>
      <c r="H16" s="2"/>
    </row>
    <row r="17" spans="3:8" x14ac:dyDescent="0.25">
      <c r="G17" s="2"/>
      <c r="H17" s="2"/>
    </row>
    <row r="18" spans="3:8" ht="15.75" thickBot="1" x14ac:dyDescent="0.3">
      <c r="C18" t="s">
        <v>33</v>
      </c>
      <c r="G18" s="4">
        <f>G15+'Attachment H'!I24</f>
        <v>693357.6</v>
      </c>
      <c r="H18" s="2"/>
    </row>
    <row r="19" spans="3:8" ht="15.75" thickTop="1" x14ac:dyDescent="0.25">
      <c r="G19" s="2"/>
      <c r="H19" s="2"/>
    </row>
    <row r="20" spans="3:8" ht="15.75" thickBot="1" x14ac:dyDescent="0.3">
      <c r="C20" t="s">
        <v>45</v>
      </c>
      <c r="G20" s="5">
        <f>ROUND((G15/G18),2)</f>
        <v>0</v>
      </c>
      <c r="H20" s="2"/>
    </row>
    <row r="21" spans="3:8" ht="15.75" thickTop="1" x14ac:dyDescent="0.25">
      <c r="G21" s="2"/>
      <c r="H21" s="2"/>
    </row>
    <row r="22" spans="3:8" x14ac:dyDescent="0.25">
      <c r="G22" s="2"/>
      <c r="H22" s="2"/>
    </row>
    <row r="23" spans="3:8" x14ac:dyDescent="0.25">
      <c r="G23" s="2"/>
      <c r="H23" s="2"/>
    </row>
    <row r="24" spans="3:8" x14ac:dyDescent="0.25">
      <c r="G24" s="2"/>
      <c r="H24" s="2"/>
    </row>
    <row r="25" spans="3:8" x14ac:dyDescent="0.25">
      <c r="G25" s="2"/>
      <c r="H25" s="2"/>
    </row>
    <row r="26" spans="3:8" x14ac:dyDescent="0.25">
      <c r="G26" s="2"/>
      <c r="H26" s="2"/>
    </row>
    <row r="27" spans="3:8" x14ac:dyDescent="0.25">
      <c r="G27" s="2"/>
      <c r="H27" s="2"/>
    </row>
    <row r="28" spans="3:8" x14ac:dyDescent="0.25">
      <c r="G28" s="2"/>
      <c r="H2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F08767B7D02488818CBBD161AF80D" ma:contentTypeVersion="4" ma:contentTypeDescription="Create a new document." ma:contentTypeScope="" ma:versionID="9dde97f8fa9a5a4a43451537fa30f61d">
  <xsd:schema xmlns:xsd="http://www.w3.org/2001/XMLSchema" xmlns:xs="http://www.w3.org/2001/XMLSchema" xmlns:p="http://schemas.microsoft.com/office/2006/metadata/properties" xmlns:ns2="10fa9d04-633e-480e-8b6a-a3d0d51354c1" targetNamespace="http://schemas.microsoft.com/office/2006/metadata/properties" ma:root="true" ma:fieldsID="96907fc5357a70c08b31d632903b26af" ns2:_="">
    <xsd:import namespace="10fa9d04-633e-480e-8b6a-a3d0d51354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a9d04-633e-480e-8b6a-a3d0d51354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BAEA9-A551-4ABC-92B8-8CF6440BE6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D61D20-1C63-4EF5-AB8C-E1466E57D7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a9d04-633e-480e-8b6a-a3d0d51354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Attachment G1</vt:lpstr>
      <vt:lpstr>Attachment H</vt:lpstr>
      <vt:lpstr>Attachment 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Latitude E5570</dc:creator>
  <cp:keywords/>
  <dc:description/>
  <cp:lastModifiedBy>Donnie McCorkle</cp:lastModifiedBy>
  <cp:revision/>
  <dcterms:created xsi:type="dcterms:W3CDTF">2020-03-20T17:58:33Z</dcterms:created>
  <dcterms:modified xsi:type="dcterms:W3CDTF">2023-04-24T21:49:35Z</dcterms:modified>
  <cp:category/>
  <cp:contentStatus/>
</cp:coreProperties>
</file>