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sc_usf\High Cost\High Cost Distribution model\2023 (2021 data) NUSF-108\Revision\"/>
    </mc:Choice>
  </mc:AlternateContent>
  <xr:revisionPtr revIDLastSave="0" documentId="13_ncr:1_{C9C24CEA-ED66-496E-8099-286530B14E8D}" xr6:coauthVersionLast="47" xr6:coauthVersionMax="47" xr10:uidLastSave="{00000000-0000-0000-0000-000000000000}"/>
  <bookViews>
    <workbookView xWindow="28680" yWindow="-120" windowWidth="29040" windowHeight="15840" xr2:uid="{8B787188-FCFE-438E-8306-EB8A36008E0F}"/>
  </bookViews>
  <sheets>
    <sheet name="Budget &amp; Inputs" sheetId="2" r:id="rId1"/>
    <sheet name="Allocation" sheetId="3" r:id="rId2"/>
  </sheets>
  <definedNames>
    <definedName name="ACAM_Support_per_location">'Budget &amp; Inputs'!$B$6</definedName>
    <definedName name="Budget_Total">'Budget &amp; Inputs'!$B$16</definedName>
    <definedName name="Capped_Locations_BDS_Budget">'Budget &amp; Inputs'!$B$18</definedName>
    <definedName name="De_Minimis_Threshold">'Budget &amp; Inputs'!$B$7</definedName>
    <definedName name="State_Benchmark">'Budget &amp; Inputs'!$B$5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Q49" i="3"/>
  <c r="O49" i="3"/>
  <c r="M49" i="3"/>
  <c r="K49" i="3"/>
  <c r="Q47" i="3"/>
  <c r="O47" i="3"/>
  <c r="M47" i="3"/>
  <c r="K47" i="3"/>
  <c r="AC46" i="3"/>
  <c r="W46" i="3"/>
  <c r="AE45" i="3"/>
  <c r="AD45" i="3"/>
  <c r="W45" i="3"/>
  <c r="AC43" i="3"/>
  <c r="T43" i="3"/>
  <c r="P43" i="3"/>
  <c r="N43" i="3"/>
  <c r="L43" i="3"/>
  <c r="J43" i="3"/>
  <c r="I43" i="3"/>
  <c r="K43" i="3" s="1"/>
  <c r="M43" i="3" s="1"/>
  <c r="O43" i="3" s="1"/>
  <c r="Q43" i="3" s="1"/>
  <c r="G43" i="3"/>
  <c r="T42" i="3"/>
  <c r="I42" i="3"/>
  <c r="J42" i="3" s="1"/>
  <c r="K42" i="3" s="1"/>
  <c r="L42" i="3" s="1"/>
  <c r="M42" i="3" s="1"/>
  <c r="N42" i="3" s="1"/>
  <c r="O42" i="3" s="1"/>
  <c r="P42" i="3" s="1"/>
  <c r="Q42" i="3" s="1"/>
  <c r="G42" i="3"/>
  <c r="T41" i="3"/>
  <c r="I41" i="3"/>
  <c r="J41" i="3" s="1"/>
  <c r="G41" i="3"/>
  <c r="AC40" i="3"/>
  <c r="T40" i="3"/>
  <c r="P40" i="3"/>
  <c r="N40" i="3"/>
  <c r="L40" i="3"/>
  <c r="J40" i="3"/>
  <c r="I40" i="3"/>
  <c r="K40" i="3" s="1"/>
  <c r="M40" i="3" s="1"/>
  <c r="O40" i="3" s="1"/>
  <c r="Q40" i="3" s="1"/>
  <c r="G40" i="3"/>
  <c r="T39" i="3"/>
  <c r="I39" i="3"/>
  <c r="J39" i="3" s="1"/>
  <c r="G39" i="3"/>
  <c r="T38" i="3"/>
  <c r="J38" i="3"/>
  <c r="I38" i="3"/>
  <c r="G38" i="3"/>
  <c r="T37" i="3"/>
  <c r="J37" i="3"/>
  <c r="I37" i="3"/>
  <c r="G37" i="3"/>
  <c r="AC36" i="3"/>
  <c r="T36" i="3"/>
  <c r="P36" i="3"/>
  <c r="N36" i="3"/>
  <c r="L36" i="3"/>
  <c r="K36" i="3"/>
  <c r="M36" i="3" s="1"/>
  <c r="O36" i="3" s="1"/>
  <c r="Q36" i="3" s="1"/>
  <c r="J36" i="3"/>
  <c r="I36" i="3"/>
  <c r="G36" i="3"/>
  <c r="T35" i="3"/>
  <c r="I35" i="3"/>
  <c r="J35" i="3" s="1"/>
  <c r="K35" i="3" s="1"/>
  <c r="L35" i="3" s="1"/>
  <c r="M35" i="3" s="1"/>
  <c r="N35" i="3" s="1"/>
  <c r="O35" i="3" s="1"/>
  <c r="P35" i="3" s="1"/>
  <c r="Q35" i="3" s="1"/>
  <c r="G35" i="3"/>
  <c r="T34" i="3"/>
  <c r="I34" i="3"/>
  <c r="J34" i="3" s="1"/>
  <c r="G34" i="3"/>
  <c r="T33" i="3"/>
  <c r="I33" i="3"/>
  <c r="J33" i="3" s="1"/>
  <c r="K33" i="3" s="1"/>
  <c r="L33" i="3" s="1"/>
  <c r="M33" i="3" s="1"/>
  <c r="N33" i="3" s="1"/>
  <c r="O33" i="3" s="1"/>
  <c r="P33" i="3" s="1"/>
  <c r="Q33" i="3" s="1"/>
  <c r="G33" i="3"/>
  <c r="T32" i="3"/>
  <c r="I32" i="3"/>
  <c r="J32" i="3" s="1"/>
  <c r="K32" i="3" s="1"/>
  <c r="L32" i="3" s="1"/>
  <c r="M32" i="3" s="1"/>
  <c r="N32" i="3" s="1"/>
  <c r="O32" i="3" s="1"/>
  <c r="P32" i="3" s="1"/>
  <c r="Q32" i="3" s="1"/>
  <c r="G32" i="3"/>
  <c r="T31" i="3"/>
  <c r="J31" i="3"/>
  <c r="K31" i="3" s="1"/>
  <c r="L31" i="3" s="1"/>
  <c r="M31" i="3" s="1"/>
  <c r="N31" i="3" s="1"/>
  <c r="O31" i="3" s="1"/>
  <c r="P31" i="3" s="1"/>
  <c r="Q31" i="3" s="1"/>
  <c r="I31" i="3"/>
  <c r="G31" i="3"/>
  <c r="T30" i="3"/>
  <c r="J30" i="3"/>
  <c r="K30" i="3" s="1"/>
  <c r="L30" i="3" s="1"/>
  <c r="M30" i="3" s="1"/>
  <c r="N30" i="3" s="1"/>
  <c r="O30" i="3" s="1"/>
  <c r="P30" i="3" s="1"/>
  <c r="Q30" i="3" s="1"/>
  <c r="I30" i="3"/>
  <c r="G30" i="3"/>
  <c r="T29" i="3"/>
  <c r="I29" i="3"/>
  <c r="J29" i="3" s="1"/>
  <c r="K29" i="3" s="1"/>
  <c r="L29" i="3" s="1"/>
  <c r="M29" i="3" s="1"/>
  <c r="N29" i="3" s="1"/>
  <c r="O29" i="3" s="1"/>
  <c r="P29" i="3" s="1"/>
  <c r="Q29" i="3" s="1"/>
  <c r="G29" i="3"/>
  <c r="T28" i="3"/>
  <c r="I28" i="3"/>
  <c r="J28" i="3" s="1"/>
  <c r="G28" i="3"/>
  <c r="T27" i="3"/>
  <c r="J27" i="3"/>
  <c r="I27" i="3"/>
  <c r="G27" i="3"/>
  <c r="T26" i="3"/>
  <c r="I26" i="3"/>
  <c r="J26" i="3" s="1"/>
  <c r="G26" i="3"/>
  <c r="T25" i="3"/>
  <c r="I25" i="3"/>
  <c r="J25" i="3" s="1"/>
  <c r="G25" i="3"/>
  <c r="T24" i="3"/>
  <c r="I24" i="3"/>
  <c r="J24" i="3" s="1"/>
  <c r="G24" i="3"/>
  <c r="T23" i="3"/>
  <c r="J23" i="3"/>
  <c r="I23" i="3"/>
  <c r="G23" i="3"/>
  <c r="T22" i="3"/>
  <c r="J22" i="3"/>
  <c r="I22" i="3"/>
  <c r="G22" i="3"/>
  <c r="T21" i="3"/>
  <c r="I21" i="3"/>
  <c r="J21" i="3" s="1"/>
  <c r="G21" i="3"/>
  <c r="T20" i="3"/>
  <c r="J20" i="3"/>
  <c r="K20" i="3" s="1"/>
  <c r="L20" i="3" s="1"/>
  <c r="M20" i="3" s="1"/>
  <c r="N20" i="3" s="1"/>
  <c r="O20" i="3" s="1"/>
  <c r="P20" i="3" s="1"/>
  <c r="Q20" i="3" s="1"/>
  <c r="I20" i="3"/>
  <c r="G20" i="3"/>
  <c r="T19" i="3"/>
  <c r="I19" i="3"/>
  <c r="J19" i="3" s="1"/>
  <c r="K19" i="3" s="1"/>
  <c r="L19" i="3" s="1"/>
  <c r="M19" i="3" s="1"/>
  <c r="N19" i="3" s="1"/>
  <c r="O19" i="3" s="1"/>
  <c r="P19" i="3" s="1"/>
  <c r="Q19" i="3" s="1"/>
  <c r="G19" i="3"/>
  <c r="T18" i="3"/>
  <c r="I18" i="3"/>
  <c r="J18" i="3" s="1"/>
  <c r="G18" i="3"/>
  <c r="T17" i="3"/>
  <c r="I17" i="3"/>
  <c r="J17" i="3" s="1"/>
  <c r="K17" i="3" s="1"/>
  <c r="L17" i="3" s="1"/>
  <c r="M17" i="3" s="1"/>
  <c r="N17" i="3" s="1"/>
  <c r="O17" i="3" s="1"/>
  <c r="P17" i="3" s="1"/>
  <c r="Q17" i="3" s="1"/>
  <c r="G17" i="3"/>
  <c r="T16" i="3"/>
  <c r="I16" i="3"/>
  <c r="J16" i="3" s="1"/>
  <c r="G16" i="3"/>
  <c r="T15" i="3"/>
  <c r="J15" i="3"/>
  <c r="I15" i="3"/>
  <c r="G15" i="3"/>
  <c r="T14" i="3"/>
  <c r="I14" i="3"/>
  <c r="J14" i="3" s="1"/>
  <c r="G14" i="3"/>
  <c r="T13" i="3"/>
  <c r="I13" i="3"/>
  <c r="J13" i="3" s="1"/>
  <c r="K13" i="3" s="1"/>
  <c r="L13" i="3" s="1"/>
  <c r="M13" i="3" s="1"/>
  <c r="N13" i="3" s="1"/>
  <c r="O13" i="3" s="1"/>
  <c r="P13" i="3" s="1"/>
  <c r="Q13" i="3" s="1"/>
  <c r="G13" i="3"/>
  <c r="T12" i="3"/>
  <c r="J12" i="3"/>
  <c r="K12" i="3" s="1"/>
  <c r="L12" i="3" s="1"/>
  <c r="M12" i="3" s="1"/>
  <c r="N12" i="3" s="1"/>
  <c r="O12" i="3" s="1"/>
  <c r="P12" i="3" s="1"/>
  <c r="Q12" i="3" s="1"/>
  <c r="I12" i="3"/>
  <c r="G12" i="3"/>
  <c r="V45" i="3"/>
  <c r="T11" i="3"/>
  <c r="T45" i="3" s="1"/>
  <c r="P11" i="3"/>
  <c r="N11" i="3"/>
  <c r="L11" i="3"/>
  <c r="J11" i="3"/>
  <c r="I11" i="3"/>
  <c r="G11" i="3"/>
  <c r="G45" i="3" s="1"/>
  <c r="T10" i="3"/>
  <c r="K10" i="3"/>
  <c r="L10" i="3" s="1"/>
  <c r="M10" i="3" s="1"/>
  <c r="N10" i="3" s="1"/>
  <c r="O10" i="3" s="1"/>
  <c r="P10" i="3" s="1"/>
  <c r="Q10" i="3" s="1"/>
  <c r="I10" i="3"/>
  <c r="J10" i="3" s="1"/>
  <c r="G10" i="3"/>
  <c r="T9" i="3"/>
  <c r="I9" i="3"/>
  <c r="J9" i="3" s="1"/>
  <c r="K9" i="3" s="1"/>
  <c r="L9" i="3" s="1"/>
  <c r="M9" i="3" s="1"/>
  <c r="N9" i="3" s="1"/>
  <c r="O9" i="3" s="1"/>
  <c r="P9" i="3" s="1"/>
  <c r="Q9" i="3" s="1"/>
  <c r="G9" i="3"/>
  <c r="T8" i="3"/>
  <c r="I8" i="3"/>
  <c r="J8" i="3" s="1"/>
  <c r="K8" i="3" s="1"/>
  <c r="L8" i="3" s="1"/>
  <c r="M8" i="3" s="1"/>
  <c r="N8" i="3" s="1"/>
  <c r="O8" i="3" s="1"/>
  <c r="P8" i="3" s="1"/>
  <c r="Q8" i="3" s="1"/>
  <c r="G8" i="3"/>
  <c r="T7" i="3"/>
  <c r="I7" i="3"/>
  <c r="J7" i="3" s="1"/>
  <c r="K7" i="3" s="1"/>
  <c r="L7" i="3" s="1"/>
  <c r="M7" i="3" s="1"/>
  <c r="N7" i="3" s="1"/>
  <c r="O7" i="3" s="1"/>
  <c r="P7" i="3" s="1"/>
  <c r="Q7" i="3" s="1"/>
  <c r="G7" i="3"/>
  <c r="T6" i="3"/>
  <c r="J6" i="3"/>
  <c r="K6" i="3" s="1"/>
  <c r="L6" i="3" s="1"/>
  <c r="M6" i="3" s="1"/>
  <c r="N6" i="3" s="1"/>
  <c r="O6" i="3" s="1"/>
  <c r="P6" i="3" s="1"/>
  <c r="Q6" i="3" s="1"/>
  <c r="I6" i="3"/>
  <c r="G6" i="3"/>
  <c r="T5" i="3"/>
  <c r="I5" i="3"/>
  <c r="J5" i="3" s="1"/>
  <c r="C22" i="2"/>
  <c r="C21" i="2"/>
  <c r="D21" i="2" s="1"/>
  <c r="B21" i="2"/>
  <c r="C9" i="2"/>
  <c r="B22" i="2" s="1"/>
  <c r="D22" i="2" s="1"/>
  <c r="U45" i="3" l="1"/>
  <c r="W11" i="3"/>
  <c r="X11" i="3" s="1"/>
  <c r="Y11" i="3" s="1"/>
  <c r="B23" i="2"/>
  <c r="D23" i="2"/>
  <c r="K48" i="3"/>
  <c r="K5" i="3"/>
  <c r="W43" i="3"/>
  <c r="X43" i="3" s="1"/>
  <c r="Y43" i="3" s="1"/>
  <c r="Z43" i="3" s="1"/>
  <c r="AA43" i="3" s="1"/>
  <c r="AB43" i="3" s="1"/>
  <c r="C23" i="2"/>
  <c r="G46" i="3"/>
  <c r="G44" i="3"/>
  <c r="I45" i="3"/>
  <c r="K11" i="3"/>
  <c r="T44" i="3"/>
  <c r="T46" i="3"/>
  <c r="W36" i="3"/>
  <c r="X36" i="3" s="1"/>
  <c r="Y36" i="3" s="1"/>
  <c r="Z36" i="3" s="1"/>
  <c r="AA36" i="3" s="1"/>
  <c r="AB36" i="3" s="1"/>
  <c r="I46" i="3"/>
  <c r="I44" i="3"/>
  <c r="W40" i="3"/>
  <c r="X40" i="3" s="1"/>
  <c r="Y40" i="3" s="1"/>
  <c r="Z40" i="3" s="1"/>
  <c r="AA40" i="3" s="1"/>
  <c r="AB40" i="3" s="1"/>
  <c r="V46" i="3"/>
  <c r="W20" i="3" s="1"/>
  <c r="X20" i="3" s="1"/>
  <c r="Y20" i="3" s="1"/>
  <c r="Z20" i="3" s="1"/>
  <c r="AA20" i="3" s="1"/>
  <c r="V44" i="3"/>
  <c r="AC11" i="3"/>
  <c r="W25" i="3" l="1"/>
  <c r="X25" i="3" s="1"/>
  <c r="Y25" i="3" s="1"/>
  <c r="W32" i="3"/>
  <c r="X32" i="3" s="1"/>
  <c r="Y32" i="3" s="1"/>
  <c r="Z32" i="3" s="1"/>
  <c r="AA32" i="3" s="1"/>
  <c r="AD32" i="3" s="1"/>
  <c r="AF43" i="3"/>
  <c r="AE20" i="3"/>
  <c r="AD20" i="3"/>
  <c r="AB20" i="3"/>
  <c r="AF40" i="3"/>
  <c r="K45" i="3"/>
  <c r="M11" i="3"/>
  <c r="W38" i="3"/>
  <c r="X38" i="3" s="1"/>
  <c r="Y38" i="3" s="1"/>
  <c r="W5" i="3"/>
  <c r="L5" i="3"/>
  <c r="W10" i="3"/>
  <c r="X10" i="3" s="1"/>
  <c r="Y10" i="3" s="1"/>
  <c r="Z10" i="3" s="1"/>
  <c r="AA10" i="3" s="1"/>
  <c r="AF36" i="3"/>
  <c r="AE32" i="3"/>
  <c r="K50" i="3"/>
  <c r="K37" i="3" s="1"/>
  <c r="L37" i="3" s="1"/>
  <c r="M37" i="3" s="1"/>
  <c r="N37" i="3" s="1"/>
  <c r="O37" i="3" s="1"/>
  <c r="P37" i="3" s="1"/>
  <c r="Q37" i="3" s="1"/>
  <c r="K23" i="3"/>
  <c r="L23" i="3" s="1"/>
  <c r="W28" i="3"/>
  <c r="X28" i="3" s="1"/>
  <c r="Y28" i="3" s="1"/>
  <c r="W21" i="3"/>
  <c r="X21" i="3" s="1"/>
  <c r="Y21" i="3" s="1"/>
  <c r="W8" i="3"/>
  <c r="X8" i="3" s="1"/>
  <c r="Y8" i="3" s="1"/>
  <c r="Z8" i="3" s="1"/>
  <c r="AA8" i="3" s="1"/>
  <c r="K26" i="3"/>
  <c r="L26" i="3" s="1"/>
  <c r="M26" i="3" s="1"/>
  <c r="N26" i="3" s="1"/>
  <c r="O26" i="3" s="1"/>
  <c r="P26" i="3" s="1"/>
  <c r="Q26" i="3" s="1"/>
  <c r="W39" i="3"/>
  <c r="X39" i="3" s="1"/>
  <c r="Y39" i="3" s="1"/>
  <c r="W41" i="3"/>
  <c r="X41" i="3" s="1"/>
  <c r="Y41" i="3" s="1"/>
  <c r="K39" i="3"/>
  <c r="L39" i="3" s="1"/>
  <c r="M39" i="3" s="1"/>
  <c r="N39" i="3" s="1"/>
  <c r="O39" i="3" s="1"/>
  <c r="P39" i="3" s="1"/>
  <c r="Q39" i="3" s="1"/>
  <c r="W7" i="3"/>
  <c r="X7" i="3" s="1"/>
  <c r="Y7" i="3" s="1"/>
  <c r="Z7" i="3" s="1"/>
  <c r="AA7" i="3" s="1"/>
  <c r="W12" i="3"/>
  <c r="X12" i="3" s="1"/>
  <c r="Y12" i="3" s="1"/>
  <c r="Z12" i="3" s="1"/>
  <c r="AA12" i="3" s="1"/>
  <c r="W24" i="3"/>
  <c r="X24" i="3" s="1"/>
  <c r="Y24" i="3" s="1"/>
  <c r="W35" i="3"/>
  <c r="X35" i="3" s="1"/>
  <c r="Y35" i="3" s="1"/>
  <c r="Z35" i="3" s="1"/>
  <c r="AA35" i="3" s="1"/>
  <c r="W33" i="3"/>
  <c r="X33" i="3" s="1"/>
  <c r="Y33" i="3" s="1"/>
  <c r="Z33" i="3" s="1"/>
  <c r="AA33" i="3" s="1"/>
  <c r="W31" i="3"/>
  <c r="X31" i="3" s="1"/>
  <c r="Y31" i="3" s="1"/>
  <c r="Z31" i="3" s="1"/>
  <c r="AA31" i="3" s="1"/>
  <c r="W27" i="3"/>
  <c r="X27" i="3" s="1"/>
  <c r="Y27" i="3" s="1"/>
  <c r="K16" i="3"/>
  <c r="L16" i="3" s="1"/>
  <c r="X45" i="3"/>
  <c r="W23" i="3"/>
  <c r="X23" i="3" s="1"/>
  <c r="Y23" i="3" s="1"/>
  <c r="W29" i="3"/>
  <c r="X29" i="3" s="1"/>
  <c r="Y29" i="3" s="1"/>
  <c r="Z29" i="3" s="1"/>
  <c r="AA29" i="3" s="1"/>
  <c r="AB32" i="3"/>
  <c r="K24" i="3"/>
  <c r="L24" i="3" s="1"/>
  <c r="K25" i="3"/>
  <c r="L25" i="3" s="1"/>
  <c r="M25" i="3" s="1"/>
  <c r="N25" i="3" s="1"/>
  <c r="O25" i="3" s="1"/>
  <c r="P25" i="3" s="1"/>
  <c r="Q25" i="3" s="1"/>
  <c r="Z25" i="3" s="1"/>
  <c r="AA25" i="3" s="1"/>
  <c r="W19" i="3"/>
  <c r="X19" i="3" s="1"/>
  <c r="Y19" i="3" s="1"/>
  <c r="Z19" i="3" s="1"/>
  <c r="AA19" i="3" s="1"/>
  <c r="W14" i="3"/>
  <c r="X14" i="3" s="1"/>
  <c r="Y14" i="3" s="1"/>
  <c r="W13" i="3"/>
  <c r="X13" i="3" s="1"/>
  <c r="Y13" i="3" s="1"/>
  <c r="Z13" i="3" s="1"/>
  <c r="AA13" i="3" s="1"/>
  <c r="W16" i="3"/>
  <c r="X16" i="3" s="1"/>
  <c r="Y16" i="3" s="1"/>
  <c r="K22" i="3"/>
  <c r="L22" i="3" s="1"/>
  <c r="K18" i="3"/>
  <c r="L18" i="3" s="1"/>
  <c r="K14" i="3"/>
  <c r="L14" i="3" s="1"/>
  <c r="AC44" i="3"/>
  <c r="AC45" i="3"/>
  <c r="W37" i="3"/>
  <c r="X37" i="3" s="1"/>
  <c r="Y37" i="3" s="1"/>
  <c r="Z37" i="3" s="1"/>
  <c r="AA37" i="3" s="1"/>
  <c r="W30" i="3"/>
  <c r="X30" i="3" s="1"/>
  <c r="Y30" i="3" s="1"/>
  <c r="Z30" i="3" s="1"/>
  <c r="AA30" i="3" s="1"/>
  <c r="W34" i="3"/>
  <c r="X34" i="3" s="1"/>
  <c r="Y34" i="3" s="1"/>
  <c r="W26" i="3"/>
  <c r="X26" i="3" s="1"/>
  <c r="Y26" i="3" s="1"/>
  <c r="W18" i="3"/>
  <c r="X18" i="3" s="1"/>
  <c r="Y18" i="3" s="1"/>
  <c r="W6" i="3"/>
  <c r="X6" i="3" s="1"/>
  <c r="Y6" i="3" s="1"/>
  <c r="Z6" i="3" s="1"/>
  <c r="AA6" i="3" s="1"/>
  <c r="W22" i="3"/>
  <c r="X22" i="3" s="1"/>
  <c r="Y22" i="3" s="1"/>
  <c r="W15" i="3"/>
  <c r="X15" i="3" s="1"/>
  <c r="Y15" i="3" s="1"/>
  <c r="W9" i="3"/>
  <c r="X9" i="3" s="1"/>
  <c r="Y9" i="3" s="1"/>
  <c r="Z9" i="3" s="1"/>
  <c r="AA9" i="3" s="1"/>
  <c r="U46" i="3"/>
  <c r="U44" i="3"/>
  <c r="W17" i="3"/>
  <c r="X17" i="3" s="1"/>
  <c r="Y17" i="3" s="1"/>
  <c r="Z17" i="3" s="1"/>
  <c r="AA17" i="3" s="1"/>
  <c r="W42" i="3"/>
  <c r="X42" i="3" s="1"/>
  <c r="Y42" i="3" s="1"/>
  <c r="Z42" i="3" s="1"/>
  <c r="AA42" i="3" s="1"/>
  <c r="Y45" i="3"/>
  <c r="Z26" i="3" l="1"/>
  <c r="AA26" i="3" s="1"/>
  <c r="K28" i="3"/>
  <c r="L28" i="3" s="1"/>
  <c r="K38" i="3"/>
  <c r="L38" i="3" s="1"/>
  <c r="AE25" i="3"/>
  <c r="AD25" i="3"/>
  <c r="AE12" i="3"/>
  <c r="AD12" i="3"/>
  <c r="AB12" i="3"/>
  <c r="K41" i="3"/>
  <c r="L41" i="3" s="1"/>
  <c r="M41" i="3" s="1"/>
  <c r="N41" i="3" s="1"/>
  <c r="O41" i="3" s="1"/>
  <c r="P41" i="3" s="1"/>
  <c r="Q41" i="3" s="1"/>
  <c r="Z41" i="3" s="1"/>
  <c r="AA41" i="3" s="1"/>
  <c r="M5" i="3"/>
  <c r="AE17" i="3"/>
  <c r="AD17" i="3"/>
  <c r="AB17" i="3"/>
  <c r="AE10" i="3"/>
  <c r="AD10" i="3"/>
  <c r="AB10" i="3"/>
  <c r="AE30" i="3"/>
  <c r="AD30" i="3"/>
  <c r="AB30" i="3"/>
  <c r="AE13" i="3"/>
  <c r="AD13" i="3"/>
  <c r="AB13" i="3"/>
  <c r="AD7" i="3"/>
  <c r="AE7" i="3"/>
  <c r="AB7" i="3"/>
  <c r="AB37" i="3"/>
  <c r="K34" i="3"/>
  <c r="L34" i="3" s="1"/>
  <c r="AE9" i="3"/>
  <c r="AD9" i="3"/>
  <c r="AB9" i="3"/>
  <c r="AE37" i="3"/>
  <c r="AD37" i="3"/>
  <c r="AF20" i="3"/>
  <c r="AE26" i="3"/>
  <c r="AD26" i="3"/>
  <c r="AE19" i="3"/>
  <c r="AD19" i="3"/>
  <c r="AB19" i="3"/>
  <c r="K21" i="3"/>
  <c r="L21" i="3" s="1"/>
  <c r="W44" i="3"/>
  <c r="X5" i="3"/>
  <c r="AE8" i="3"/>
  <c r="AD8" i="3"/>
  <c r="AB8" i="3"/>
  <c r="AB25" i="3"/>
  <c r="AE31" i="3"/>
  <c r="AD31" i="3"/>
  <c r="AB31" i="3"/>
  <c r="Z39" i="3"/>
  <c r="AA39" i="3" s="1"/>
  <c r="AB39" i="3" s="1"/>
  <c r="AE29" i="3"/>
  <c r="AD29" i="3"/>
  <c r="AB29" i="3"/>
  <c r="AE6" i="3"/>
  <c r="AD6" i="3"/>
  <c r="AB6" i="3"/>
  <c r="AE33" i="3"/>
  <c r="AD33" i="3"/>
  <c r="AB33" i="3"/>
  <c r="K27" i="3"/>
  <c r="L27" i="3" s="1"/>
  <c r="K15" i="3"/>
  <c r="L15" i="3" s="1"/>
  <c r="M45" i="3"/>
  <c r="O11" i="3"/>
  <c r="AD42" i="3"/>
  <c r="AE42" i="3"/>
  <c r="AB42" i="3"/>
  <c r="AF32" i="3"/>
  <c r="AE35" i="3"/>
  <c r="AD35" i="3"/>
  <c r="AB35" i="3"/>
  <c r="AB26" i="3"/>
  <c r="AE41" i="3" l="1"/>
  <c r="AD41" i="3"/>
  <c r="AF31" i="3"/>
  <c r="X46" i="3"/>
  <c r="X44" i="3"/>
  <c r="Y5" i="3"/>
  <c r="AF13" i="3"/>
  <c r="AF17" i="3"/>
  <c r="AF33" i="3"/>
  <c r="AF29" i="3"/>
  <c r="K44" i="3"/>
  <c r="AF26" i="3"/>
  <c r="AF42" i="3"/>
  <c r="AF25" i="3"/>
  <c r="AF37" i="3"/>
  <c r="AF30" i="3"/>
  <c r="AF35" i="3"/>
  <c r="N5" i="3"/>
  <c r="M48" i="3"/>
  <c r="O45" i="3"/>
  <c r="Q11" i="3"/>
  <c r="K46" i="3"/>
  <c r="AF10" i="3"/>
  <c r="AB41" i="3"/>
  <c r="AF8" i="3"/>
  <c r="AF19" i="3"/>
  <c r="AF9" i="3"/>
  <c r="AF7" i="3"/>
  <c r="AF6" i="3"/>
  <c r="AE39" i="3"/>
  <c r="AD39" i="3"/>
  <c r="AF12" i="3"/>
  <c r="AF39" i="3" l="1"/>
  <c r="Q45" i="3"/>
  <c r="Z11" i="3"/>
  <c r="AA11" i="3" s="1"/>
  <c r="AB11" i="3" s="1"/>
  <c r="Y44" i="3"/>
  <c r="Y46" i="3"/>
  <c r="M24" i="3"/>
  <c r="N24" i="3" s="1"/>
  <c r="M16" i="3"/>
  <c r="N16" i="3" s="1"/>
  <c r="M18" i="3"/>
  <c r="N18" i="3" s="1"/>
  <c r="O5" i="3"/>
  <c r="AF41" i="3"/>
  <c r="M15" i="3"/>
  <c r="N15" i="3" s="1"/>
  <c r="M50" i="3"/>
  <c r="M27" i="3" s="1"/>
  <c r="N27" i="3" s="1"/>
  <c r="AF11" i="3" l="1"/>
  <c r="AF45" i="3" s="1"/>
  <c r="AB45" i="3"/>
  <c r="M38" i="3"/>
  <c r="N38" i="3" s="1"/>
  <c r="M21" i="3"/>
  <c r="N21" i="3" s="1"/>
  <c r="O21" i="3" s="1"/>
  <c r="P21" i="3" s="1"/>
  <c r="Q21" i="3" s="1"/>
  <c r="M23" i="3"/>
  <c r="N23" i="3" s="1"/>
  <c r="M22" i="3"/>
  <c r="N22" i="3" s="1"/>
  <c r="M34" i="3"/>
  <c r="N34" i="3" s="1"/>
  <c r="O34" i="3" s="1"/>
  <c r="P34" i="3" s="1"/>
  <c r="Q34" i="3" s="1"/>
  <c r="M14" i="3"/>
  <c r="P5" i="3"/>
  <c r="M28" i="3"/>
  <c r="N28" i="3" s="1"/>
  <c r="O28" i="3" s="1"/>
  <c r="P28" i="3" s="1"/>
  <c r="Q28" i="3" s="1"/>
  <c r="Z21" i="3" l="1"/>
  <c r="AA21" i="3" s="1"/>
  <c r="N14" i="3"/>
  <c r="M46" i="3"/>
  <c r="M44" i="3"/>
  <c r="Z34" i="3"/>
  <c r="AA34" i="3" s="1"/>
  <c r="AB34" i="3" s="1"/>
  <c r="Z28" i="3"/>
  <c r="AA28" i="3" s="1"/>
  <c r="Q5" i="3"/>
  <c r="AE34" i="3" l="1"/>
  <c r="AD34" i="3"/>
  <c r="AF34" i="3" s="1"/>
  <c r="Z5" i="3"/>
  <c r="AA5" i="3" s="1"/>
  <c r="O50" i="3"/>
  <c r="AE28" i="3"/>
  <c r="AD28" i="3"/>
  <c r="O48" i="3"/>
  <c r="O14" i="3" s="1"/>
  <c r="AB28" i="3"/>
  <c r="AE21" i="3"/>
  <c r="AD21" i="3"/>
  <c r="AB21" i="3"/>
  <c r="AE5" i="3" l="1"/>
  <c r="AD5" i="3"/>
  <c r="AF28" i="3"/>
  <c r="AB5" i="3"/>
  <c r="O16" i="3"/>
  <c r="P16" i="3" s="1"/>
  <c r="O15" i="3"/>
  <c r="P15" i="3" s="1"/>
  <c r="O27" i="3"/>
  <c r="P27" i="3" s="1"/>
  <c r="O24" i="3"/>
  <c r="P24" i="3" s="1"/>
  <c r="O18" i="3"/>
  <c r="P18" i="3" s="1"/>
  <c r="O22" i="3"/>
  <c r="P22" i="3" s="1"/>
  <c r="O38" i="3"/>
  <c r="P38" i="3" s="1"/>
  <c r="O23" i="3"/>
  <c r="P23" i="3" s="1"/>
  <c r="P14" i="3"/>
  <c r="AF21" i="3"/>
  <c r="Q48" i="3" l="1"/>
  <c r="Q14" i="3" s="1"/>
  <c r="AF5" i="3"/>
  <c r="O46" i="3"/>
  <c r="Q50" i="3" s="1"/>
  <c r="O44" i="3"/>
  <c r="Q27" i="3" l="1"/>
  <c r="Q22" i="3"/>
  <c r="Z22" i="3" s="1"/>
  <c r="AA22" i="3" s="1"/>
  <c r="Q24" i="3"/>
  <c r="Z24" i="3" s="1"/>
  <c r="AA24" i="3" s="1"/>
  <c r="Z14" i="3"/>
  <c r="AA14" i="3" s="1"/>
  <c r="Q15" i="3"/>
  <c r="Q23" i="3"/>
  <c r="Q18" i="3"/>
  <c r="Q16" i="3"/>
  <c r="Z27" i="3"/>
  <c r="AA27" i="3" s="1"/>
  <c r="AB27" i="3" s="1"/>
  <c r="Q38" i="3"/>
  <c r="Q44" i="3" l="1"/>
  <c r="AE27" i="3"/>
  <c r="AD27" i="3"/>
  <c r="Z16" i="3"/>
  <c r="AA16" i="3" s="1"/>
  <c r="AB16" i="3" s="1"/>
  <c r="Q46" i="3"/>
  <c r="Z18" i="3"/>
  <c r="AA18" i="3" s="1"/>
  <c r="AB18" i="3" s="1"/>
  <c r="Z23" i="3"/>
  <c r="AA23" i="3" s="1"/>
  <c r="AD14" i="3"/>
  <c r="AE14" i="3"/>
  <c r="Z15" i="3"/>
  <c r="AA15" i="3" s="1"/>
  <c r="AB15" i="3" s="1"/>
  <c r="AB14" i="3"/>
  <c r="AE24" i="3"/>
  <c r="AD24" i="3"/>
  <c r="AE22" i="3"/>
  <c r="AD22" i="3"/>
  <c r="Z38" i="3"/>
  <c r="AA38" i="3" s="1"/>
  <c r="AB24" i="3"/>
  <c r="AB22" i="3"/>
  <c r="AF27" i="3" l="1"/>
  <c r="AE38" i="3"/>
  <c r="AD38" i="3"/>
  <c r="AB38" i="3"/>
  <c r="AA46" i="3"/>
  <c r="AA45" i="3"/>
  <c r="AE16" i="3"/>
  <c r="AD16" i="3"/>
  <c r="AE23" i="3"/>
  <c r="AD23" i="3"/>
  <c r="AF22" i="3"/>
  <c r="AF14" i="3"/>
  <c r="AB46" i="3"/>
  <c r="AB23" i="3"/>
  <c r="AB44" i="3" s="1"/>
  <c r="AF24" i="3"/>
  <c r="AE15" i="3"/>
  <c r="AE44" i="3" s="1"/>
  <c r="AD15" i="3"/>
  <c r="AE18" i="3"/>
  <c r="AD18" i="3"/>
  <c r="AE46" i="3" l="1"/>
  <c r="AF16" i="3"/>
  <c r="AD44" i="3"/>
  <c r="AF15" i="3"/>
  <c r="AD46" i="3"/>
  <c r="AF38" i="3"/>
  <c r="AF18" i="3"/>
  <c r="AF46" i="3" s="1"/>
  <c r="AF23" i="3"/>
  <c r="AA44" i="3"/>
  <c r="AF44" i="3" l="1"/>
</calcChain>
</file>

<file path=xl/sharedStrings.xml><?xml version="1.0" encoding="utf-8"?>
<sst xmlns="http://schemas.openxmlformats.org/spreadsheetml/2006/main" count="226" uniqueCount="166">
  <si>
    <t>State Benchmark</t>
  </si>
  <si>
    <t>ACAM Support per location</t>
  </si>
  <si>
    <t>De Minimis Threshold</t>
  </si>
  <si>
    <t>Overall Budget Split</t>
  </si>
  <si>
    <t>RoR</t>
  </si>
  <si>
    <t>PC</t>
  </si>
  <si>
    <t>RoR Budget Split</t>
  </si>
  <si>
    <t>Ongoing</t>
  </si>
  <si>
    <t>Broadband Support</t>
  </si>
  <si>
    <t>PC Budget Split</t>
  </si>
  <si>
    <t>Budget Total (not inclusive of BDS-CL amount)</t>
  </si>
  <si>
    <t>2021 Unused NUSF-108 BDS funds</t>
  </si>
  <si>
    <t>Broadband Deployment Support for Capped Locations</t>
  </si>
  <si>
    <t>Budget Breakdown</t>
  </si>
  <si>
    <t>Total</t>
  </si>
  <si>
    <t>Ongoing Support</t>
  </si>
  <si>
    <t>Broadband Deployment Support</t>
  </si>
  <si>
    <t>Final Amounts</t>
  </si>
  <si>
    <t>NE Code</t>
  </si>
  <si>
    <t>Company Name</t>
  </si>
  <si>
    <t>Type</t>
  </si>
  <si>
    <t>Frozen Share</t>
  </si>
  <si>
    <t>Eligible Ongoing Support Amount</t>
  </si>
  <si>
    <t>Ongoing Support Base</t>
  </si>
  <si>
    <t>Share of the Model Support Base</t>
  </si>
  <si>
    <t>Base Total Model Ongoing Support Amount</t>
  </si>
  <si>
    <t>Initial Ongoing Support Amount</t>
  </si>
  <si>
    <t>Gets redistribution in the next step</t>
  </si>
  <si>
    <t>Redistribution Step 1</t>
  </si>
  <si>
    <t>Redistribution Step 2</t>
  </si>
  <si>
    <t>Redistribution Step 3</t>
  </si>
  <si>
    <t>Intermediate Ongoing Support Amount</t>
  </si>
  <si>
    <t>Broadband Deployment Support Base</t>
  </si>
  <si>
    <t>Share of the Broadband Support Base</t>
  </si>
  <si>
    <t>Broadband Deployment Support Amount</t>
  </si>
  <si>
    <t>Capped Locations BDS Base</t>
  </si>
  <si>
    <t>Capped Locations Share of the BDS Base</t>
  </si>
  <si>
    <t>Capped Locations BDS Amount</t>
  </si>
  <si>
    <t>Total Broadband Support Amount</t>
  </si>
  <si>
    <t>Share of Broadband Support of Total Support</t>
  </si>
  <si>
    <t>Transfer to Ongoing</t>
  </si>
  <si>
    <t>Final Ongoing Support</t>
  </si>
  <si>
    <t>PC Broadband Deployment Support</t>
  </si>
  <si>
    <t>RoR Broadband Deployment Support (non-ACAM areas)</t>
  </si>
  <si>
    <t>RoR Broadband Deployment Support for Capped Locations</t>
  </si>
  <si>
    <t>Total Support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</si>
  <si>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</si>
  <si>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</si>
  <si>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</si>
  <si>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</si>
  <si>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</si>
  <si>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</si>
  <si>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</si>
  <si>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</si>
  <si>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</si>
  <si>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</si>
  <si>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</si>
  <si>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</si>
  <si>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</si>
  <si>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</si>
  <si>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</si>
  <si>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</si>
  <si>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</si>
  <si>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</si>
  <si>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</si>
  <si>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</si>
  <si>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</si>
  <si>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</si>
  <si>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</si>
  <si>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</si>
  <si>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</si>
  <si>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</si>
  <si>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</si>
  <si>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</si>
  <si>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Earnings Test</t>
  </si>
  <si>
    <t>SBCM Output</t>
  </si>
  <si>
    <t>=(b)/Σ(b)</t>
  </si>
  <si>
    <t>=Ongoing Support Budget*(c)</t>
  </si>
  <si>
    <t>=Minimum of (a) and (d)</t>
  </si>
  <si>
    <t>=(o)/Σ(o)</t>
  </si>
  <si>
    <t>=Broadband Support Budget * p</t>
  </si>
  <si>
    <t>=(r)/Σ(r)</t>
  </si>
  <si>
    <t>=Capped Locations Broadband Support Budget * s</t>
  </si>
  <si>
    <t>=q+t</t>
  </si>
  <si>
    <t>=(u)/((u)+(m))</t>
  </si>
  <si>
    <t>=(v)&lt;De Minimis Threshold</t>
  </si>
  <si>
    <t>NE000033</t>
  </si>
  <si>
    <t>NE000047</t>
  </si>
  <si>
    <t>NE000100</t>
  </si>
  <si>
    <t>NE000032</t>
  </si>
  <si>
    <t>NE000044</t>
  </si>
  <si>
    <t>NE000058</t>
  </si>
  <si>
    <t>NE000065</t>
  </si>
  <si>
    <t>NE000078</t>
  </si>
  <si>
    <t>NE000079</t>
  </si>
  <si>
    <t>NE000157</t>
  </si>
  <si>
    <t>NE000085</t>
  </si>
  <si>
    <t>NE000090</t>
  </si>
  <si>
    <t>NE000095</t>
  </si>
  <si>
    <t>NE000097</t>
  </si>
  <si>
    <t>NE000111</t>
  </si>
  <si>
    <t>NE000186</t>
  </si>
  <si>
    <t>NE000133</t>
  </si>
  <si>
    <t>NE000137</t>
  </si>
  <si>
    <t>NE000148</t>
  </si>
  <si>
    <t>NE000149</t>
  </si>
  <si>
    <t>NE000150</t>
  </si>
  <si>
    <t>NE000151</t>
  </si>
  <si>
    <t>NE000152</t>
  </si>
  <si>
    <t>NE000154</t>
  </si>
  <si>
    <t>NE000158</t>
  </si>
  <si>
    <t>NE000183</t>
  </si>
  <si>
    <t>NE000215</t>
  </si>
  <si>
    <t>NE000237</t>
  </si>
  <si>
    <t>NE000256</t>
  </si>
  <si>
    <t>NE000257</t>
  </si>
  <si>
    <t>NE000288</t>
  </si>
  <si>
    <t>NE000335</t>
  </si>
  <si>
    <t>NE000289</t>
  </si>
  <si>
    <t>NE000296</t>
  </si>
  <si>
    <t>NE000318</t>
  </si>
  <si>
    <t>NE000329</t>
  </si>
  <si>
    <t>NE000348</t>
  </si>
  <si>
    <t>NE000275</t>
  </si>
  <si>
    <t>NE000014</t>
  </si>
  <si>
    <t>Redistribution Base</t>
  </si>
  <si>
    <t>Redistribution Amount</t>
  </si>
  <si>
    <t>Arlington</t>
  </si>
  <si>
    <t>Blair</t>
  </si>
  <si>
    <t>Eastern</t>
  </si>
  <si>
    <t>Arapahoe</t>
  </si>
  <si>
    <t>Benkelman</t>
  </si>
  <si>
    <t>Cambridge</t>
  </si>
  <si>
    <t>Citizens</t>
  </si>
  <si>
    <t>Consolidated Telco</t>
  </si>
  <si>
    <t>Consolidated Tele</t>
  </si>
  <si>
    <t>Consolidated Telecom</t>
  </si>
  <si>
    <t>Cozad</t>
  </si>
  <si>
    <t>Curtis</t>
  </si>
  <si>
    <t>Dalton</t>
  </si>
  <si>
    <t>Diller</t>
  </si>
  <si>
    <t>Elsie</t>
  </si>
  <si>
    <t>Glenwood NS</t>
  </si>
  <si>
    <t>Glenwood TMC</t>
  </si>
  <si>
    <t>Great Plains</t>
  </si>
  <si>
    <t>Hamilton</t>
  </si>
  <si>
    <t>Hartington</t>
  </si>
  <si>
    <t>Hartman</t>
  </si>
  <si>
    <t>Hemingford</t>
  </si>
  <si>
    <t>Henderson</t>
  </si>
  <si>
    <t>Hershey</t>
  </si>
  <si>
    <t>Hooper</t>
  </si>
  <si>
    <t>K&amp;M</t>
  </si>
  <si>
    <t>Nebraska Central</t>
  </si>
  <si>
    <t>Northeast Nebraska</t>
  </si>
  <si>
    <t>Pierce</t>
  </si>
  <si>
    <t>Plainview</t>
  </si>
  <si>
    <t>Sodtown</t>
  </si>
  <si>
    <t>Qwest</t>
  </si>
  <si>
    <t>Southeast Nebraska</t>
  </si>
  <si>
    <t>Stanton</t>
  </si>
  <si>
    <t>Three River</t>
  </si>
  <si>
    <t>UTC</t>
  </si>
  <si>
    <t>Wauneta</t>
  </si>
  <si>
    <t>Rock</t>
  </si>
  <si>
    <t>Windstream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</si>
</sst>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0%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44" fontId="0" fillId="2" borderId="0" xfId="0" applyNumberFormat="1" applyFill="1"/>
    <xf numFmtId="10" fontId="0" fillId="0" borderId="0" xfId="0" applyNumberFormat="1"/>
    <xf numFmtId="9" fontId="0" fillId="2" borderId="0" xfId="0" applyNumberFormat="1" applyFill="1"/>
    <xf numFmtId="0" fontId="0" fillId="0" borderId="2" xfId="0" applyBorder="1"/>
    <xf numFmtId="164" fontId="0" fillId="2" borderId="0" xfId="0" applyNumberFormat="1" applyFill="1"/>
    <xf numFmtId="165" fontId="0" fillId="0" borderId="0" xfId="0" applyNumberFormat="1"/>
    <xf numFmtId="166" fontId="0" fillId="0" borderId="0" xfId="0" applyNumberFormat="1"/>
    <xf numFmtId="0" fontId="0" fillId="0" borderId="3" xfId="0" applyBorder="1"/>
    <xf numFmtId="164" fontId="0" fillId="3" borderId="4" xfId="0" applyNumberFormat="1" applyFill="1" applyBorder="1"/>
    <xf numFmtId="167" fontId="0" fillId="0" borderId="0" xfId="1" applyNumberFormat="1" applyFont="1"/>
    <xf numFmtId="167" fontId="0" fillId="0" borderId="0" xfId="0" applyNumberFormat="1"/>
    <xf numFmtId="9" fontId="0" fillId="3" borderId="0" xfId="0" applyNumberFormat="1" applyFill="1"/>
    <xf numFmtId="42" fontId="0" fillId="2" borderId="0" xfId="0" applyNumberFormat="1" applyFill="1"/>
    <xf numFmtId="42" fontId="0" fillId="2" borderId="5" xfId="0" applyNumberFormat="1" applyFill="1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4" xfId="0" applyBorder="1"/>
    <xf numFmtId="42" fontId="0" fillId="3" borderId="0" xfId="0" applyNumberFormat="1" applyFill="1"/>
    <xf numFmtId="42" fontId="0" fillId="0" borderId="0" xfId="0" applyNumberFormat="1"/>
    <xf numFmtId="44" fontId="0" fillId="0" borderId="0" xfId="0" applyNumberForma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quotePrefix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quotePrefix="1" applyFont="1" applyBorder="1" applyAlignment="1">
      <alignment horizontal="center" wrapText="1"/>
    </xf>
    <xf numFmtId="0" fontId="0" fillId="2" borderId="15" xfId="0" applyFill="1" applyBorder="1"/>
    <xf numFmtId="0" fontId="0" fillId="2" borderId="0" xfId="0" applyFill="1"/>
    <xf numFmtId="0" fontId="0" fillId="2" borderId="16" xfId="0" applyFill="1" applyBorder="1"/>
    <xf numFmtId="42" fontId="0" fillId="2" borderId="15" xfId="0" applyNumberFormat="1" applyFill="1" applyBorder="1"/>
    <xf numFmtId="10" fontId="0" fillId="2" borderId="0" xfId="0" applyNumberFormat="1" applyFill="1"/>
    <xf numFmtId="42" fontId="2" fillId="2" borderId="16" xfId="0" applyNumberFormat="1" applyFont="1" applyFill="1" applyBorder="1"/>
    <xf numFmtId="42" fontId="2" fillId="2" borderId="0" xfId="0" applyNumberFormat="1" applyFont="1" applyFill="1"/>
    <xf numFmtId="167" fontId="0" fillId="2" borderId="0" xfId="1" applyNumberFormat="1" applyFont="1" applyFill="1" applyBorder="1"/>
    <xf numFmtId="0" fontId="0" fillId="0" borderId="15" xfId="0" applyBorder="1"/>
    <xf numFmtId="0" fontId="0" fillId="0" borderId="16" xfId="0" applyBorder="1"/>
    <xf numFmtId="42" fontId="0" fillId="0" borderId="15" xfId="0" applyNumberFormat="1" applyBorder="1"/>
    <xf numFmtId="42" fontId="2" fillId="0" borderId="16" xfId="0" applyNumberFormat="1" applyFont="1" applyBorder="1"/>
    <xf numFmtId="42" fontId="2" fillId="0" borderId="0" xfId="0" applyNumberFormat="1" applyFont="1"/>
    <xf numFmtId="167" fontId="0" fillId="0" borderId="0" xfId="1" applyNumberFormat="1" applyFont="1" applyBorder="1"/>
    <xf numFmtId="9" fontId="0" fillId="0" borderId="0" xfId="0" applyNumberFormat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42" fontId="0" fillId="2" borderId="20" xfId="0" applyNumberFormat="1" applyFill="1" applyBorder="1"/>
    <xf numFmtId="42" fontId="0" fillId="2" borderId="21" xfId="0" applyNumberFormat="1" applyFill="1" applyBorder="1"/>
    <xf numFmtId="10" fontId="0" fillId="2" borderId="21" xfId="0" applyNumberFormat="1" applyFill="1" applyBorder="1"/>
    <xf numFmtId="42" fontId="2" fillId="2" borderId="22" xfId="0" applyNumberFormat="1" applyFont="1" applyFill="1" applyBorder="1"/>
    <xf numFmtId="42" fontId="2" fillId="2" borderId="21" xfId="0" applyNumberFormat="1" applyFont="1" applyFill="1" applyBorder="1"/>
    <xf numFmtId="167" fontId="0" fillId="2" borderId="21" xfId="1" applyNumberFormat="1" applyFont="1" applyFill="1" applyBorder="1"/>
    <xf numFmtId="9" fontId="0" fillId="2" borderId="21" xfId="0" applyNumberFormat="1" applyFill="1" applyBorder="1"/>
    <xf numFmtId="0" fontId="0" fillId="4" borderId="15" xfId="0" applyFill="1" applyBorder="1"/>
    <xf numFmtId="42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42" fontId="0" fillId="4" borderId="16" xfId="0" applyNumberFormat="1" applyFill="1" applyBorder="1"/>
    <xf numFmtId="42" fontId="0" fillId="4" borderId="15" xfId="0" applyNumberFormat="1" applyFill="1" applyBorder="1"/>
    <xf numFmtId="167" fontId="0" fillId="4" borderId="0" xfId="1" applyNumberFormat="1" applyFont="1" applyFill="1" applyBorder="1"/>
    <xf numFmtId="42" fontId="0" fillId="0" borderId="16" xfId="0" applyNumberFormat="1" applyBorder="1"/>
    <xf numFmtId="0" fontId="0" fillId="4" borderId="20" xfId="0" applyFill="1" applyBorder="1"/>
    <xf numFmtId="42" fontId="0" fillId="4" borderId="21" xfId="0" applyNumberFormat="1" applyFill="1" applyBorder="1"/>
    <xf numFmtId="10" fontId="0" fillId="4" borderId="21" xfId="0" applyNumberFormat="1" applyFill="1" applyBorder="1"/>
    <xf numFmtId="0" fontId="0" fillId="4" borderId="21" xfId="0" applyFill="1" applyBorder="1"/>
    <xf numFmtId="42" fontId="0" fillId="4" borderId="22" xfId="0" applyNumberFormat="1" applyFill="1" applyBorder="1"/>
    <xf numFmtId="42" fontId="0" fillId="4" borderId="20" xfId="0" applyNumberFormat="1" applyFill="1" applyBorder="1"/>
    <xf numFmtId="167" fontId="0" fillId="4" borderId="21" xfId="1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4" fontId="0" fillId="0" borderId="16" xfId="0" applyNumberFormat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2F62-763A-40A4-AC4E-71CB2076F7A4}">
  <sheetPr>
    <tabColor theme="0"/>
  </sheetPr>
  <dimension ref="A5:S139"/>
  <sheetViews>
    <sheetView tabSelected="1" workbookViewId="0"/>
  </sheetViews>
  <sheetFormatPr defaultRowHeight="15" x14ac:dyDescent="0.25"/>
  <cols>
    <col min="1" max="1" width="39" bestFit="1" customWidth="1"/>
    <col min="2" max="4" width="18.85546875" customWidth="1"/>
    <col min="5" max="5" width="15.28515625" bestFit="1" customWidth="1"/>
    <col min="6" max="6" width="12.5703125" bestFit="1" customWidth="1"/>
    <col min="7" max="7" width="14.28515625" bestFit="1" customWidth="1"/>
    <col min="8" max="8" width="15.28515625" bestFit="1" customWidth="1"/>
    <col min="10" max="10" width="13.7109375" bestFit="1" customWidth="1"/>
    <col min="11" max="11" width="11.140625" bestFit="1" customWidth="1"/>
    <col min="12" max="12" width="10.140625" bestFit="1" customWidth="1"/>
    <col min="13" max="14" width="12.7109375" bestFit="1" customWidth="1"/>
    <col min="15" max="15" width="13.85546875" bestFit="1" customWidth="1"/>
    <col min="16" max="16" width="12.7109375" bestFit="1" customWidth="1"/>
    <col min="17" max="17" width="13.85546875" bestFit="1" customWidth="1"/>
    <col min="18" max="18" width="12.7109375" bestFit="1" customWidth="1"/>
  </cols>
  <sheetData>
    <row r="5" spans="1:18" x14ac:dyDescent="0.25">
      <c r="A5" s="1" t="s">
        <v>0</v>
      </c>
      <c r="B5" s="2">
        <v>52.5</v>
      </c>
      <c r="O5" s="3"/>
      <c r="P5" s="3"/>
    </row>
    <row r="6" spans="1:18" x14ac:dyDescent="0.25">
      <c r="A6" s="1" t="s">
        <v>1</v>
      </c>
      <c r="B6" s="2">
        <v>200</v>
      </c>
      <c r="O6" s="3"/>
      <c r="P6" s="3"/>
    </row>
    <row r="7" spans="1:18" x14ac:dyDescent="0.25">
      <c r="A7" s="1" t="s">
        <v>2</v>
      </c>
      <c r="B7" s="4">
        <v>0.1</v>
      </c>
      <c r="O7" s="3"/>
      <c r="P7" s="3"/>
    </row>
    <row r="8" spans="1:18" x14ac:dyDescent="0.25">
      <c r="O8" s="3"/>
      <c r="P8" s="3"/>
    </row>
    <row r="9" spans="1:18" x14ac:dyDescent="0.25">
      <c r="A9" s="1" t="s">
        <v>3</v>
      </c>
      <c r="B9" s="5" t="s">
        <v>4</v>
      </c>
      <c r="C9" s="6">
        <f>1-C10</f>
        <v>0.5</v>
      </c>
      <c r="M9" s="7"/>
      <c r="O9" s="8"/>
      <c r="P9" s="8"/>
      <c r="Q9" s="8"/>
      <c r="R9" s="8"/>
    </row>
    <row r="10" spans="1:18" x14ac:dyDescent="0.25">
      <c r="A10" s="1"/>
      <c r="B10" s="9" t="s">
        <v>5</v>
      </c>
      <c r="C10" s="10">
        <v>0.5</v>
      </c>
      <c r="J10" s="7"/>
      <c r="M10" s="7"/>
    </row>
    <row r="11" spans="1:18" x14ac:dyDescent="0.25">
      <c r="A11" s="1" t="s">
        <v>6</v>
      </c>
      <c r="B11" s="1" t="s">
        <v>7</v>
      </c>
      <c r="C11" s="6">
        <v>0.68886402809281766</v>
      </c>
      <c r="D11" s="11"/>
      <c r="J11" s="7"/>
      <c r="K11" s="7"/>
      <c r="M11" s="7"/>
      <c r="O11" s="8"/>
    </row>
    <row r="12" spans="1:18" x14ac:dyDescent="0.25">
      <c r="A12" s="1"/>
      <c r="B12" s="9" t="s">
        <v>8</v>
      </c>
      <c r="C12" s="10">
        <v>0.3111359719071824</v>
      </c>
      <c r="D12" s="11"/>
      <c r="J12" s="7"/>
      <c r="K12" s="7"/>
      <c r="L12" s="7"/>
      <c r="M12" s="8"/>
      <c r="O12" s="8"/>
    </row>
    <row r="13" spans="1:18" x14ac:dyDescent="0.25">
      <c r="A13" t="s">
        <v>9</v>
      </c>
      <c r="B13" s="5" t="s">
        <v>7</v>
      </c>
      <c r="C13" s="4">
        <v>0.1</v>
      </c>
      <c r="D13" s="12"/>
      <c r="J13" s="7"/>
      <c r="K13" s="7"/>
      <c r="M13" s="8"/>
    </row>
    <row r="14" spans="1:18" x14ac:dyDescent="0.25">
      <c r="B14" s="5" t="s">
        <v>8</v>
      </c>
      <c r="C14" s="13">
        <v>0.9</v>
      </c>
      <c r="D14" s="12"/>
      <c r="J14" s="7"/>
      <c r="K14" s="7"/>
      <c r="M14" s="8"/>
    </row>
    <row r="15" spans="1:18" x14ac:dyDescent="0.25">
      <c r="D15" s="12"/>
      <c r="J15" s="7"/>
      <c r="K15" s="7"/>
      <c r="M15" s="8"/>
    </row>
    <row r="16" spans="1:18" x14ac:dyDescent="0.25">
      <c r="A16" s="1" t="s">
        <v>10</v>
      </c>
      <c r="B16" s="14">
        <v>43000000</v>
      </c>
      <c r="J16" s="7"/>
      <c r="K16" s="7"/>
      <c r="M16" s="8"/>
      <c r="O16" s="8"/>
    </row>
    <row r="17" spans="1:19" x14ac:dyDescent="0.25">
      <c r="A17" t="s">
        <v>11</v>
      </c>
      <c r="B17" s="15">
        <v>606938.68000000005</v>
      </c>
      <c r="J17" s="7"/>
      <c r="K17" s="7"/>
      <c r="M17" s="8"/>
      <c r="O17" s="8"/>
    </row>
    <row r="18" spans="1:19" ht="30" x14ac:dyDescent="0.25">
      <c r="A18" s="16" t="s">
        <v>12</v>
      </c>
      <c r="B18" s="15">
        <v>2000000</v>
      </c>
      <c r="J18" s="7"/>
      <c r="K18" s="7"/>
      <c r="M18" s="8"/>
      <c r="O18" s="8"/>
    </row>
    <row r="19" spans="1:19" x14ac:dyDescent="0.25">
      <c r="J19" s="7"/>
      <c r="M19" s="8"/>
      <c r="O19" s="8"/>
    </row>
    <row r="20" spans="1:19" x14ac:dyDescent="0.25">
      <c r="A20" s="17" t="s">
        <v>13</v>
      </c>
      <c r="B20" s="18" t="s">
        <v>7</v>
      </c>
      <c r="C20" s="18" t="s">
        <v>8</v>
      </c>
      <c r="D20" s="18" t="s">
        <v>14</v>
      </c>
      <c r="J20" s="7"/>
      <c r="M20" s="7"/>
      <c r="O20" s="8"/>
    </row>
    <row r="21" spans="1:19" x14ac:dyDescent="0.25">
      <c r="A21" s="1" t="s">
        <v>5</v>
      </c>
      <c r="B21" s="19">
        <f>Budget_Total*$C$13*C10</f>
        <v>2150000</v>
      </c>
      <c r="C21" s="19">
        <f>Budget_Total*C14*C10</f>
        <v>19350000</v>
      </c>
      <c r="D21" s="19">
        <f>SUM(B21:C21)</f>
        <v>21500000</v>
      </c>
      <c r="E21" s="20"/>
      <c r="F21" s="20"/>
      <c r="J21" s="3"/>
      <c r="K21" s="3"/>
      <c r="M21" s="7"/>
    </row>
    <row r="22" spans="1:19" x14ac:dyDescent="0.25">
      <c r="A22" s="1" t="s">
        <v>4</v>
      </c>
      <c r="B22" s="19">
        <f>Budget_Total*C9*C11+B17*C11</f>
        <v>15228674.827905718</v>
      </c>
      <c r="C22" s="19">
        <f>Budget_Total*C9*C12+B17*C12</f>
        <v>6878263.8520942843</v>
      </c>
      <c r="D22" s="19">
        <f>SUM(B22:C22)</f>
        <v>22106938.680000003</v>
      </c>
      <c r="E22" s="21"/>
      <c r="J22" s="3"/>
      <c r="K22" s="3"/>
      <c r="M22" s="7"/>
    </row>
    <row r="23" spans="1:19" x14ac:dyDescent="0.25">
      <c r="A23" s="1" t="s">
        <v>14</v>
      </c>
      <c r="B23" s="19">
        <f>SUM(B21:B22)</f>
        <v>17378674.827905718</v>
      </c>
      <c r="C23" s="19">
        <f>SUM(C21:C22)</f>
        <v>26228263.852094285</v>
      </c>
      <c r="D23" s="19">
        <f>SUM(D21:D22)</f>
        <v>43606938.680000007</v>
      </c>
      <c r="E23" s="21"/>
      <c r="J23" s="3"/>
      <c r="K23" s="3"/>
      <c r="M23" s="7"/>
    </row>
    <row r="24" spans="1:19" x14ac:dyDescent="0.25">
      <c r="O24" s="8"/>
      <c r="P24" s="8"/>
      <c r="Q24" s="8"/>
      <c r="R24" s="8"/>
      <c r="S24" s="3"/>
    </row>
    <row r="25" spans="1:19" x14ac:dyDescent="0.25">
      <c r="O25" s="8"/>
      <c r="S25" s="3"/>
    </row>
    <row r="26" spans="1:19" x14ac:dyDescent="0.25">
      <c r="N26" s="8"/>
    </row>
    <row r="29" spans="1:19" x14ac:dyDescent="0.25">
      <c r="P29" s="8"/>
    </row>
    <row r="30" spans="1:19" x14ac:dyDescent="0.25">
      <c r="F30" s="20"/>
    </row>
    <row r="33" spans="5:17" x14ac:dyDescent="0.25">
      <c r="F33" s="20"/>
    </row>
    <row r="35" spans="5:17" x14ac:dyDescent="0.25">
      <c r="E35" s="20"/>
      <c r="F35" s="20"/>
      <c r="G35" s="21"/>
      <c r="H35" s="21"/>
      <c r="M35" s="20"/>
      <c r="N35" s="20"/>
      <c r="O35" s="20"/>
      <c r="P35" s="20"/>
      <c r="Q35" s="20"/>
    </row>
    <row r="36" spans="5:17" x14ac:dyDescent="0.25">
      <c r="E36" s="20"/>
      <c r="F36" s="20"/>
      <c r="G36" s="21"/>
      <c r="H36" s="21"/>
    </row>
    <row r="37" spans="5:17" x14ac:dyDescent="0.25">
      <c r="E37" s="20"/>
      <c r="F37" s="20"/>
      <c r="G37" s="21"/>
      <c r="H37" s="21"/>
    </row>
    <row r="38" spans="5:17" x14ac:dyDescent="0.25">
      <c r="E38" s="20"/>
      <c r="F38" s="20"/>
      <c r="G38" s="21"/>
      <c r="H38" s="21"/>
    </row>
    <row r="39" spans="5:17" x14ac:dyDescent="0.25">
      <c r="E39" s="20"/>
      <c r="F39" s="20"/>
      <c r="G39" s="21"/>
      <c r="H39" s="21"/>
    </row>
    <row r="40" spans="5:17" x14ac:dyDescent="0.25">
      <c r="E40" s="20"/>
      <c r="F40" s="20"/>
      <c r="G40" s="21"/>
      <c r="H40" s="21"/>
    </row>
    <row r="41" spans="5:17" x14ac:dyDescent="0.25">
      <c r="E41" s="20"/>
      <c r="F41" s="20"/>
      <c r="G41" s="21"/>
      <c r="H41" s="21"/>
    </row>
    <row r="42" spans="5:17" x14ac:dyDescent="0.25">
      <c r="E42" s="20"/>
      <c r="F42" s="20"/>
      <c r="G42" s="21"/>
      <c r="H42" s="21"/>
    </row>
    <row r="43" spans="5:17" x14ac:dyDescent="0.25">
      <c r="E43" s="20"/>
      <c r="F43" s="20"/>
      <c r="G43" s="21"/>
      <c r="H43" s="21"/>
    </row>
    <row r="44" spans="5:17" x14ac:dyDescent="0.25">
      <c r="E44" s="20"/>
      <c r="F44" s="20"/>
      <c r="G44" s="21"/>
      <c r="H44" s="21"/>
    </row>
    <row r="45" spans="5:17" x14ac:dyDescent="0.25">
      <c r="E45" s="20"/>
      <c r="F45" s="20"/>
      <c r="G45" s="21"/>
      <c r="H45" s="21"/>
    </row>
    <row r="46" spans="5:17" x14ac:dyDescent="0.25">
      <c r="E46" s="20"/>
      <c r="F46" s="20"/>
      <c r="G46" s="21"/>
      <c r="H46" s="21"/>
    </row>
    <row r="47" spans="5:17" x14ac:dyDescent="0.25">
      <c r="E47" s="20"/>
      <c r="F47" s="20"/>
      <c r="G47" s="21"/>
      <c r="H47" s="21"/>
    </row>
    <row r="48" spans="5:17" x14ac:dyDescent="0.25">
      <c r="E48" s="20"/>
      <c r="F48" s="20"/>
      <c r="G48" s="21"/>
      <c r="H48" s="21"/>
    </row>
    <row r="49" spans="5:16" x14ac:dyDescent="0.25">
      <c r="E49" s="20"/>
      <c r="F49" s="20"/>
      <c r="G49" s="21"/>
      <c r="H49" s="21"/>
    </row>
    <row r="50" spans="5:16" x14ac:dyDescent="0.25">
      <c r="E50" s="20"/>
      <c r="F50" s="20"/>
      <c r="G50" s="21"/>
      <c r="H50" s="21"/>
    </row>
    <row r="51" spans="5:16" x14ac:dyDescent="0.25">
      <c r="E51" s="20"/>
      <c r="F51" s="20"/>
      <c r="G51" s="21"/>
      <c r="H51" s="21"/>
    </row>
    <row r="52" spans="5:16" x14ac:dyDescent="0.25">
      <c r="E52" s="20"/>
      <c r="F52" s="20"/>
      <c r="G52" s="21"/>
      <c r="H52" s="21"/>
      <c r="P52" s="20"/>
    </row>
    <row r="53" spans="5:16" x14ac:dyDescent="0.25">
      <c r="E53" s="20"/>
      <c r="F53" s="20"/>
      <c r="G53" s="21"/>
      <c r="H53" s="21"/>
      <c r="P53" s="20"/>
    </row>
    <row r="54" spans="5:16" x14ac:dyDescent="0.25">
      <c r="E54" s="20"/>
      <c r="F54" s="20"/>
      <c r="G54" s="21"/>
      <c r="H54" s="21"/>
    </row>
    <row r="55" spans="5:16" x14ac:dyDescent="0.25">
      <c r="E55" s="20"/>
      <c r="F55" s="20"/>
      <c r="G55" s="21"/>
      <c r="H55" s="21"/>
    </row>
    <row r="56" spans="5:16" x14ac:dyDescent="0.25">
      <c r="E56" s="20"/>
      <c r="F56" s="20"/>
      <c r="G56" s="21"/>
      <c r="H56" s="21"/>
    </row>
    <row r="57" spans="5:16" x14ac:dyDescent="0.25">
      <c r="E57" s="20"/>
      <c r="F57" s="20"/>
      <c r="G57" s="21"/>
      <c r="H57" s="21"/>
    </row>
    <row r="58" spans="5:16" x14ac:dyDescent="0.25">
      <c r="E58" s="20"/>
      <c r="F58" s="20"/>
      <c r="G58" s="21"/>
      <c r="H58" s="21"/>
    </row>
    <row r="59" spans="5:16" x14ac:dyDescent="0.25">
      <c r="E59" s="20"/>
      <c r="F59" s="20"/>
      <c r="G59" s="21"/>
      <c r="H59" s="21"/>
    </row>
    <row r="60" spans="5:16" x14ac:dyDescent="0.25">
      <c r="E60" s="20"/>
      <c r="F60" s="20"/>
      <c r="G60" s="21"/>
      <c r="H60" s="21"/>
    </row>
    <row r="61" spans="5:16" x14ac:dyDescent="0.25">
      <c r="E61" s="20"/>
      <c r="F61" s="20"/>
      <c r="G61" s="21"/>
      <c r="H61" s="21"/>
    </row>
    <row r="62" spans="5:16" x14ac:dyDescent="0.25">
      <c r="E62" s="20"/>
      <c r="F62" s="20"/>
      <c r="G62" s="21"/>
      <c r="H62" s="21"/>
    </row>
    <row r="63" spans="5:16" x14ac:dyDescent="0.25">
      <c r="E63" s="20"/>
      <c r="F63" s="20"/>
      <c r="G63" s="21"/>
      <c r="H63" s="21"/>
    </row>
    <row r="64" spans="5:16" x14ac:dyDescent="0.25">
      <c r="E64" s="20"/>
      <c r="F64" s="20"/>
      <c r="G64" s="21"/>
      <c r="H64" s="21"/>
    </row>
    <row r="65" spans="5:8" x14ac:dyDescent="0.25">
      <c r="E65" s="20"/>
      <c r="F65" s="20"/>
      <c r="G65" s="21"/>
      <c r="H65" s="21"/>
    </row>
    <row r="66" spans="5:8" x14ac:dyDescent="0.25">
      <c r="E66" s="20"/>
      <c r="F66" s="20"/>
      <c r="G66" s="21"/>
      <c r="H66" s="21"/>
    </row>
    <row r="67" spans="5:8" x14ac:dyDescent="0.25">
      <c r="E67" s="20"/>
      <c r="F67" s="20"/>
      <c r="G67" s="21"/>
      <c r="H67" s="21"/>
    </row>
    <row r="68" spans="5:8" x14ac:dyDescent="0.25">
      <c r="E68" s="20"/>
      <c r="F68" s="20"/>
      <c r="G68" s="21"/>
      <c r="H68" s="21"/>
    </row>
    <row r="69" spans="5:8" x14ac:dyDescent="0.25">
      <c r="E69" s="20"/>
      <c r="F69" s="20"/>
      <c r="G69" s="21"/>
      <c r="H69" s="21"/>
    </row>
    <row r="70" spans="5:8" x14ac:dyDescent="0.25">
      <c r="E70" s="20"/>
      <c r="F70" s="20"/>
      <c r="G70" s="21"/>
      <c r="H70" s="21"/>
    </row>
    <row r="71" spans="5:8" x14ac:dyDescent="0.25">
      <c r="E71" s="20"/>
      <c r="F71" s="20"/>
      <c r="G71" s="21"/>
      <c r="H71" s="21"/>
    </row>
    <row r="72" spans="5:8" x14ac:dyDescent="0.25">
      <c r="E72" s="20"/>
      <c r="F72" s="20"/>
      <c r="G72" s="21"/>
      <c r="H72" s="21"/>
    </row>
    <row r="73" spans="5:8" x14ac:dyDescent="0.25">
      <c r="E73" s="20"/>
      <c r="F73" s="20"/>
      <c r="G73" s="21"/>
      <c r="H73" s="21"/>
    </row>
    <row r="74" spans="5:8" x14ac:dyDescent="0.25">
      <c r="E74" s="20"/>
      <c r="F74" s="20"/>
      <c r="G74" s="21"/>
      <c r="H74" s="21"/>
    </row>
    <row r="75" spans="5:8" x14ac:dyDescent="0.25">
      <c r="E75" s="20"/>
      <c r="F75" s="20"/>
      <c r="G75" s="21"/>
      <c r="H75" s="21"/>
    </row>
    <row r="76" spans="5:8" x14ac:dyDescent="0.25">
      <c r="E76" s="20"/>
      <c r="F76" s="20"/>
      <c r="G76" s="21"/>
      <c r="H76" s="21"/>
    </row>
    <row r="77" spans="5:8" x14ac:dyDescent="0.25">
      <c r="E77" s="20"/>
      <c r="F77" s="20"/>
      <c r="G77" s="21"/>
      <c r="H77" s="21"/>
    </row>
    <row r="78" spans="5:8" x14ac:dyDescent="0.25">
      <c r="E78" s="20"/>
      <c r="F78" s="20"/>
      <c r="G78" s="21"/>
      <c r="H78" s="21"/>
    </row>
    <row r="79" spans="5:8" x14ac:dyDescent="0.25">
      <c r="E79" s="20"/>
      <c r="F79" s="20"/>
      <c r="G79" s="21"/>
      <c r="H79" s="21"/>
    </row>
    <row r="80" spans="5:8" x14ac:dyDescent="0.25">
      <c r="E80" s="20"/>
      <c r="F80" s="20"/>
      <c r="G80" s="21"/>
      <c r="H80" s="21"/>
    </row>
    <row r="81" spans="5:8" x14ac:dyDescent="0.25">
      <c r="E81" s="20"/>
      <c r="F81" s="20"/>
      <c r="G81" s="21"/>
      <c r="H81" s="21"/>
    </row>
    <row r="82" spans="5:8" x14ac:dyDescent="0.25">
      <c r="E82" s="20"/>
      <c r="F82" s="20"/>
      <c r="G82" s="21"/>
      <c r="H82" s="21"/>
    </row>
    <row r="83" spans="5:8" x14ac:dyDescent="0.25">
      <c r="E83" s="20"/>
      <c r="F83" s="20"/>
      <c r="G83" s="21"/>
      <c r="H83" s="21"/>
    </row>
    <row r="84" spans="5:8" x14ac:dyDescent="0.25">
      <c r="E84" s="20"/>
      <c r="F84" s="20"/>
      <c r="G84" s="21"/>
      <c r="H84" s="21"/>
    </row>
    <row r="85" spans="5:8" x14ac:dyDescent="0.25">
      <c r="E85" s="20"/>
      <c r="F85" s="20"/>
      <c r="G85" s="21"/>
      <c r="H85" s="21"/>
    </row>
    <row r="86" spans="5:8" x14ac:dyDescent="0.25">
      <c r="E86" s="20"/>
      <c r="F86" s="20"/>
      <c r="G86" s="21"/>
      <c r="H86" s="21"/>
    </row>
    <row r="87" spans="5:8" x14ac:dyDescent="0.25">
      <c r="E87" s="20"/>
      <c r="F87" s="20"/>
      <c r="G87" s="21"/>
      <c r="H87" s="21"/>
    </row>
    <row r="88" spans="5:8" x14ac:dyDescent="0.25">
      <c r="E88" s="20"/>
      <c r="F88" s="20"/>
      <c r="G88" s="21"/>
      <c r="H88" s="21"/>
    </row>
    <row r="89" spans="5:8" x14ac:dyDescent="0.25">
      <c r="E89" s="20"/>
      <c r="F89" s="20"/>
      <c r="G89" s="21"/>
      <c r="H89" s="21"/>
    </row>
    <row r="90" spans="5:8" x14ac:dyDescent="0.25">
      <c r="E90" s="20"/>
      <c r="F90" s="20"/>
      <c r="G90" s="21"/>
      <c r="H90" s="21"/>
    </row>
    <row r="91" spans="5:8" x14ac:dyDescent="0.25">
      <c r="E91" s="20"/>
      <c r="F91" s="20"/>
      <c r="G91" s="21"/>
      <c r="H91" s="21"/>
    </row>
    <row r="92" spans="5:8" x14ac:dyDescent="0.25">
      <c r="E92" s="20"/>
      <c r="F92" s="20"/>
      <c r="G92" s="21"/>
      <c r="H92" s="21"/>
    </row>
    <row r="93" spans="5:8" x14ac:dyDescent="0.25">
      <c r="E93" s="20"/>
      <c r="F93" s="20"/>
      <c r="G93" s="21"/>
      <c r="H93" s="21"/>
    </row>
    <row r="94" spans="5:8" x14ac:dyDescent="0.25">
      <c r="E94" s="20"/>
      <c r="F94" s="20"/>
      <c r="G94" s="21"/>
      <c r="H94" s="21"/>
    </row>
    <row r="95" spans="5:8" x14ac:dyDescent="0.25">
      <c r="E95" s="20"/>
      <c r="F95" s="20"/>
      <c r="G95" s="21"/>
      <c r="H95" s="21"/>
    </row>
    <row r="96" spans="5:8" x14ac:dyDescent="0.25">
      <c r="E96" s="20"/>
      <c r="F96" s="20"/>
      <c r="G96" s="21"/>
      <c r="H96" s="21"/>
    </row>
    <row r="97" spans="5:8" x14ac:dyDescent="0.25">
      <c r="E97" s="20"/>
      <c r="F97" s="20"/>
      <c r="G97" s="21"/>
      <c r="H97" s="21"/>
    </row>
    <row r="98" spans="5:8" x14ac:dyDescent="0.25">
      <c r="E98" s="20"/>
      <c r="F98" s="20"/>
      <c r="G98" s="21"/>
      <c r="H98" s="21"/>
    </row>
    <row r="99" spans="5:8" x14ac:dyDescent="0.25">
      <c r="E99" s="20"/>
      <c r="F99" s="20"/>
      <c r="G99" s="21"/>
      <c r="H99" s="21"/>
    </row>
    <row r="100" spans="5:8" x14ac:dyDescent="0.25">
      <c r="E100" s="20"/>
      <c r="F100" s="20"/>
      <c r="G100" s="21"/>
      <c r="H100" s="21"/>
    </row>
    <row r="101" spans="5:8" x14ac:dyDescent="0.25">
      <c r="E101" s="20"/>
      <c r="F101" s="20"/>
      <c r="G101" s="21"/>
      <c r="H101" s="21"/>
    </row>
    <row r="102" spans="5:8" x14ac:dyDescent="0.25">
      <c r="E102" s="20"/>
      <c r="F102" s="20"/>
      <c r="G102" s="21"/>
      <c r="H102" s="21"/>
    </row>
    <row r="103" spans="5:8" x14ac:dyDescent="0.25">
      <c r="E103" s="20"/>
      <c r="F103" s="20"/>
      <c r="G103" s="21"/>
      <c r="H103" s="21"/>
    </row>
    <row r="104" spans="5:8" x14ac:dyDescent="0.25">
      <c r="E104" s="20"/>
      <c r="F104" s="20"/>
      <c r="G104" s="21"/>
      <c r="H104" s="21"/>
    </row>
    <row r="105" spans="5:8" x14ac:dyDescent="0.25">
      <c r="E105" s="20"/>
      <c r="F105" s="20"/>
      <c r="G105" s="21"/>
      <c r="H105" s="21"/>
    </row>
    <row r="106" spans="5:8" x14ac:dyDescent="0.25">
      <c r="E106" s="20"/>
      <c r="F106" s="20"/>
      <c r="G106" s="21"/>
      <c r="H106" s="21"/>
    </row>
    <row r="107" spans="5:8" x14ac:dyDescent="0.25">
      <c r="E107" s="20"/>
      <c r="F107" s="20"/>
      <c r="G107" s="21"/>
      <c r="H107" s="21"/>
    </row>
    <row r="108" spans="5:8" x14ac:dyDescent="0.25">
      <c r="E108" s="20"/>
      <c r="F108" s="20"/>
      <c r="G108" s="21"/>
      <c r="H108" s="21"/>
    </row>
    <row r="109" spans="5:8" x14ac:dyDescent="0.25">
      <c r="E109" s="20"/>
      <c r="F109" s="20"/>
      <c r="G109" s="21"/>
      <c r="H109" s="21"/>
    </row>
    <row r="110" spans="5:8" x14ac:dyDescent="0.25">
      <c r="E110" s="20"/>
      <c r="F110" s="20"/>
      <c r="G110" s="21"/>
      <c r="H110" s="21"/>
    </row>
    <row r="111" spans="5:8" x14ac:dyDescent="0.25">
      <c r="E111" s="20"/>
      <c r="F111" s="20"/>
      <c r="G111" s="21"/>
      <c r="H111" s="21"/>
    </row>
    <row r="112" spans="5:8" x14ac:dyDescent="0.25">
      <c r="E112" s="20"/>
      <c r="F112" s="20"/>
      <c r="G112" s="21"/>
      <c r="H112" s="21"/>
    </row>
    <row r="113" spans="5:8" x14ac:dyDescent="0.25">
      <c r="E113" s="20"/>
      <c r="F113" s="20"/>
      <c r="G113" s="21"/>
      <c r="H113" s="21"/>
    </row>
    <row r="114" spans="5:8" x14ac:dyDescent="0.25">
      <c r="E114" s="20"/>
      <c r="F114" s="20"/>
      <c r="G114" s="21"/>
      <c r="H114" s="21"/>
    </row>
    <row r="115" spans="5:8" x14ac:dyDescent="0.25">
      <c r="E115" s="20"/>
      <c r="F115" s="20"/>
      <c r="G115" s="21"/>
      <c r="H115" s="21"/>
    </row>
    <row r="116" spans="5:8" x14ac:dyDescent="0.25">
      <c r="E116" s="20"/>
      <c r="F116" s="20"/>
      <c r="G116" s="21"/>
      <c r="H116" s="21"/>
    </row>
    <row r="117" spans="5:8" x14ac:dyDescent="0.25">
      <c r="E117" s="20"/>
      <c r="F117" s="20"/>
      <c r="G117" s="21"/>
      <c r="H117" s="21"/>
    </row>
    <row r="118" spans="5:8" x14ac:dyDescent="0.25">
      <c r="E118" s="20"/>
      <c r="F118" s="20"/>
      <c r="G118" s="21"/>
      <c r="H118" s="21"/>
    </row>
    <row r="119" spans="5:8" x14ac:dyDescent="0.25">
      <c r="E119" s="20"/>
      <c r="F119" s="20"/>
      <c r="G119" s="21"/>
      <c r="H119" s="21"/>
    </row>
    <row r="120" spans="5:8" x14ac:dyDescent="0.25">
      <c r="E120" s="20"/>
      <c r="F120" s="20"/>
      <c r="G120" s="21"/>
      <c r="H120" s="21"/>
    </row>
    <row r="121" spans="5:8" x14ac:dyDescent="0.25">
      <c r="E121" s="20"/>
      <c r="F121" s="20"/>
      <c r="G121" s="21"/>
      <c r="H121" s="21"/>
    </row>
    <row r="122" spans="5:8" x14ac:dyDescent="0.25">
      <c r="E122" s="20"/>
      <c r="F122" s="20"/>
      <c r="G122" s="21"/>
      <c r="H122" s="21"/>
    </row>
    <row r="123" spans="5:8" x14ac:dyDescent="0.25">
      <c r="E123" s="20"/>
      <c r="F123" s="20"/>
      <c r="G123" s="21"/>
      <c r="H123" s="21"/>
    </row>
    <row r="124" spans="5:8" x14ac:dyDescent="0.25">
      <c r="E124" s="20"/>
      <c r="F124" s="20"/>
      <c r="G124" s="21"/>
      <c r="H124" s="21"/>
    </row>
    <row r="125" spans="5:8" x14ac:dyDescent="0.25">
      <c r="E125" s="20"/>
      <c r="F125" s="20"/>
      <c r="G125" s="21"/>
      <c r="H125" s="21"/>
    </row>
    <row r="126" spans="5:8" x14ac:dyDescent="0.25">
      <c r="E126" s="20"/>
      <c r="F126" s="20"/>
      <c r="G126" s="21"/>
      <c r="H126" s="21"/>
    </row>
    <row r="127" spans="5:8" x14ac:dyDescent="0.25">
      <c r="E127" s="20"/>
      <c r="F127" s="20"/>
      <c r="G127" s="21"/>
      <c r="H127" s="21"/>
    </row>
    <row r="128" spans="5:8" x14ac:dyDescent="0.25">
      <c r="E128" s="20"/>
      <c r="F128" s="20"/>
      <c r="G128" s="21"/>
      <c r="H128" s="21"/>
    </row>
    <row r="129" spans="5:8" x14ac:dyDescent="0.25">
      <c r="E129" s="20"/>
      <c r="F129" s="20"/>
      <c r="G129" s="21"/>
      <c r="H129" s="21"/>
    </row>
    <row r="130" spans="5:8" x14ac:dyDescent="0.25">
      <c r="E130" s="20"/>
      <c r="F130" s="20"/>
      <c r="G130" s="21"/>
      <c r="H130" s="21"/>
    </row>
    <row r="131" spans="5:8" x14ac:dyDescent="0.25">
      <c r="E131" s="20"/>
      <c r="F131" s="20"/>
      <c r="G131" s="21"/>
      <c r="H131" s="21"/>
    </row>
    <row r="132" spans="5:8" x14ac:dyDescent="0.25">
      <c r="E132" s="20"/>
      <c r="F132" s="20"/>
      <c r="G132" s="21"/>
      <c r="H132" s="21"/>
    </row>
    <row r="133" spans="5:8" x14ac:dyDescent="0.25">
      <c r="E133" s="20"/>
      <c r="F133" s="20"/>
      <c r="G133" s="21"/>
      <c r="H133" s="21"/>
    </row>
    <row r="134" spans="5:8" x14ac:dyDescent="0.25">
      <c r="E134" s="20"/>
      <c r="F134" s="20"/>
      <c r="G134" s="21"/>
      <c r="H134" s="21"/>
    </row>
    <row r="135" spans="5:8" x14ac:dyDescent="0.25">
      <c r="E135" s="20"/>
      <c r="F135" s="20"/>
      <c r="G135" s="21"/>
      <c r="H135" s="21"/>
    </row>
    <row r="136" spans="5:8" x14ac:dyDescent="0.25">
      <c r="E136" s="20"/>
      <c r="F136" s="20"/>
      <c r="G136" s="21"/>
      <c r="H136" s="21"/>
    </row>
    <row r="137" spans="5:8" x14ac:dyDescent="0.25">
      <c r="E137" s="20"/>
      <c r="F137" s="20"/>
      <c r="G137" s="21"/>
      <c r="H137" s="21"/>
    </row>
    <row r="138" spans="5:8" x14ac:dyDescent="0.25">
      <c r="E138" s="20"/>
      <c r="F138" s="20"/>
      <c r="G138" s="21"/>
      <c r="H138" s="21"/>
    </row>
    <row r="139" spans="5:8" x14ac:dyDescent="0.25">
      <c r="E139" s="20"/>
      <c r="F139" s="20"/>
      <c r="G139" s="21"/>
      <c r="H139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5B4A-A6DF-4C27-B92D-63136C42D876}">
  <sheetPr>
    <tabColor theme="7" tint="0.59999389629810485"/>
  </sheetPr>
  <dimension ref="A1:AF50"/>
  <sheetViews>
    <sheetView zoomScale="85" zoomScaleNormal="85" workbookViewId="0">
      <pane xSplit="2" ySplit="4" topLeftCell="C10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9.5703125" bestFit="1" customWidth="1"/>
    <col min="2" max="2" width="22.140625" bestFit="1" customWidth="1"/>
    <col min="3" max="3" width="5.28515625" customWidth="1"/>
    <col min="4" max="4" width="7.7109375" customWidth="1"/>
    <col min="5" max="7" width="20.7109375" customWidth="1"/>
    <col min="8" max="8" width="25.140625" customWidth="1"/>
    <col min="9" max="9" width="23.140625" bestFit="1" customWidth="1"/>
    <col min="10" max="16" width="18.5703125" customWidth="1"/>
    <col min="17" max="17" width="22.5703125" customWidth="1"/>
    <col min="18" max="18" width="6.7109375" customWidth="1"/>
    <col min="19" max="23" width="22.5703125" customWidth="1"/>
    <col min="24" max="24" width="23.85546875" customWidth="1"/>
    <col min="25" max="25" width="22.5703125" customWidth="1"/>
    <col min="26" max="26" width="23.140625" customWidth="1"/>
    <col min="27" max="27" width="22.5703125" customWidth="1"/>
    <col min="28" max="32" width="26.85546875" customWidth="1"/>
  </cols>
  <sheetData>
    <row r="1" spans="1:32" ht="15.75" thickBot="1" x14ac:dyDescent="0.3">
      <c r="E1" s="22" t="s">
        <v>15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5"/>
      <c r="S1" s="84" t="s">
        <v>16</v>
      </c>
      <c r="T1" s="85"/>
      <c r="U1" s="85"/>
      <c r="V1" s="85"/>
      <c r="W1" s="85"/>
      <c r="X1" s="85"/>
      <c r="Y1" s="85"/>
      <c r="Z1" s="85"/>
      <c r="AA1" s="86"/>
      <c r="AB1" s="84" t="s">
        <v>17</v>
      </c>
      <c r="AC1" s="85"/>
      <c r="AD1" s="85"/>
      <c r="AE1" s="85"/>
      <c r="AF1" s="86"/>
    </row>
    <row r="2" spans="1:32" s="16" customFormat="1" ht="45" x14ac:dyDescent="0.25">
      <c r="A2" s="26" t="s">
        <v>18</v>
      </c>
      <c r="B2" s="27" t="s">
        <v>19</v>
      </c>
      <c r="C2" s="28" t="s">
        <v>20</v>
      </c>
      <c r="D2" s="29" t="s">
        <v>21</v>
      </c>
      <c r="E2" s="30" t="s">
        <v>22</v>
      </c>
      <c r="F2" s="29" t="s">
        <v>23</v>
      </c>
      <c r="G2" s="29" t="s">
        <v>24</v>
      </c>
      <c r="H2" s="29" t="s">
        <v>25</v>
      </c>
      <c r="I2" s="29" t="s">
        <v>26</v>
      </c>
      <c r="J2" s="31" t="s">
        <v>27</v>
      </c>
      <c r="K2" s="31" t="s">
        <v>28</v>
      </c>
      <c r="L2" s="31" t="s">
        <v>27</v>
      </c>
      <c r="M2" s="31" t="s">
        <v>29</v>
      </c>
      <c r="N2" s="31" t="s">
        <v>27</v>
      </c>
      <c r="O2" s="31" t="s">
        <v>30</v>
      </c>
      <c r="P2" s="31" t="s">
        <v>27</v>
      </c>
      <c r="Q2" s="32" t="s">
        <v>31</v>
      </c>
      <c r="R2" s="29"/>
      <c r="S2" s="30" t="s">
        <v>32</v>
      </c>
      <c r="T2" s="29" t="s">
        <v>33</v>
      </c>
      <c r="U2" s="29" t="s">
        <v>34</v>
      </c>
      <c r="V2" s="29" t="s">
        <v>35</v>
      </c>
      <c r="W2" s="29" t="s">
        <v>36</v>
      </c>
      <c r="X2" s="29" t="s">
        <v>37</v>
      </c>
      <c r="Y2" s="29" t="s">
        <v>38</v>
      </c>
      <c r="Z2" s="29" t="s">
        <v>39</v>
      </c>
      <c r="AA2" s="32" t="s">
        <v>40</v>
      </c>
      <c r="AB2" s="30" t="s">
        <v>41</v>
      </c>
      <c r="AC2" s="29" t="s">
        <v>42</v>
      </c>
      <c r="AD2" s="29" t="s">
        <v>43</v>
      </c>
      <c r="AE2" s="29" t="s">
        <v>44</v>
      </c>
      <c r="AF2" s="32" t="s">
        <v>45</v>
      </c>
    </row>
    <row r="3" spans="1:32" s="16" customFormat="1" x14ac:dyDescent="0.25">
      <c r="A3" s="33"/>
      <c r="C3" s="34"/>
      <c r="E3" s="35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36" t="s">
        <v>51</v>
      </c>
      <c r="K3" s="36" t="s">
        <v>52</v>
      </c>
      <c r="L3" s="36" t="s">
        <v>53</v>
      </c>
      <c r="M3" s="36" t="s">
        <v>54</v>
      </c>
      <c r="N3" s="36" t="s">
        <v>55</v>
      </c>
      <c r="O3" s="36" t="s">
        <v>56</v>
      </c>
      <c r="P3" s="36" t="s">
        <v>57</v>
      </c>
      <c r="Q3" s="37" t="s">
        <v>58</v>
      </c>
      <c r="R3" s="36" t="s">
        <v>59</v>
      </c>
      <c r="S3" s="35" t="s">
        <v>60</v>
      </c>
      <c r="T3" s="36" t="s">
        <v>61</v>
      </c>
      <c r="U3" s="36" t="s">
        <v>62</v>
      </c>
      <c r="V3" s="36" t="s">
        <v>63</v>
      </c>
      <c r="W3" s="36" t="s">
        <v>64</v>
      </c>
      <c r="X3" s="36" t="s">
        <v>65</v>
      </c>
      <c r="Y3" s="36" t="s">
        <v>66</v>
      </c>
      <c r="Z3" s="36" t="s">
        <v>67</v>
      </c>
      <c r="AA3" s="37" t="s">
        <v>68</v>
      </c>
      <c r="AB3" s="35" t="s">
        <v>69</v>
      </c>
      <c r="AC3" s="36" t="s">
        <v>70</v>
      </c>
      <c r="AD3" s="36" t="s">
        <v>71</v>
      </c>
      <c r="AE3" s="36" t="s">
        <v>72</v>
      </c>
      <c r="AF3" s="37" t="s">
        <v>73</v>
      </c>
    </row>
    <row r="4" spans="1:32" s="16" customFormat="1" ht="45.75" thickBot="1" x14ac:dyDescent="0.3">
      <c r="A4" s="87"/>
      <c r="B4" s="88"/>
      <c r="C4" s="89"/>
      <c r="D4" s="38"/>
      <c r="E4" s="39" t="s">
        <v>74</v>
      </c>
      <c r="F4" s="40" t="s">
        <v>75</v>
      </c>
      <c r="G4" s="40" t="s">
        <v>76</v>
      </c>
      <c r="H4" s="41" t="s">
        <v>77</v>
      </c>
      <c r="I4" s="41" t="s">
        <v>78</v>
      </c>
      <c r="J4" s="41"/>
      <c r="K4" s="40"/>
      <c r="L4" s="40"/>
      <c r="M4" s="40"/>
      <c r="N4" s="40"/>
      <c r="O4" s="40"/>
      <c r="P4" s="40"/>
      <c r="Q4" s="42"/>
      <c r="R4" s="40"/>
      <c r="S4" s="39" t="s">
        <v>75</v>
      </c>
      <c r="T4" s="41" t="s">
        <v>79</v>
      </c>
      <c r="U4" s="41" t="s">
        <v>80</v>
      </c>
      <c r="V4" s="41" t="s">
        <v>75</v>
      </c>
      <c r="W4" s="41" t="s">
        <v>81</v>
      </c>
      <c r="X4" s="41" t="s">
        <v>82</v>
      </c>
      <c r="Y4" s="41" t="s">
        <v>83</v>
      </c>
      <c r="Z4" s="41" t="s">
        <v>84</v>
      </c>
      <c r="AA4" s="43" t="s">
        <v>85</v>
      </c>
      <c r="AB4" s="39"/>
      <c r="AC4" s="40"/>
      <c r="AD4" s="40"/>
      <c r="AE4" s="40"/>
      <c r="AF4" s="42"/>
    </row>
    <row r="5" spans="1:32" ht="15.75" thickTop="1" x14ac:dyDescent="0.25">
      <c r="A5" s="44" t="s">
        <v>86</v>
      </c>
      <c r="B5" s="45" t="s">
        <v>127</v>
      </c>
      <c r="C5" s="46" t="s">
        <v>4</v>
      </c>
      <c r="D5" s="45"/>
      <c r="E5" s="47">
        <v>0</v>
      </c>
      <c r="F5" s="14">
        <v>88897.71957716973</v>
      </c>
      <c r="G5" s="48">
        <f>F5/INDEX($F$45:$F$46,MATCH(C5,$E$45:$E$46,0))</f>
        <v>1.3541047609758061E-3</v>
      </c>
      <c r="H5" s="14">
        <v>20621.221087819547</v>
      </c>
      <c r="I5" s="14">
        <f>IF(C5="PC",H5,MIN(E5,H5))</f>
        <v>0</v>
      </c>
      <c r="J5" s="45" t="b">
        <f>IF(C5="PC",FALSE,E5&gt;I5)</f>
        <v>0</v>
      </c>
      <c r="K5" s="14">
        <f t="shared" ref="K5:K43" si="0">IF(C5="PC",I5,MIN(IF(J5,I5/SUMIF($J$47:$J$48,C5,$K$47:$K$48)*SUMIF($J$49:$J$50,C5,$K$49:$K$50))+I5,E5))</f>
        <v>0</v>
      </c>
      <c r="L5" s="14" t="b">
        <f>IF(C5="PC",FALSE,E5&gt;K5)</f>
        <v>0</v>
      </c>
      <c r="M5" s="14">
        <f t="shared" ref="M5:M43" si="1">IF($C5="PC",K5,MIN(IF(L5,K5/SUMIF($J$47:$J$48,$C5,$M$47:$M$48)*SUMIF($J$49:$J$50,$C5,$M$49:$M$50))+K5,$E5))</f>
        <v>0</v>
      </c>
      <c r="N5" s="14" t="b">
        <f>IF(C5="PC",FALSE,E5&gt;M5)</f>
        <v>0</v>
      </c>
      <c r="O5" s="14">
        <f>IF($C5="PC",M5,MIN(IF(N5,M5/SUMIF($J$47:$J$48,$C5,$O$47:$O$48)*SUMIF($J$49:$J$50,$C5,$O$49:$O$50))+M5,$E5))</f>
        <v>0</v>
      </c>
      <c r="P5" s="14" t="b">
        <f>IF(C5="PC",FALSE,E5&gt;O5)</f>
        <v>0</v>
      </c>
      <c r="Q5" s="49">
        <f>IF($C5="PC",O5,MIN(IF(P5,O5/SUMIF($J$47:$J$48,$C5,$Q$47:$Q$48)*SUMIF($J$49:$J$50,$C5,$Q$49:$Q$50))+O5,$E5))</f>
        <v>0</v>
      </c>
      <c r="R5" s="14"/>
      <c r="S5" s="47">
        <v>216190.48706787484</v>
      </c>
      <c r="T5" s="48">
        <f t="shared" ref="T5:T43" si="2">S5/INDEX($S$45:$S$46,MATCH(C5,$E$45:$E$46,0))</f>
        <v>2.7516039065387712E-3</v>
      </c>
      <c r="U5" s="50">
        <v>18926.25768562705</v>
      </c>
      <c r="V5" s="51">
        <v>104088.73604630711</v>
      </c>
      <c r="W5" s="48">
        <f t="shared" ref="W5:W43" si="3">IFERROR(V5/INDEX($V$45:$V$46,MATCH(C5,$E$45:$E$46,0)),0)</f>
        <v>1.8982052843743195E-3</v>
      </c>
      <c r="X5" s="50">
        <f t="shared" ref="X5:X43" si="4">W5*Capped_Locations_BDS_Budget</f>
        <v>3796.410568748639</v>
      </c>
      <c r="Y5" s="50">
        <f>X5+U5</f>
        <v>22722.668254375691</v>
      </c>
      <c r="Z5" s="4">
        <f t="shared" ref="Z5:Z43" si="5">IFERROR(Y5/(Y5+Q5),0)</f>
        <v>1</v>
      </c>
      <c r="AA5" s="46" t="b">
        <f t="shared" ref="AA5:AA43" si="6">Z5&lt;=De_Minimis_Threshold</f>
        <v>0</v>
      </c>
      <c r="AB5" s="47">
        <f t="shared" ref="AB5:AB43" si="7">Q5+IF(AA5,Y5,0)</f>
        <v>0</v>
      </c>
      <c r="AC5" s="14"/>
      <c r="AD5" s="14">
        <f t="shared" ref="AD5:AD10" si="8">IF(AA5,0,U5)</f>
        <v>18926.25768562705</v>
      </c>
      <c r="AE5" s="14">
        <f t="shared" ref="AE5:AE10" si="9">IF(AA5,0,X5)</f>
        <v>3796.410568748639</v>
      </c>
      <c r="AF5" s="49">
        <f t="shared" ref="AF5:AF43" si="10">AB5+AC5+AD5+AE5</f>
        <v>22722.668254375691</v>
      </c>
    </row>
    <row r="6" spans="1:32" x14ac:dyDescent="0.25">
      <c r="A6" s="52" t="s">
        <v>87</v>
      </c>
      <c r="B6" t="s">
        <v>128</v>
      </c>
      <c r="C6" s="53" t="s">
        <v>4</v>
      </c>
      <c r="E6" s="54">
        <v>0</v>
      </c>
      <c r="F6" s="20">
        <v>137999.76161000878</v>
      </c>
      <c r="G6" s="3">
        <f t="shared" ref="G6:G43" si="11">F6/INDEX($F$45:$F$46,MATCH(C6,$E$45:$E$46,0))</f>
        <v>2.1020351826620889E-3</v>
      </c>
      <c r="H6" s="20">
        <v>32011.210273578352</v>
      </c>
      <c r="I6" s="20">
        <f t="shared" ref="I6:I43" si="12">IF(C6="PC",H6,MIN(E6,H6))</f>
        <v>0</v>
      </c>
      <c r="J6" t="b">
        <f t="shared" ref="J6:J10" si="13">IF(C6="PC",FALSE,E6&gt;I6)</f>
        <v>0</v>
      </c>
      <c r="K6" s="20">
        <f t="shared" si="0"/>
        <v>0</v>
      </c>
      <c r="L6" s="20" t="b">
        <f t="shared" ref="L6:L43" si="14">IF(C6="PC",FALSE,E6&gt;K6)</f>
        <v>0</v>
      </c>
      <c r="M6" s="20">
        <f t="shared" si="1"/>
        <v>0</v>
      </c>
      <c r="N6" s="20" t="b">
        <f t="shared" ref="N6:N42" si="15">IF(C6="PC",FALSE,E6&gt;M6)</f>
        <v>0</v>
      </c>
      <c r="O6" s="20">
        <f t="shared" ref="O6:O43" si="16">IF($C6="PC",M6,MIN(IF(N6,M6/SUMIF($J$47:$J$48,$C6,$O$47:$O$48)*SUMIF($J$49:$J$50,$C6,$O$49:$O$50))+M6,$E6))</f>
        <v>0</v>
      </c>
      <c r="P6" s="20" t="b">
        <f t="shared" ref="P6:P43" si="17">IF(C6="PC",FALSE,E6&gt;O6)</f>
        <v>0</v>
      </c>
      <c r="Q6" s="55">
        <f t="shared" ref="Q6:Q43" si="18">IF($C6="PC",O6,MIN(IF(P6,O6/SUMIF($J$47:$J$48,$C6,$Q$47:$Q$48)*SUMIF($J$49:$J$50,$C6,$Q$49:$Q$50))+O6,$E6))</f>
        <v>0</v>
      </c>
      <c r="R6" s="20"/>
      <c r="S6" s="54">
        <v>319683.42680466053</v>
      </c>
      <c r="T6" s="3">
        <f t="shared" si="2"/>
        <v>4.0688291977215175E-3</v>
      </c>
      <c r="U6" s="56">
        <v>27986.4807910337</v>
      </c>
      <c r="V6" s="57">
        <v>271629.62486759207</v>
      </c>
      <c r="W6" s="3">
        <f t="shared" si="3"/>
        <v>4.9535502966131968E-3</v>
      </c>
      <c r="X6" s="56">
        <f t="shared" si="4"/>
        <v>9907.1005932263943</v>
      </c>
      <c r="Y6" s="56">
        <f t="shared" ref="Y6:Y7" si="19">X6+U6</f>
        <v>37893.581384260091</v>
      </c>
      <c r="Z6" s="58">
        <f t="shared" si="5"/>
        <v>1</v>
      </c>
      <c r="AA6" s="53" t="b">
        <f t="shared" ref="AA6:AA7" si="20">Z6&lt;=De_Minimis_Threshold</f>
        <v>0</v>
      </c>
      <c r="AB6" s="54">
        <f t="shared" si="7"/>
        <v>0</v>
      </c>
      <c r="AC6" s="20"/>
      <c r="AD6" s="20">
        <f t="shared" si="8"/>
        <v>27986.4807910337</v>
      </c>
      <c r="AE6" s="20">
        <f t="shared" si="9"/>
        <v>9907.1005932263943</v>
      </c>
      <c r="AF6" s="55">
        <f t="shared" si="10"/>
        <v>37893.581384260091</v>
      </c>
    </row>
    <row r="7" spans="1:32" x14ac:dyDescent="0.25">
      <c r="A7" s="44" t="s">
        <v>88</v>
      </c>
      <c r="B7" s="45" t="s">
        <v>129</v>
      </c>
      <c r="C7" s="46" t="s">
        <v>4</v>
      </c>
      <c r="D7" s="45"/>
      <c r="E7" s="47">
        <v>0</v>
      </c>
      <c r="F7" s="14">
        <v>486657.48712356284</v>
      </c>
      <c r="G7" s="48">
        <f t="shared" si="11"/>
        <v>7.4128472970163319E-3</v>
      </c>
      <c r="H7" s="14">
        <v>112887.84103518155</v>
      </c>
      <c r="I7" s="14">
        <f t="shared" si="12"/>
        <v>0</v>
      </c>
      <c r="J7" s="45" t="b">
        <f t="shared" si="13"/>
        <v>0</v>
      </c>
      <c r="K7" s="14">
        <f t="shared" si="0"/>
        <v>0</v>
      </c>
      <c r="L7" s="14" t="b">
        <f t="shared" si="14"/>
        <v>0</v>
      </c>
      <c r="M7" s="14">
        <f t="shared" si="1"/>
        <v>0</v>
      </c>
      <c r="N7" s="14" t="b">
        <f t="shared" si="15"/>
        <v>0</v>
      </c>
      <c r="O7" s="14">
        <f t="shared" si="16"/>
        <v>0</v>
      </c>
      <c r="P7" s="14" t="b">
        <f t="shared" si="17"/>
        <v>0</v>
      </c>
      <c r="Q7" s="49">
        <f t="shared" si="18"/>
        <v>0</v>
      </c>
      <c r="R7" s="14"/>
      <c r="S7" s="47">
        <v>26118.190293073374</v>
      </c>
      <c r="T7" s="48">
        <f t="shared" si="2"/>
        <v>3.3242403686143914E-4</v>
      </c>
      <c r="U7" s="50">
        <v>2286.5002363112949</v>
      </c>
      <c r="V7" s="51">
        <v>0</v>
      </c>
      <c r="W7" s="48">
        <f t="shared" si="3"/>
        <v>0</v>
      </c>
      <c r="X7" s="50">
        <f t="shared" si="4"/>
        <v>0</v>
      </c>
      <c r="Y7" s="50">
        <f t="shared" si="19"/>
        <v>2286.5002363112949</v>
      </c>
      <c r="Z7" s="4">
        <f t="shared" si="5"/>
        <v>1</v>
      </c>
      <c r="AA7" s="46" t="b">
        <f t="shared" si="20"/>
        <v>0</v>
      </c>
      <c r="AB7" s="47">
        <f t="shared" si="7"/>
        <v>0</v>
      </c>
      <c r="AC7" s="14"/>
      <c r="AD7" s="14">
        <f t="shared" si="8"/>
        <v>2286.5002363112949</v>
      </c>
      <c r="AE7" s="14">
        <f t="shared" si="9"/>
        <v>0</v>
      </c>
      <c r="AF7" s="49">
        <f t="shared" si="10"/>
        <v>2286.5002363112949</v>
      </c>
    </row>
    <row r="8" spans="1:32" x14ac:dyDescent="0.25">
      <c r="A8" s="52" t="s">
        <v>89</v>
      </c>
      <c r="B8" t="s">
        <v>130</v>
      </c>
      <c r="C8" s="53" t="s">
        <v>4</v>
      </c>
      <c r="E8" s="54">
        <v>0</v>
      </c>
      <c r="F8" s="20">
        <v>1827597.8074958101</v>
      </c>
      <c r="G8" s="3">
        <f t="shared" si="11"/>
        <v>2.7838271938244143E-2</v>
      </c>
      <c r="H8" s="20">
        <v>423939.99111833272</v>
      </c>
      <c r="I8" s="20">
        <f t="shared" si="12"/>
        <v>0</v>
      </c>
      <c r="J8" t="b">
        <f t="shared" si="13"/>
        <v>0</v>
      </c>
      <c r="K8" s="20">
        <f t="shared" si="0"/>
        <v>0</v>
      </c>
      <c r="L8" s="20" t="b">
        <f t="shared" si="14"/>
        <v>0</v>
      </c>
      <c r="M8" s="20">
        <f t="shared" si="1"/>
        <v>0</v>
      </c>
      <c r="N8" s="20" t="b">
        <f t="shared" si="15"/>
        <v>0</v>
      </c>
      <c r="O8" s="20">
        <f t="shared" si="16"/>
        <v>0</v>
      </c>
      <c r="P8" s="20" t="b">
        <f t="shared" si="17"/>
        <v>0</v>
      </c>
      <c r="Q8" s="55">
        <f t="shared" si="18"/>
        <v>0</v>
      </c>
      <c r="R8" s="20"/>
      <c r="S8" s="54">
        <v>2515487.6232049922</v>
      </c>
      <c r="T8" s="3">
        <f t="shared" si="2"/>
        <v>3.2016328122188291E-2</v>
      </c>
      <c r="U8" s="56">
        <v>220216.75239963739</v>
      </c>
      <c r="V8" s="57">
        <v>554269.66629747022</v>
      </c>
      <c r="W8" s="3">
        <f t="shared" si="3"/>
        <v>1.0107891108084754E-2</v>
      </c>
      <c r="X8" s="56">
        <f t="shared" si="4"/>
        <v>20215.782216169508</v>
      </c>
      <c r="Y8" s="56">
        <f>X8+U8</f>
        <v>240432.53461580689</v>
      </c>
      <c r="Z8" s="58">
        <f t="shared" si="5"/>
        <v>1</v>
      </c>
      <c r="AA8" s="53" t="b">
        <f t="shared" si="6"/>
        <v>0</v>
      </c>
      <c r="AB8" s="54">
        <f t="shared" si="7"/>
        <v>0</v>
      </c>
      <c r="AC8" s="20"/>
      <c r="AD8" s="20">
        <f t="shared" si="8"/>
        <v>220216.75239963739</v>
      </c>
      <c r="AE8" s="20">
        <f t="shared" si="9"/>
        <v>20215.782216169508</v>
      </c>
      <c r="AF8" s="55">
        <f t="shared" si="10"/>
        <v>240432.53461580689</v>
      </c>
    </row>
    <row r="9" spans="1:32" x14ac:dyDescent="0.25">
      <c r="A9" s="44" t="s">
        <v>90</v>
      </c>
      <c r="B9" s="45" t="s">
        <v>131</v>
      </c>
      <c r="C9" s="46" t="s">
        <v>4</v>
      </c>
      <c r="D9" s="45"/>
      <c r="E9" s="47">
        <v>286649.21889299998</v>
      </c>
      <c r="F9" s="14">
        <v>1897556.9991535828</v>
      </c>
      <c r="G9" s="48">
        <f t="shared" si="11"/>
        <v>2.8903901911075724E-2</v>
      </c>
      <c r="H9" s="14">
        <v>440168.12346145487</v>
      </c>
      <c r="I9" s="14">
        <f t="shared" si="12"/>
        <v>286649.21889299998</v>
      </c>
      <c r="J9" s="45" t="b">
        <f t="shared" si="13"/>
        <v>0</v>
      </c>
      <c r="K9" s="14">
        <f t="shared" si="0"/>
        <v>286649.21889299998</v>
      </c>
      <c r="L9" s="14" t="b">
        <f t="shared" si="14"/>
        <v>0</v>
      </c>
      <c r="M9" s="14">
        <f>IF($C9="PC",K9,MIN(IF(L9,K9/SUMIF($J$47:$J$48,$C9,$M$47:$M$48)*SUMIF($J$49:$J$50,$C9,$M$49:$M$50))+K9,$E9))</f>
        <v>286649.21889299998</v>
      </c>
      <c r="N9" s="14" t="b">
        <f t="shared" si="15"/>
        <v>0</v>
      </c>
      <c r="O9" s="14">
        <f t="shared" si="16"/>
        <v>286649.21889299998</v>
      </c>
      <c r="P9" s="14" t="b">
        <f t="shared" si="17"/>
        <v>0</v>
      </c>
      <c r="Q9" s="49">
        <f t="shared" si="18"/>
        <v>286649.21889299998</v>
      </c>
      <c r="R9" s="14"/>
      <c r="S9" s="47">
        <v>1807953.8379312949</v>
      </c>
      <c r="T9" s="48">
        <f t="shared" si="2"/>
        <v>2.3011062654813501E-2</v>
      </c>
      <c r="U9" s="50">
        <v>158276.16045688043</v>
      </c>
      <c r="V9" s="51">
        <v>0</v>
      </c>
      <c r="W9" s="48">
        <f t="shared" si="3"/>
        <v>0</v>
      </c>
      <c r="X9" s="50">
        <f t="shared" si="4"/>
        <v>0</v>
      </c>
      <c r="Y9" s="50">
        <f t="shared" ref="Y9:Y43" si="21">X9+U9</f>
        <v>158276.16045688043</v>
      </c>
      <c r="Z9" s="4">
        <f t="shared" si="5"/>
        <v>0.35573641739239881</v>
      </c>
      <c r="AA9" s="46" t="b">
        <f t="shared" si="6"/>
        <v>0</v>
      </c>
      <c r="AB9" s="47">
        <f t="shared" si="7"/>
        <v>286649.21889299998</v>
      </c>
      <c r="AC9" s="14"/>
      <c r="AD9" s="14">
        <f t="shared" si="8"/>
        <v>158276.16045688043</v>
      </c>
      <c r="AE9" s="14">
        <f t="shared" si="9"/>
        <v>0</v>
      </c>
      <c r="AF9" s="49">
        <f t="shared" si="10"/>
        <v>444925.37934988039</v>
      </c>
    </row>
    <row r="10" spans="1:32" x14ac:dyDescent="0.25">
      <c r="A10" s="52" t="s">
        <v>91</v>
      </c>
      <c r="B10" t="s">
        <v>132</v>
      </c>
      <c r="C10" s="53" t="s">
        <v>4</v>
      </c>
      <c r="E10" s="54">
        <v>315127.73780166666</v>
      </c>
      <c r="F10" s="20">
        <v>1381150.6016426675</v>
      </c>
      <c r="G10" s="3">
        <f t="shared" si="11"/>
        <v>2.1037914293014513E-2</v>
      </c>
      <c r="H10" s="20">
        <v>320379.55582566804</v>
      </c>
      <c r="I10" s="20">
        <f t="shared" si="12"/>
        <v>315127.73780166666</v>
      </c>
      <c r="J10" t="b">
        <f t="shared" si="13"/>
        <v>0</v>
      </c>
      <c r="K10" s="20">
        <f t="shared" si="0"/>
        <v>315127.73780166666</v>
      </c>
      <c r="L10" s="20" t="b">
        <f t="shared" si="14"/>
        <v>0</v>
      </c>
      <c r="M10" s="20">
        <f t="shared" si="1"/>
        <v>315127.73780166666</v>
      </c>
      <c r="N10" s="20" t="b">
        <f t="shared" si="15"/>
        <v>0</v>
      </c>
      <c r="O10" s="20">
        <f t="shared" si="16"/>
        <v>315127.73780166666</v>
      </c>
      <c r="P10" s="20" t="b">
        <f t="shared" si="17"/>
        <v>0</v>
      </c>
      <c r="Q10" s="55">
        <f t="shared" si="18"/>
        <v>315127.73780166666</v>
      </c>
      <c r="R10" s="20"/>
      <c r="S10" s="54">
        <v>472062.35712073307</v>
      </c>
      <c r="T10" s="3">
        <f t="shared" si="2"/>
        <v>6.0082598619406414E-3</v>
      </c>
      <c r="U10" s="56">
        <v>41326.396622375309</v>
      </c>
      <c r="V10" s="57">
        <v>0</v>
      </c>
      <c r="W10" s="3">
        <f t="shared" si="3"/>
        <v>0</v>
      </c>
      <c r="X10" s="56">
        <f t="shared" si="4"/>
        <v>0</v>
      </c>
      <c r="Y10" s="56">
        <f t="shared" si="21"/>
        <v>41326.396622375309</v>
      </c>
      <c r="Z10" s="58">
        <f t="shared" si="5"/>
        <v>0.11593748713042826</v>
      </c>
      <c r="AA10" s="53" t="b">
        <f t="shared" si="6"/>
        <v>0</v>
      </c>
      <c r="AB10" s="54">
        <f t="shared" si="7"/>
        <v>315127.73780166666</v>
      </c>
      <c r="AC10" s="20"/>
      <c r="AD10" s="20">
        <f t="shared" si="8"/>
        <v>41326.396622375309</v>
      </c>
      <c r="AE10" s="20">
        <f t="shared" si="9"/>
        <v>0</v>
      </c>
      <c r="AF10" s="55">
        <f t="shared" si="10"/>
        <v>356454.13442404196</v>
      </c>
    </row>
    <row r="11" spans="1:32" x14ac:dyDescent="0.25">
      <c r="A11" s="44" t="s">
        <v>92</v>
      </c>
      <c r="B11" s="45" t="s">
        <v>133</v>
      </c>
      <c r="C11" s="46" t="s">
        <v>5</v>
      </c>
      <c r="D11" s="45">
        <v>0.15124622960914436</v>
      </c>
      <c r="E11" s="47">
        <v>0</v>
      </c>
      <c r="F11" s="14">
        <v>4548053.7153783012</v>
      </c>
      <c r="G11" s="48">
        <f t="shared" si="11"/>
        <v>0.11107428997454669</v>
      </c>
      <c r="H11" s="14">
        <v>325179.39365966036</v>
      </c>
      <c r="I11" s="14">
        <f t="shared" si="12"/>
        <v>325179.39365966036</v>
      </c>
      <c r="J11" s="45" t="b">
        <f>IF(C11="PC",FALSE,E11&gt;I11)</f>
        <v>0</v>
      </c>
      <c r="K11" s="14">
        <f t="shared" si="0"/>
        <v>325179.39365966036</v>
      </c>
      <c r="L11" s="14" t="b">
        <f t="shared" si="14"/>
        <v>0</v>
      </c>
      <c r="M11" s="14">
        <f t="shared" si="1"/>
        <v>325179.39365966036</v>
      </c>
      <c r="N11" s="14" t="b">
        <f t="shared" si="15"/>
        <v>0</v>
      </c>
      <c r="O11" s="14">
        <f t="shared" si="16"/>
        <v>325179.39365966036</v>
      </c>
      <c r="P11" s="14" t="b">
        <f t="shared" si="17"/>
        <v>0</v>
      </c>
      <c r="Q11" s="49">
        <f t="shared" si="18"/>
        <v>325179.39365966036</v>
      </c>
      <c r="R11" s="14"/>
      <c r="S11" s="47">
        <v>65007390.529001668</v>
      </c>
      <c r="T11" s="48">
        <f t="shared" si="2"/>
        <v>0.21430244456341521</v>
      </c>
      <c r="U11" s="50">
        <v>2926614.5429369435</v>
      </c>
      <c r="V11" s="51">
        <v>0</v>
      </c>
      <c r="W11" s="48">
        <f t="shared" si="3"/>
        <v>0</v>
      </c>
      <c r="X11" s="50">
        <f t="shared" si="4"/>
        <v>0</v>
      </c>
      <c r="Y11" s="50">
        <f t="shared" si="21"/>
        <v>2926614.5429369435</v>
      </c>
      <c r="Z11" s="4">
        <f t="shared" si="5"/>
        <v>0.89999999999999991</v>
      </c>
      <c r="AA11" s="46" t="b">
        <f t="shared" si="6"/>
        <v>0</v>
      </c>
      <c r="AB11" s="47">
        <f t="shared" si="7"/>
        <v>325179.39365966036</v>
      </c>
      <c r="AC11" s="14">
        <f>U11</f>
        <v>2926614.5429369435</v>
      </c>
      <c r="AD11" s="14">
        <v>0</v>
      </c>
      <c r="AE11" s="14">
        <v>0</v>
      </c>
      <c r="AF11" s="49">
        <f t="shared" si="10"/>
        <v>3251793.9365966041</v>
      </c>
    </row>
    <row r="12" spans="1:32" x14ac:dyDescent="0.25">
      <c r="A12" s="52" t="s">
        <v>93</v>
      </c>
      <c r="B12" t="s">
        <v>134</v>
      </c>
      <c r="C12" s="53" t="s">
        <v>4</v>
      </c>
      <c r="E12" s="54">
        <v>0</v>
      </c>
      <c r="F12" s="20">
        <v>1075785.478586419</v>
      </c>
      <c r="G12" s="3">
        <f t="shared" si="11"/>
        <v>1.6386542256328195E-2</v>
      </c>
      <c r="H12" s="20">
        <v>249545.32357535855</v>
      </c>
      <c r="I12" s="20">
        <f t="shared" si="12"/>
        <v>0</v>
      </c>
      <c r="J12" t="b">
        <f t="shared" ref="J12:J43" si="22">IF(C12="PC",FALSE,E12&gt;I12)</f>
        <v>0</v>
      </c>
      <c r="K12" s="20">
        <f t="shared" si="0"/>
        <v>0</v>
      </c>
      <c r="L12" s="20" t="b">
        <f t="shared" si="14"/>
        <v>0</v>
      </c>
      <c r="M12" s="20">
        <f t="shared" si="1"/>
        <v>0</v>
      </c>
      <c r="N12" s="20" t="b">
        <f>IF(C12="PC",FALSE,E12&gt;M12)</f>
        <v>0</v>
      </c>
      <c r="O12" s="20">
        <f t="shared" si="16"/>
        <v>0</v>
      </c>
      <c r="P12" s="20" t="b">
        <f t="shared" si="17"/>
        <v>0</v>
      </c>
      <c r="Q12" s="55">
        <f t="shared" si="18"/>
        <v>0</v>
      </c>
      <c r="R12" s="20"/>
      <c r="S12" s="54">
        <v>4292706.3521663509</v>
      </c>
      <c r="T12" s="3">
        <f t="shared" si="2"/>
        <v>5.4636204064503105E-2</v>
      </c>
      <c r="U12" s="56">
        <v>375802.2274325185</v>
      </c>
      <c r="V12" s="57">
        <v>3767451.0706519675</v>
      </c>
      <c r="W12" s="3">
        <f t="shared" si="3"/>
        <v>6.8704797488863073E-2</v>
      </c>
      <c r="X12" s="56">
        <f t="shared" si="4"/>
        <v>137409.59497772614</v>
      </c>
      <c r="Y12" s="56">
        <f t="shared" si="21"/>
        <v>513211.82241024461</v>
      </c>
      <c r="Z12" s="58">
        <f t="shared" si="5"/>
        <v>1</v>
      </c>
      <c r="AA12" s="53" t="b">
        <f t="shared" si="6"/>
        <v>0</v>
      </c>
      <c r="AB12" s="54">
        <f t="shared" si="7"/>
        <v>0</v>
      </c>
      <c r="AC12" s="20"/>
      <c r="AD12" s="20">
        <f t="shared" ref="AD12:AD35" si="23">IF(AA12,0,U12)</f>
        <v>375802.2274325185</v>
      </c>
      <c r="AE12" s="20">
        <f t="shared" ref="AE12:AE35" si="24">IF(AA12,0,X12)</f>
        <v>137409.59497772614</v>
      </c>
      <c r="AF12" s="55">
        <f t="shared" si="10"/>
        <v>513211.82241024461</v>
      </c>
    </row>
    <row r="13" spans="1:32" x14ac:dyDescent="0.25">
      <c r="A13" s="44" t="s">
        <v>94</v>
      </c>
      <c r="B13" s="45" t="s">
        <v>135</v>
      </c>
      <c r="C13" s="46" t="s">
        <v>4</v>
      </c>
      <c r="D13" s="45"/>
      <c r="E13" s="47">
        <v>123400.32749633331</v>
      </c>
      <c r="F13" s="14">
        <v>6659154.9258275647</v>
      </c>
      <c r="G13" s="48">
        <f t="shared" si="11"/>
        <v>0.10143334870711741</v>
      </c>
      <c r="H13" s="14">
        <v>1544695.484166262</v>
      </c>
      <c r="I13" s="14">
        <f t="shared" si="12"/>
        <v>123400.32749633331</v>
      </c>
      <c r="J13" s="45" t="b">
        <f t="shared" si="22"/>
        <v>0</v>
      </c>
      <c r="K13" s="14">
        <f t="shared" si="0"/>
        <v>123400.32749633331</v>
      </c>
      <c r="L13" s="14" t="b">
        <f t="shared" si="14"/>
        <v>0</v>
      </c>
      <c r="M13" s="14">
        <f t="shared" si="1"/>
        <v>123400.32749633331</v>
      </c>
      <c r="N13" s="14" t="b">
        <f t="shared" si="15"/>
        <v>0</v>
      </c>
      <c r="O13" s="14">
        <f t="shared" si="16"/>
        <v>123400.32749633331</v>
      </c>
      <c r="P13" s="14" t="b">
        <f t="shared" si="17"/>
        <v>0</v>
      </c>
      <c r="Q13" s="49">
        <f t="shared" si="18"/>
        <v>123400.32749633331</v>
      </c>
      <c r="R13" s="14"/>
      <c r="S13" s="47">
        <v>5949741.9733242393</v>
      </c>
      <c r="T13" s="48">
        <f t="shared" si="2"/>
        <v>7.5726427553478595E-2</v>
      </c>
      <c r="U13" s="50">
        <v>520866.34928932844</v>
      </c>
      <c r="V13" s="51">
        <v>7747180.6150091318</v>
      </c>
      <c r="W13" s="48">
        <f t="shared" si="3"/>
        <v>0.14128079310973973</v>
      </c>
      <c r="X13" s="50">
        <f t="shared" si="4"/>
        <v>282561.58621947945</v>
      </c>
      <c r="Y13" s="50">
        <f t="shared" si="21"/>
        <v>803427.93550880789</v>
      </c>
      <c r="Z13" s="4">
        <f t="shared" si="5"/>
        <v>0.86685739697209818</v>
      </c>
      <c r="AA13" s="46" t="b">
        <f t="shared" si="6"/>
        <v>0</v>
      </c>
      <c r="AB13" s="47">
        <f t="shared" si="7"/>
        <v>123400.32749633331</v>
      </c>
      <c r="AC13" s="14"/>
      <c r="AD13" s="14">
        <f t="shared" si="23"/>
        <v>520866.34928932844</v>
      </c>
      <c r="AE13" s="14">
        <f t="shared" si="24"/>
        <v>282561.58621947945</v>
      </c>
      <c r="AF13" s="49">
        <f t="shared" si="10"/>
        <v>926828.26300514117</v>
      </c>
    </row>
    <row r="14" spans="1:32" x14ac:dyDescent="0.25">
      <c r="A14" s="52" t="s">
        <v>95</v>
      </c>
      <c r="B14" t="s">
        <v>136</v>
      </c>
      <c r="C14" s="53" t="s">
        <v>4</v>
      </c>
      <c r="E14" s="54">
        <v>344168.66130600002</v>
      </c>
      <c r="F14" s="20">
        <v>765367.27273176983</v>
      </c>
      <c r="G14" s="3">
        <f t="shared" si="11"/>
        <v>1.1658200827092055E-2</v>
      </c>
      <c r="H14" s="20">
        <v>177538.9494742064</v>
      </c>
      <c r="I14" s="20">
        <f t="shared" si="12"/>
        <v>177538.9494742064</v>
      </c>
      <c r="J14" t="b">
        <f t="shared" si="22"/>
        <v>1</v>
      </c>
      <c r="K14" s="20">
        <f t="shared" si="0"/>
        <v>282139.59765776561</v>
      </c>
      <c r="L14" s="20" t="b">
        <f t="shared" si="14"/>
        <v>1</v>
      </c>
      <c r="M14" s="20">
        <f t="shared" si="1"/>
        <v>319973.76708045712</v>
      </c>
      <c r="N14" s="20" t="b">
        <f t="shared" si="15"/>
        <v>1</v>
      </c>
      <c r="O14" s="20">
        <f t="shared" si="16"/>
        <v>323441.8299329686</v>
      </c>
      <c r="P14" s="20" t="b">
        <f t="shared" si="17"/>
        <v>1</v>
      </c>
      <c r="Q14" s="55">
        <f t="shared" si="18"/>
        <v>323441.8299329686</v>
      </c>
      <c r="R14" s="20"/>
      <c r="S14" s="54">
        <v>3131009.5636587515</v>
      </c>
      <c r="T14" s="3">
        <f t="shared" si="2"/>
        <v>3.9850496030701059E-2</v>
      </c>
      <c r="U14" s="56">
        <v>274102.22633599787</v>
      </c>
      <c r="V14" s="57">
        <v>930397.49699071748</v>
      </c>
      <c r="W14" s="3">
        <f t="shared" si="3"/>
        <v>1.6967113949493268E-2</v>
      </c>
      <c r="X14" s="56">
        <f t="shared" si="4"/>
        <v>33934.227898986537</v>
      </c>
      <c r="Y14" s="56">
        <f t="shared" si="21"/>
        <v>308036.45423498441</v>
      </c>
      <c r="Z14" s="58">
        <f t="shared" si="5"/>
        <v>0.48780213343497419</v>
      </c>
      <c r="AA14" s="53" t="b">
        <f t="shared" si="6"/>
        <v>0</v>
      </c>
      <c r="AB14" s="54">
        <f t="shared" si="7"/>
        <v>323441.8299329686</v>
      </c>
      <c r="AC14" s="20"/>
      <c r="AD14" s="20">
        <f t="shared" si="23"/>
        <v>274102.22633599787</v>
      </c>
      <c r="AE14" s="20">
        <f t="shared" si="24"/>
        <v>33934.227898986537</v>
      </c>
      <c r="AF14" s="55">
        <f t="shared" si="10"/>
        <v>631478.28416795307</v>
      </c>
    </row>
    <row r="15" spans="1:32" x14ac:dyDescent="0.25">
      <c r="A15" s="44" t="s">
        <v>96</v>
      </c>
      <c r="B15" s="45" t="s">
        <v>137</v>
      </c>
      <c r="C15" s="46" t="s">
        <v>4</v>
      </c>
      <c r="D15" s="45"/>
      <c r="E15" s="47">
        <v>952525.87734533334</v>
      </c>
      <c r="F15" s="14">
        <v>442282.83411904506</v>
      </c>
      <c r="G15" s="48">
        <f t="shared" si="11"/>
        <v>6.7369252465310416E-3</v>
      </c>
      <c r="H15" s="14">
        <v>102594.4439193298</v>
      </c>
      <c r="I15" s="14">
        <f t="shared" si="12"/>
        <v>102594.4439193298</v>
      </c>
      <c r="J15" s="45" t="b">
        <f t="shared" si="22"/>
        <v>1</v>
      </c>
      <c r="K15" s="14">
        <f t="shared" si="0"/>
        <v>163040.02707601522</v>
      </c>
      <c r="L15" s="14" t="b">
        <f t="shared" si="14"/>
        <v>1</v>
      </c>
      <c r="M15" s="14">
        <f>IF($C15="PC",K15,MIN(IF(L15,K15/SUMIF($J$47:$J$48,$C15,$M$47:$M$48)*SUMIF($J$49:$J$50,$C15,$M$49:$M$50))+K15,$E15))</f>
        <v>184903.2609442244</v>
      </c>
      <c r="N15" s="14" t="b">
        <f t="shared" si="15"/>
        <v>1</v>
      </c>
      <c r="O15" s="14">
        <f t="shared" si="16"/>
        <v>186907.3506433267</v>
      </c>
      <c r="P15" s="14" t="b">
        <f t="shared" si="17"/>
        <v>1</v>
      </c>
      <c r="Q15" s="49">
        <f>IF($C15="PC",O15,MIN(IF(P15,O15/SUMIF($J$47:$J$48,$C15,$Q$47:$Q$48)*SUMIF($J$49:$J$50,$C15,$Q$49:$Q$50))+O15,$E15))</f>
        <v>186907.3506433267</v>
      </c>
      <c r="R15" s="14"/>
      <c r="S15" s="47">
        <v>2326665.6962027573</v>
      </c>
      <c r="T15" s="48">
        <f t="shared" si="2"/>
        <v>2.9613062562143518E-2</v>
      </c>
      <c r="U15" s="50">
        <v>203686.4577709983</v>
      </c>
      <c r="V15" s="51">
        <v>0</v>
      </c>
      <c r="W15" s="48">
        <f t="shared" si="3"/>
        <v>0</v>
      </c>
      <c r="X15" s="50">
        <f t="shared" si="4"/>
        <v>0</v>
      </c>
      <c r="Y15" s="50">
        <f t="shared" si="21"/>
        <v>203686.4577709983</v>
      </c>
      <c r="Z15" s="4">
        <f t="shared" si="5"/>
        <v>0.52147897222921802</v>
      </c>
      <c r="AA15" s="46" t="b">
        <f t="shared" si="6"/>
        <v>0</v>
      </c>
      <c r="AB15" s="47">
        <f t="shared" si="7"/>
        <v>186907.3506433267</v>
      </c>
      <c r="AC15" s="14"/>
      <c r="AD15" s="14">
        <f t="shared" si="23"/>
        <v>203686.4577709983</v>
      </c>
      <c r="AE15" s="14">
        <f t="shared" si="24"/>
        <v>0</v>
      </c>
      <c r="AF15" s="49">
        <f t="shared" si="10"/>
        <v>390593.808414325</v>
      </c>
    </row>
    <row r="16" spans="1:32" x14ac:dyDescent="0.25">
      <c r="A16" s="52" t="s">
        <v>97</v>
      </c>
      <c r="B16" t="s">
        <v>138</v>
      </c>
      <c r="C16" s="53" t="s">
        <v>4</v>
      </c>
      <c r="E16" s="54">
        <v>448878.15448599996</v>
      </c>
      <c r="F16" s="20">
        <v>501713.56607301231</v>
      </c>
      <c r="G16" s="3">
        <f t="shared" si="11"/>
        <v>7.642183980612352E-3</v>
      </c>
      <c r="H16" s="20">
        <v>116380.33481577564</v>
      </c>
      <c r="I16" s="20">
        <f t="shared" si="12"/>
        <v>116380.33481577564</v>
      </c>
      <c r="J16" t="b">
        <f t="shared" si="22"/>
        <v>1</v>
      </c>
      <c r="K16" s="20">
        <f t="shared" si="0"/>
        <v>184948.15327815979</v>
      </c>
      <c r="L16" s="20" t="b">
        <f t="shared" si="14"/>
        <v>1</v>
      </c>
      <c r="M16" s="20">
        <f t="shared" si="1"/>
        <v>209749.20858421997</v>
      </c>
      <c r="N16" s="20" t="b">
        <f t="shared" si="15"/>
        <v>1</v>
      </c>
      <c r="O16" s="20">
        <f t="shared" si="16"/>
        <v>212022.59319718953</v>
      </c>
      <c r="P16" s="20" t="b">
        <f t="shared" si="17"/>
        <v>1</v>
      </c>
      <c r="Q16" s="55">
        <f t="shared" si="18"/>
        <v>212022.59319718953</v>
      </c>
      <c r="R16" s="20"/>
      <c r="S16" s="54">
        <v>2443672.8148290585</v>
      </c>
      <c r="T16" s="3">
        <f t="shared" si="2"/>
        <v>3.1102292033206667E-2</v>
      </c>
      <c r="U16" s="56">
        <v>213929.77100928547</v>
      </c>
      <c r="V16" s="57">
        <v>1309819.4474869585</v>
      </c>
      <c r="W16" s="3">
        <f t="shared" si="3"/>
        <v>2.3886409723429491E-2</v>
      </c>
      <c r="X16" s="56">
        <f t="shared" si="4"/>
        <v>47772.819446858979</v>
      </c>
      <c r="Y16" s="56">
        <f t="shared" si="21"/>
        <v>261702.59045614445</v>
      </c>
      <c r="Z16" s="58">
        <f t="shared" si="5"/>
        <v>0.55243546150093437</v>
      </c>
      <c r="AA16" s="53" t="b">
        <f t="shared" si="6"/>
        <v>0</v>
      </c>
      <c r="AB16" s="54">
        <f t="shared" si="7"/>
        <v>212022.59319718953</v>
      </c>
      <c r="AC16" s="20"/>
      <c r="AD16" s="20">
        <f t="shared" si="23"/>
        <v>213929.77100928547</v>
      </c>
      <c r="AE16" s="20">
        <f t="shared" si="24"/>
        <v>47772.819446858979</v>
      </c>
      <c r="AF16" s="55">
        <f t="shared" si="10"/>
        <v>473725.18365333392</v>
      </c>
    </row>
    <row r="17" spans="1:32" x14ac:dyDescent="0.25">
      <c r="A17" s="44" t="s">
        <v>98</v>
      </c>
      <c r="B17" s="45" t="s">
        <v>139</v>
      </c>
      <c r="C17" s="46" t="s">
        <v>4</v>
      </c>
      <c r="D17" s="45"/>
      <c r="E17" s="47">
        <v>0</v>
      </c>
      <c r="F17" s="14">
        <v>3423629.0977993575</v>
      </c>
      <c r="G17" s="48">
        <f t="shared" si="11"/>
        <v>5.2149284404546144E-2</v>
      </c>
      <c r="H17" s="14">
        <v>794164.49470480811</v>
      </c>
      <c r="I17" s="14">
        <f t="shared" si="12"/>
        <v>0</v>
      </c>
      <c r="J17" s="45" t="b">
        <f t="shared" si="22"/>
        <v>0</v>
      </c>
      <c r="K17" s="14">
        <f t="shared" si="0"/>
        <v>0</v>
      </c>
      <c r="L17" s="14" t="b">
        <f t="shared" si="14"/>
        <v>0</v>
      </c>
      <c r="M17" s="14">
        <f t="shared" si="1"/>
        <v>0</v>
      </c>
      <c r="N17" s="14" t="b">
        <f t="shared" si="15"/>
        <v>0</v>
      </c>
      <c r="O17" s="14">
        <f t="shared" si="16"/>
        <v>0</v>
      </c>
      <c r="P17" s="14" t="b">
        <f t="shared" si="17"/>
        <v>0</v>
      </c>
      <c r="Q17" s="49">
        <f t="shared" si="18"/>
        <v>0</v>
      </c>
      <c r="R17" s="14"/>
      <c r="S17" s="47">
        <v>5700883.8008003002</v>
      </c>
      <c r="T17" s="48">
        <f t="shared" si="2"/>
        <v>7.2559039714271842E-2</v>
      </c>
      <c r="U17" s="50">
        <v>499080.22000934958</v>
      </c>
      <c r="V17" s="51">
        <v>1291528.7266485204</v>
      </c>
      <c r="W17" s="48">
        <f t="shared" si="3"/>
        <v>2.3552852565668518E-2</v>
      </c>
      <c r="X17" s="50">
        <f t="shared" si="4"/>
        <v>47105.705131337039</v>
      </c>
      <c r="Y17" s="50">
        <f t="shared" si="21"/>
        <v>546185.92514068657</v>
      </c>
      <c r="Z17" s="4">
        <f t="shared" si="5"/>
        <v>1</v>
      </c>
      <c r="AA17" s="46" t="b">
        <f t="shared" si="6"/>
        <v>0</v>
      </c>
      <c r="AB17" s="47">
        <f t="shared" si="7"/>
        <v>0</v>
      </c>
      <c r="AC17" s="14"/>
      <c r="AD17" s="14">
        <f t="shared" si="23"/>
        <v>499080.22000934958</v>
      </c>
      <c r="AE17" s="14">
        <f t="shared" si="24"/>
        <v>47105.705131337039</v>
      </c>
      <c r="AF17" s="49">
        <f t="shared" si="10"/>
        <v>546185.92514068657</v>
      </c>
    </row>
    <row r="18" spans="1:32" x14ac:dyDescent="0.25">
      <c r="A18" s="52" t="s">
        <v>99</v>
      </c>
      <c r="B18" t="s">
        <v>140</v>
      </c>
      <c r="C18" s="53" t="s">
        <v>4</v>
      </c>
      <c r="E18" s="54">
        <v>793339.18356166664</v>
      </c>
      <c r="F18" s="20">
        <v>1576933.7030740227</v>
      </c>
      <c r="G18" s="3">
        <f t="shared" si="11"/>
        <v>2.4020114860450571E-2</v>
      </c>
      <c r="H18" s="20">
        <v>365794.51853874768</v>
      </c>
      <c r="I18" s="20">
        <f t="shared" si="12"/>
        <v>365794.51853874768</v>
      </c>
      <c r="J18" t="b">
        <f t="shared" si="22"/>
        <v>1</v>
      </c>
      <c r="K18" s="20">
        <f t="shared" si="0"/>
        <v>581309.72719838261</v>
      </c>
      <c r="L18" s="20" t="b">
        <f t="shared" si="14"/>
        <v>1</v>
      </c>
      <c r="M18" s="20">
        <f t="shared" si="1"/>
        <v>659261.81506008026</v>
      </c>
      <c r="N18" s="20" t="b">
        <f t="shared" si="15"/>
        <v>1</v>
      </c>
      <c r="O18" s="20">
        <f t="shared" si="16"/>
        <v>666407.28023914993</v>
      </c>
      <c r="P18" s="20" t="b">
        <f t="shared" si="17"/>
        <v>1</v>
      </c>
      <c r="Q18" s="55">
        <f t="shared" si="18"/>
        <v>666407.28023914993</v>
      </c>
      <c r="R18" s="20"/>
      <c r="S18" s="54">
        <v>0</v>
      </c>
      <c r="T18" s="3">
        <f t="shared" si="2"/>
        <v>0</v>
      </c>
      <c r="U18" s="56">
        <v>0</v>
      </c>
      <c r="V18" s="57">
        <v>0</v>
      </c>
      <c r="W18" s="3">
        <f t="shared" si="3"/>
        <v>0</v>
      </c>
      <c r="X18" s="56">
        <f t="shared" si="4"/>
        <v>0</v>
      </c>
      <c r="Y18" s="56">
        <f t="shared" si="21"/>
        <v>0</v>
      </c>
      <c r="Z18" s="58">
        <f t="shared" si="5"/>
        <v>0</v>
      </c>
      <c r="AA18" s="53" t="b">
        <f t="shared" si="6"/>
        <v>1</v>
      </c>
      <c r="AB18" s="54">
        <f t="shared" si="7"/>
        <v>666407.28023914993</v>
      </c>
      <c r="AC18" s="20"/>
      <c r="AD18" s="20">
        <f t="shared" si="23"/>
        <v>0</v>
      </c>
      <c r="AE18" s="20">
        <f t="shared" si="24"/>
        <v>0</v>
      </c>
      <c r="AF18" s="55">
        <f t="shared" si="10"/>
        <v>666407.28023914993</v>
      </c>
    </row>
    <row r="19" spans="1:32" x14ac:dyDescent="0.25">
      <c r="A19" s="44" t="s">
        <v>100</v>
      </c>
      <c r="B19" s="45" t="s">
        <v>141</v>
      </c>
      <c r="C19" s="46" t="s">
        <v>4</v>
      </c>
      <c r="D19" s="45"/>
      <c r="E19" s="47">
        <v>5892.953118999998</v>
      </c>
      <c r="F19" s="14">
        <v>237083.9118506911</v>
      </c>
      <c r="G19" s="48">
        <f t="shared" si="11"/>
        <v>3.6113013395029331E-3</v>
      </c>
      <c r="H19" s="14">
        <v>54995.333804870519</v>
      </c>
      <c r="I19" s="14">
        <f t="shared" si="12"/>
        <v>5892.953118999998</v>
      </c>
      <c r="J19" s="45" t="b">
        <f t="shared" si="22"/>
        <v>0</v>
      </c>
      <c r="K19" s="14">
        <f t="shared" si="0"/>
        <v>5892.953118999998</v>
      </c>
      <c r="L19" s="14" t="b">
        <f t="shared" si="14"/>
        <v>0</v>
      </c>
      <c r="M19" s="14">
        <f t="shared" si="1"/>
        <v>5892.953118999998</v>
      </c>
      <c r="N19" s="14" t="b">
        <f t="shared" si="15"/>
        <v>0</v>
      </c>
      <c r="O19" s="14">
        <f t="shared" si="16"/>
        <v>5892.953118999998</v>
      </c>
      <c r="P19" s="14" t="b">
        <f t="shared" si="17"/>
        <v>0</v>
      </c>
      <c r="Q19" s="49">
        <f t="shared" si="18"/>
        <v>5892.953118999998</v>
      </c>
      <c r="R19" s="14"/>
      <c r="S19" s="47">
        <v>439346.31005144084</v>
      </c>
      <c r="T19" s="48">
        <f t="shared" si="2"/>
        <v>5.591860398008134E-3</v>
      </c>
      <c r="U19" s="50">
        <v>38462.291241576902</v>
      </c>
      <c r="V19" s="51">
        <v>165525.17854795721</v>
      </c>
      <c r="W19" s="48">
        <f t="shared" si="3"/>
        <v>3.018585685169173E-3</v>
      </c>
      <c r="X19" s="50">
        <f t="shared" si="4"/>
        <v>6037.1713703383457</v>
      </c>
      <c r="Y19" s="50">
        <f t="shared" si="21"/>
        <v>44499.462611915245</v>
      </c>
      <c r="Z19" s="4">
        <f t="shared" si="5"/>
        <v>0.8830587295027269</v>
      </c>
      <c r="AA19" s="46" t="b">
        <f t="shared" si="6"/>
        <v>0</v>
      </c>
      <c r="AB19" s="47">
        <f t="shared" si="7"/>
        <v>5892.953118999998</v>
      </c>
      <c r="AC19" s="14"/>
      <c r="AD19" s="14">
        <f t="shared" si="23"/>
        <v>38462.291241576902</v>
      </c>
      <c r="AE19" s="14">
        <f t="shared" si="24"/>
        <v>6037.1713703383457</v>
      </c>
      <c r="AF19" s="49">
        <f t="shared" si="10"/>
        <v>50392.415730915243</v>
      </c>
    </row>
    <row r="20" spans="1:32" x14ac:dyDescent="0.25">
      <c r="A20" s="52" t="s">
        <v>101</v>
      </c>
      <c r="B20" t="s">
        <v>142</v>
      </c>
      <c r="C20" s="53" t="s">
        <v>4</v>
      </c>
      <c r="E20" s="54">
        <v>380677.62872566667</v>
      </c>
      <c r="F20" s="20">
        <v>1711060.3275544078</v>
      </c>
      <c r="G20" s="3">
        <f t="shared" si="11"/>
        <v>2.6063153778055681E-2</v>
      </c>
      <c r="H20" s="20">
        <v>396907.29387571238</v>
      </c>
      <c r="I20" s="20">
        <f t="shared" si="12"/>
        <v>380677.62872566667</v>
      </c>
      <c r="J20" t="b">
        <f t="shared" si="22"/>
        <v>0</v>
      </c>
      <c r="K20" s="20">
        <f t="shared" si="0"/>
        <v>380677.62872566667</v>
      </c>
      <c r="L20" s="20" t="b">
        <f t="shared" si="14"/>
        <v>0</v>
      </c>
      <c r="M20" s="20">
        <f t="shared" si="1"/>
        <v>380677.62872566667</v>
      </c>
      <c r="N20" s="20" t="b">
        <f t="shared" si="15"/>
        <v>0</v>
      </c>
      <c r="O20" s="20">
        <f t="shared" si="16"/>
        <v>380677.62872566667</v>
      </c>
      <c r="P20" s="20" t="b">
        <f t="shared" si="17"/>
        <v>0</v>
      </c>
      <c r="Q20" s="55">
        <f t="shared" si="18"/>
        <v>380677.62872566667</v>
      </c>
      <c r="R20" s="20"/>
      <c r="S20" s="54">
        <v>68185.548410384974</v>
      </c>
      <c r="T20" s="3">
        <f t="shared" si="2"/>
        <v>8.6784401996651693E-4</v>
      </c>
      <c r="U20" s="56">
        <v>5969.2601517918838</v>
      </c>
      <c r="V20" s="57">
        <v>0</v>
      </c>
      <c r="W20" s="3">
        <f t="shared" si="3"/>
        <v>0</v>
      </c>
      <c r="X20" s="56">
        <f t="shared" si="4"/>
        <v>0</v>
      </c>
      <c r="Y20" s="56">
        <f t="shared" si="21"/>
        <v>5969.2601517918838</v>
      </c>
      <c r="Z20" s="58">
        <f t="shared" si="5"/>
        <v>1.5438531444342601E-2</v>
      </c>
      <c r="AA20" s="53" t="b">
        <f t="shared" si="6"/>
        <v>1</v>
      </c>
      <c r="AB20" s="54">
        <f t="shared" si="7"/>
        <v>386646.88887745858</v>
      </c>
      <c r="AC20" s="20"/>
      <c r="AD20" s="20">
        <f t="shared" si="23"/>
        <v>0</v>
      </c>
      <c r="AE20" s="20">
        <f t="shared" si="24"/>
        <v>0</v>
      </c>
      <c r="AF20" s="55">
        <f t="shared" si="10"/>
        <v>386646.88887745858</v>
      </c>
    </row>
    <row r="21" spans="1:32" x14ac:dyDescent="0.25">
      <c r="A21" s="44" t="s">
        <v>102</v>
      </c>
      <c r="B21" s="45" t="s">
        <v>143</v>
      </c>
      <c r="C21" s="46" t="s">
        <v>4</v>
      </c>
      <c r="D21" s="45"/>
      <c r="E21" s="47">
        <v>2289152.120769667</v>
      </c>
      <c r="F21" s="14">
        <v>5490040.4701976152</v>
      </c>
      <c r="G21" s="48">
        <f t="shared" si="11"/>
        <v>8.3625204043520029E-2</v>
      </c>
      <c r="H21" s="14">
        <v>1273501.0397960329</v>
      </c>
      <c r="I21" s="14">
        <f t="shared" si="12"/>
        <v>1273501.0397960329</v>
      </c>
      <c r="J21" s="45" t="b">
        <f t="shared" si="22"/>
        <v>1</v>
      </c>
      <c r="K21" s="14">
        <f t="shared" si="0"/>
        <v>2023809.8290482466</v>
      </c>
      <c r="L21" s="14" t="b">
        <f t="shared" si="14"/>
        <v>1</v>
      </c>
      <c r="M21" s="14">
        <f t="shared" si="1"/>
        <v>2289152.120769667</v>
      </c>
      <c r="N21" s="14" t="b">
        <f t="shared" si="15"/>
        <v>0</v>
      </c>
      <c r="O21" s="14">
        <f t="shared" si="16"/>
        <v>2289152.120769667</v>
      </c>
      <c r="P21" s="14" t="b">
        <f t="shared" si="17"/>
        <v>0</v>
      </c>
      <c r="Q21" s="49">
        <f t="shared" si="18"/>
        <v>2289152.120769667</v>
      </c>
      <c r="R21" s="14"/>
      <c r="S21" s="47">
        <v>17262.009108358448</v>
      </c>
      <c r="T21" s="48">
        <f t="shared" si="2"/>
        <v>2.1970537344852964E-4</v>
      </c>
      <c r="U21" s="50">
        <v>1511.1915283018968</v>
      </c>
      <c r="V21" s="51">
        <v>0</v>
      </c>
      <c r="W21" s="48">
        <f t="shared" si="3"/>
        <v>0</v>
      </c>
      <c r="X21" s="50">
        <f t="shared" si="4"/>
        <v>0</v>
      </c>
      <c r="Y21" s="50">
        <f t="shared" si="21"/>
        <v>1511.1915283018968</v>
      </c>
      <c r="Z21" s="4">
        <f t="shared" si="5"/>
        <v>6.5971787306703131E-4</v>
      </c>
      <c r="AA21" s="46" t="b">
        <f t="shared" si="6"/>
        <v>1</v>
      </c>
      <c r="AB21" s="47">
        <f t="shared" si="7"/>
        <v>2290663.3122979687</v>
      </c>
      <c r="AC21" s="14"/>
      <c r="AD21" s="14">
        <f t="shared" si="23"/>
        <v>0</v>
      </c>
      <c r="AE21" s="14">
        <f t="shared" si="24"/>
        <v>0</v>
      </c>
      <c r="AF21" s="49">
        <f t="shared" si="10"/>
        <v>2290663.3122979687</v>
      </c>
    </row>
    <row r="22" spans="1:32" x14ac:dyDescent="0.25">
      <c r="A22" s="52" t="s">
        <v>103</v>
      </c>
      <c r="B22" t="s">
        <v>144</v>
      </c>
      <c r="C22" s="53" t="s">
        <v>4</v>
      </c>
      <c r="E22" s="54">
        <v>18562561.066536333</v>
      </c>
      <c r="F22" s="20">
        <v>8492919.5490938649</v>
      </c>
      <c r="G22" s="3">
        <f t="shared" si="11"/>
        <v>0.12936555460266214</v>
      </c>
      <c r="H22" s="20">
        <v>1970065.9649756236</v>
      </c>
      <c r="I22" s="20">
        <f t="shared" si="12"/>
        <v>1970065.9649756236</v>
      </c>
      <c r="J22" t="b">
        <f t="shared" si="22"/>
        <v>1</v>
      </c>
      <c r="K22" s="20">
        <f t="shared" si="0"/>
        <v>3130770.0105448361</v>
      </c>
      <c r="L22" s="20" t="b">
        <f t="shared" si="14"/>
        <v>1</v>
      </c>
      <c r="M22" s="20">
        <f t="shared" si="1"/>
        <v>3550597.9396472038</v>
      </c>
      <c r="N22" s="20" t="b">
        <f t="shared" si="15"/>
        <v>1</v>
      </c>
      <c r="O22" s="20">
        <f t="shared" si="16"/>
        <v>3589081.396997625</v>
      </c>
      <c r="P22" s="20" t="b">
        <f t="shared" si="17"/>
        <v>1</v>
      </c>
      <c r="Q22" s="55">
        <f>IF($C22="PC",O22,MIN(IF(P22,O22/SUMIF($J$47:$J$48,$C22,$Q$47:$Q$48)*SUMIF($J$49:$J$50,$C22,$Q$49:$Q$50))+O22,$E22))</f>
        <v>3589081.396997625</v>
      </c>
      <c r="R22" s="20"/>
      <c r="S22" s="54">
        <v>39216427.754783668</v>
      </c>
      <c r="T22" s="3">
        <f t="shared" si="2"/>
        <v>0.49913424625700381</v>
      </c>
      <c r="U22" s="56">
        <v>3433177.0433718762</v>
      </c>
      <c r="V22" s="57">
        <v>34414492.5443791</v>
      </c>
      <c r="W22" s="3">
        <f t="shared" si="3"/>
        <v>0.62759693400195415</v>
      </c>
      <c r="X22" s="56">
        <f t="shared" si="4"/>
        <v>1255193.8680039083</v>
      </c>
      <c r="Y22" s="56">
        <f t="shared" si="21"/>
        <v>4688370.9113757843</v>
      </c>
      <c r="Z22" s="58">
        <f t="shared" si="5"/>
        <v>0.56640264863055301</v>
      </c>
      <c r="AA22" s="53" t="b">
        <f t="shared" si="6"/>
        <v>0</v>
      </c>
      <c r="AB22" s="54">
        <f t="shared" si="7"/>
        <v>3589081.396997625</v>
      </c>
      <c r="AC22" s="20"/>
      <c r="AD22" s="20">
        <f t="shared" si="23"/>
        <v>3433177.0433718762</v>
      </c>
      <c r="AE22" s="20">
        <f t="shared" si="24"/>
        <v>1255193.8680039083</v>
      </c>
      <c r="AF22" s="55">
        <f t="shared" si="10"/>
        <v>8277452.3083734103</v>
      </c>
    </row>
    <row r="23" spans="1:32" x14ac:dyDescent="0.25">
      <c r="A23" s="44" t="s">
        <v>104</v>
      </c>
      <c r="B23" s="45" t="s">
        <v>145</v>
      </c>
      <c r="C23" s="46" t="s">
        <v>4</v>
      </c>
      <c r="D23" s="45"/>
      <c r="E23" s="47">
        <v>476214.77553133323</v>
      </c>
      <c r="F23" s="14">
        <v>1022692.8902276126</v>
      </c>
      <c r="G23" s="48">
        <f t="shared" si="11"/>
        <v>1.5577827173296395E-2</v>
      </c>
      <c r="H23" s="14">
        <v>237229.6645474445</v>
      </c>
      <c r="I23" s="14">
        <f t="shared" si="12"/>
        <v>237229.6645474445</v>
      </c>
      <c r="J23" s="45" t="b">
        <f t="shared" si="22"/>
        <v>1</v>
      </c>
      <c r="K23" s="14">
        <f t="shared" si="0"/>
        <v>376998.29984420876</v>
      </c>
      <c r="L23" s="14" t="b">
        <f t="shared" si="14"/>
        <v>1</v>
      </c>
      <c r="M23" s="14">
        <f t="shared" si="1"/>
        <v>427552.76886161312</v>
      </c>
      <c r="N23" s="14" t="b">
        <f t="shared" si="15"/>
        <v>1</v>
      </c>
      <c r="O23" s="14">
        <f t="shared" si="16"/>
        <v>432186.83586250123</v>
      </c>
      <c r="P23" s="14" t="b">
        <f t="shared" si="17"/>
        <v>1</v>
      </c>
      <c r="Q23" s="49">
        <f t="shared" si="18"/>
        <v>432186.83586250123</v>
      </c>
      <c r="R23" s="14"/>
      <c r="S23" s="47">
        <v>0</v>
      </c>
      <c r="T23" s="48">
        <f t="shared" si="2"/>
        <v>0</v>
      </c>
      <c r="U23" s="50">
        <v>0</v>
      </c>
      <c r="V23" s="51">
        <v>0</v>
      </c>
      <c r="W23" s="48">
        <f t="shared" si="3"/>
        <v>0</v>
      </c>
      <c r="X23" s="50">
        <f t="shared" si="4"/>
        <v>0</v>
      </c>
      <c r="Y23" s="50">
        <f t="shared" si="21"/>
        <v>0</v>
      </c>
      <c r="Z23" s="4">
        <f t="shared" si="5"/>
        <v>0</v>
      </c>
      <c r="AA23" s="46" t="b">
        <f t="shared" si="6"/>
        <v>1</v>
      </c>
      <c r="AB23" s="47">
        <f t="shared" si="7"/>
        <v>432186.83586250123</v>
      </c>
      <c r="AC23" s="14"/>
      <c r="AD23" s="14">
        <f t="shared" si="23"/>
        <v>0</v>
      </c>
      <c r="AE23" s="14">
        <f t="shared" si="24"/>
        <v>0</v>
      </c>
      <c r="AF23" s="49">
        <f t="shared" si="10"/>
        <v>432186.83586250123</v>
      </c>
    </row>
    <row r="24" spans="1:32" x14ac:dyDescent="0.25">
      <c r="A24" s="52" t="s">
        <v>105</v>
      </c>
      <c r="B24" t="s">
        <v>146</v>
      </c>
      <c r="C24" s="53" t="s">
        <v>4</v>
      </c>
      <c r="E24" s="54">
        <v>523525.995849</v>
      </c>
      <c r="F24" s="20">
        <v>1039529.1048964704</v>
      </c>
      <c r="G24" s="3">
        <f t="shared" si="11"/>
        <v>1.5834279178458584E-2</v>
      </c>
      <c r="H24" s="20">
        <v>241135.08874302389</v>
      </c>
      <c r="I24" s="20">
        <f t="shared" si="12"/>
        <v>241135.08874302389</v>
      </c>
      <c r="J24" t="b">
        <f t="shared" si="22"/>
        <v>1</v>
      </c>
      <c r="K24" s="20">
        <f t="shared" si="0"/>
        <v>383204.68337011652</v>
      </c>
      <c r="L24" s="20" t="b">
        <f t="shared" si="14"/>
        <v>1</v>
      </c>
      <c r="M24" s="20">
        <f t="shared" si="1"/>
        <v>434591.41190646379</v>
      </c>
      <c r="N24" s="20" t="b">
        <f t="shared" si="15"/>
        <v>1</v>
      </c>
      <c r="O24" s="20">
        <f t="shared" si="16"/>
        <v>439301.76783784345</v>
      </c>
      <c r="P24" s="20" t="b">
        <f t="shared" si="17"/>
        <v>1</v>
      </c>
      <c r="Q24" s="55">
        <f t="shared" si="18"/>
        <v>439301.76783784345</v>
      </c>
      <c r="R24" s="20"/>
      <c r="S24" s="54">
        <v>0</v>
      </c>
      <c r="T24" s="3">
        <f t="shared" si="2"/>
        <v>0</v>
      </c>
      <c r="U24" s="56">
        <v>0</v>
      </c>
      <c r="V24" s="57">
        <v>0</v>
      </c>
      <c r="W24" s="3">
        <f t="shared" si="3"/>
        <v>0</v>
      </c>
      <c r="X24" s="56">
        <f t="shared" si="4"/>
        <v>0</v>
      </c>
      <c r="Y24" s="56">
        <f t="shared" si="21"/>
        <v>0</v>
      </c>
      <c r="Z24" s="58">
        <f t="shared" si="5"/>
        <v>0</v>
      </c>
      <c r="AA24" s="53" t="b">
        <f t="shared" si="6"/>
        <v>1</v>
      </c>
      <c r="AB24" s="54">
        <f t="shared" si="7"/>
        <v>439301.76783784345</v>
      </c>
      <c r="AC24" s="20"/>
      <c r="AD24" s="20">
        <f t="shared" si="23"/>
        <v>0</v>
      </c>
      <c r="AE24" s="20">
        <f t="shared" si="24"/>
        <v>0</v>
      </c>
      <c r="AF24" s="55">
        <f t="shared" si="10"/>
        <v>439301.76783784345</v>
      </c>
    </row>
    <row r="25" spans="1:32" x14ac:dyDescent="0.25">
      <c r="A25" s="44" t="s">
        <v>106</v>
      </c>
      <c r="B25" s="45" t="s">
        <v>147</v>
      </c>
      <c r="C25" s="46" t="s">
        <v>4</v>
      </c>
      <c r="D25" s="45"/>
      <c r="E25" s="47">
        <v>388907.69192400004</v>
      </c>
      <c r="F25" s="14">
        <v>1631651.3537738447</v>
      </c>
      <c r="G25" s="48">
        <f t="shared" si="11"/>
        <v>2.4853583161712465E-2</v>
      </c>
      <c r="H25" s="14">
        <v>378487.13627803203</v>
      </c>
      <c r="I25" s="14">
        <f t="shared" si="12"/>
        <v>378487.13627803203</v>
      </c>
      <c r="J25" s="45" t="b">
        <f t="shared" si="22"/>
        <v>1</v>
      </c>
      <c r="K25" s="14">
        <f t="shared" si="0"/>
        <v>388907.69192400004</v>
      </c>
      <c r="L25" s="14" t="b">
        <f t="shared" si="14"/>
        <v>0</v>
      </c>
      <c r="M25" s="14">
        <f t="shared" si="1"/>
        <v>388907.69192400004</v>
      </c>
      <c r="N25" s="14" t="b">
        <f t="shared" si="15"/>
        <v>0</v>
      </c>
      <c r="O25" s="14">
        <f t="shared" si="16"/>
        <v>388907.69192400004</v>
      </c>
      <c r="P25" s="14" t="b">
        <f t="shared" si="17"/>
        <v>0</v>
      </c>
      <c r="Q25" s="49">
        <f t="shared" si="18"/>
        <v>388907.69192400004</v>
      </c>
      <c r="R25" s="14"/>
      <c r="S25" s="47">
        <v>1471265.1301215997</v>
      </c>
      <c r="T25" s="48">
        <f t="shared" si="2"/>
        <v>1.8725795637464182E-2</v>
      </c>
      <c r="U25" s="50">
        <v>128800.96323487473</v>
      </c>
      <c r="V25" s="51">
        <v>0</v>
      </c>
      <c r="W25" s="48">
        <f t="shared" si="3"/>
        <v>0</v>
      </c>
      <c r="X25" s="50">
        <f t="shared" si="4"/>
        <v>0</v>
      </c>
      <c r="Y25" s="50">
        <f t="shared" si="21"/>
        <v>128800.96323487473</v>
      </c>
      <c r="Z25" s="4">
        <f t="shared" si="5"/>
        <v>0.24879043831196565</v>
      </c>
      <c r="AA25" s="46" t="b">
        <f t="shared" si="6"/>
        <v>0</v>
      </c>
      <c r="AB25" s="47">
        <f t="shared" si="7"/>
        <v>388907.69192400004</v>
      </c>
      <c r="AC25" s="14"/>
      <c r="AD25" s="14">
        <f t="shared" si="23"/>
        <v>128800.96323487473</v>
      </c>
      <c r="AE25" s="14">
        <f t="shared" si="24"/>
        <v>0</v>
      </c>
      <c r="AF25" s="49">
        <f t="shared" si="10"/>
        <v>517708.65515887475</v>
      </c>
    </row>
    <row r="26" spans="1:32" x14ac:dyDescent="0.25">
      <c r="A26" s="52" t="s">
        <v>107</v>
      </c>
      <c r="B26" t="s">
        <v>148</v>
      </c>
      <c r="C26" s="53" t="s">
        <v>4</v>
      </c>
      <c r="E26" s="54">
        <v>846574.77332266665</v>
      </c>
      <c r="F26" s="20">
        <v>2989313.0210848381</v>
      </c>
      <c r="G26" s="3">
        <f t="shared" si="11"/>
        <v>4.5533710123847722E-2</v>
      </c>
      <c r="H26" s="20">
        <v>693418.06518419553</v>
      </c>
      <c r="I26" s="20">
        <f t="shared" si="12"/>
        <v>693418.06518419553</v>
      </c>
      <c r="J26" t="b">
        <f t="shared" si="22"/>
        <v>1</v>
      </c>
      <c r="K26" s="20">
        <f t="shared" si="0"/>
        <v>846574.77332266665</v>
      </c>
      <c r="L26" s="20" t="b">
        <f t="shared" si="14"/>
        <v>0</v>
      </c>
      <c r="M26" s="20">
        <f t="shared" si="1"/>
        <v>846574.77332266665</v>
      </c>
      <c r="N26" s="20" t="b">
        <f t="shared" si="15"/>
        <v>0</v>
      </c>
      <c r="O26" s="20">
        <f t="shared" si="16"/>
        <v>846574.77332266665</v>
      </c>
      <c r="P26" s="20" t="b">
        <f t="shared" si="17"/>
        <v>0</v>
      </c>
      <c r="Q26" s="55">
        <f t="shared" si="18"/>
        <v>846574.77332266665</v>
      </c>
      <c r="R26" s="20"/>
      <c r="S26" s="54">
        <v>0</v>
      </c>
      <c r="T26" s="3">
        <f t="shared" si="2"/>
        <v>0</v>
      </c>
      <c r="U26" s="56">
        <v>0</v>
      </c>
      <c r="V26" s="57">
        <v>0</v>
      </c>
      <c r="W26" s="3">
        <f t="shared" si="3"/>
        <v>0</v>
      </c>
      <c r="X26" s="56">
        <f t="shared" si="4"/>
        <v>0</v>
      </c>
      <c r="Y26" s="56">
        <f t="shared" si="21"/>
        <v>0</v>
      </c>
      <c r="Z26" s="58">
        <f t="shared" si="5"/>
        <v>0</v>
      </c>
      <c r="AA26" s="53" t="b">
        <f t="shared" si="6"/>
        <v>1</v>
      </c>
      <c r="AB26" s="54">
        <f t="shared" si="7"/>
        <v>846574.77332266665</v>
      </c>
      <c r="AC26" s="20"/>
      <c r="AD26" s="20">
        <f t="shared" si="23"/>
        <v>0</v>
      </c>
      <c r="AE26" s="20">
        <f t="shared" si="24"/>
        <v>0</v>
      </c>
      <c r="AF26" s="55">
        <f t="shared" si="10"/>
        <v>846574.77332266665</v>
      </c>
    </row>
    <row r="27" spans="1:32" x14ac:dyDescent="0.25">
      <c r="A27" s="44" t="s">
        <v>108</v>
      </c>
      <c r="B27" s="45" t="s">
        <v>149</v>
      </c>
      <c r="C27" s="46" t="s">
        <v>4</v>
      </c>
      <c r="D27" s="45"/>
      <c r="E27" s="47">
        <v>494895.12136933336</v>
      </c>
      <c r="F27" s="14">
        <v>870949.37733725761</v>
      </c>
      <c r="G27" s="48">
        <f t="shared" si="11"/>
        <v>1.3266444899045203E-2</v>
      </c>
      <c r="H27" s="14">
        <v>202030.3754898879</v>
      </c>
      <c r="I27" s="14">
        <f t="shared" si="12"/>
        <v>202030.3754898879</v>
      </c>
      <c r="J27" s="45" t="b">
        <f t="shared" si="22"/>
        <v>1</v>
      </c>
      <c r="K27" s="14">
        <f t="shared" si="0"/>
        <v>321060.64063224394</v>
      </c>
      <c r="L27" s="14" t="b">
        <f t="shared" si="14"/>
        <v>1</v>
      </c>
      <c r="M27" s="14">
        <f t="shared" si="1"/>
        <v>364114.01836964517</v>
      </c>
      <c r="N27" s="14" t="b">
        <f t="shared" si="15"/>
        <v>1</v>
      </c>
      <c r="O27" s="14">
        <f t="shared" si="16"/>
        <v>368060.49908494996</v>
      </c>
      <c r="P27" s="14" t="b">
        <f t="shared" si="17"/>
        <v>1</v>
      </c>
      <c r="Q27" s="49">
        <f t="shared" si="18"/>
        <v>368060.49908494996</v>
      </c>
      <c r="R27" s="14"/>
      <c r="S27" s="47">
        <v>0</v>
      </c>
      <c r="T27" s="48">
        <f t="shared" si="2"/>
        <v>0</v>
      </c>
      <c r="U27" s="50">
        <v>0</v>
      </c>
      <c r="V27" s="51">
        <v>0</v>
      </c>
      <c r="W27" s="48">
        <f t="shared" si="3"/>
        <v>0</v>
      </c>
      <c r="X27" s="50">
        <f t="shared" si="4"/>
        <v>0</v>
      </c>
      <c r="Y27" s="50">
        <f t="shared" si="21"/>
        <v>0</v>
      </c>
      <c r="Z27" s="4">
        <f t="shared" si="5"/>
        <v>0</v>
      </c>
      <c r="AA27" s="46" t="b">
        <f t="shared" si="6"/>
        <v>1</v>
      </c>
      <c r="AB27" s="47">
        <f t="shared" si="7"/>
        <v>368060.49908494996</v>
      </c>
      <c r="AC27" s="14"/>
      <c r="AD27" s="14">
        <f t="shared" si="23"/>
        <v>0</v>
      </c>
      <c r="AE27" s="14">
        <f t="shared" si="24"/>
        <v>0</v>
      </c>
      <c r="AF27" s="49">
        <f t="shared" si="10"/>
        <v>368060.49908494996</v>
      </c>
    </row>
    <row r="28" spans="1:32" x14ac:dyDescent="0.25">
      <c r="A28" s="52" t="s">
        <v>109</v>
      </c>
      <c r="B28" t="s">
        <v>150</v>
      </c>
      <c r="C28" s="53" t="s">
        <v>4</v>
      </c>
      <c r="E28" s="54">
        <v>310525.5154556667</v>
      </c>
      <c r="F28" s="20">
        <v>768842.60772996221</v>
      </c>
      <c r="G28" s="3">
        <f t="shared" si="11"/>
        <v>1.1711137704319294E-2</v>
      </c>
      <c r="H28" s="20">
        <v>178345.1079639048</v>
      </c>
      <c r="I28" s="20">
        <f t="shared" si="12"/>
        <v>178345.1079639048</v>
      </c>
      <c r="J28" t="b">
        <f t="shared" si="22"/>
        <v>1</v>
      </c>
      <c r="K28" s="20">
        <f t="shared" si="0"/>
        <v>283420.72065981955</v>
      </c>
      <c r="L28" s="20" t="b">
        <f t="shared" si="14"/>
        <v>1</v>
      </c>
      <c r="M28" s="20">
        <f t="shared" si="1"/>
        <v>310525.5154556667</v>
      </c>
      <c r="N28" s="20" t="b">
        <f t="shared" si="15"/>
        <v>0</v>
      </c>
      <c r="O28" s="20">
        <f t="shared" si="16"/>
        <v>310525.5154556667</v>
      </c>
      <c r="P28" s="20" t="b">
        <f t="shared" si="17"/>
        <v>0</v>
      </c>
      <c r="Q28" s="55">
        <f t="shared" si="18"/>
        <v>310525.5154556667</v>
      </c>
      <c r="R28" s="20"/>
      <c r="S28" s="54">
        <v>237584.56526914326</v>
      </c>
      <c r="T28" s="3">
        <f t="shared" si="2"/>
        <v>3.023900943997797E-3</v>
      </c>
      <c r="U28" s="56">
        <v>20799.188555413828</v>
      </c>
      <c r="V28" s="57">
        <v>0</v>
      </c>
      <c r="W28" s="3">
        <f t="shared" si="3"/>
        <v>0</v>
      </c>
      <c r="X28" s="56">
        <f t="shared" si="4"/>
        <v>0</v>
      </c>
      <c r="Y28" s="56">
        <f t="shared" si="21"/>
        <v>20799.188555413828</v>
      </c>
      <c r="Z28" s="58">
        <f t="shared" si="5"/>
        <v>6.2775845880536085E-2</v>
      </c>
      <c r="AA28" s="53" t="b">
        <f t="shared" si="6"/>
        <v>1</v>
      </c>
      <c r="AB28" s="54">
        <f t="shared" si="7"/>
        <v>331324.70401108055</v>
      </c>
      <c r="AC28" s="20"/>
      <c r="AD28" s="20">
        <f t="shared" si="23"/>
        <v>0</v>
      </c>
      <c r="AE28" s="20">
        <f t="shared" si="24"/>
        <v>0</v>
      </c>
      <c r="AF28" s="55">
        <f t="shared" si="10"/>
        <v>331324.70401108055</v>
      </c>
    </row>
    <row r="29" spans="1:32" x14ac:dyDescent="0.25">
      <c r="A29" s="44" t="s">
        <v>110</v>
      </c>
      <c r="B29" s="45" t="s">
        <v>151</v>
      </c>
      <c r="C29" s="46" t="s">
        <v>4</v>
      </c>
      <c r="D29" s="45"/>
      <c r="E29" s="47">
        <v>50260.474795333343</v>
      </c>
      <c r="F29" s="14">
        <v>332052.43983107072</v>
      </c>
      <c r="G29" s="48">
        <f t="shared" si="11"/>
        <v>5.0578776576891849E-3</v>
      </c>
      <c r="H29" s="14">
        <v>77024.774168278032</v>
      </c>
      <c r="I29" s="14">
        <f t="shared" si="12"/>
        <v>50260.474795333343</v>
      </c>
      <c r="J29" s="45" t="b">
        <f t="shared" si="22"/>
        <v>0</v>
      </c>
      <c r="K29" s="14">
        <f t="shared" si="0"/>
        <v>50260.474795333343</v>
      </c>
      <c r="L29" s="14" t="b">
        <f t="shared" si="14"/>
        <v>0</v>
      </c>
      <c r="M29" s="14">
        <f t="shared" si="1"/>
        <v>50260.474795333343</v>
      </c>
      <c r="N29" s="14" t="b">
        <f t="shared" si="15"/>
        <v>0</v>
      </c>
      <c r="O29" s="14">
        <f t="shared" si="16"/>
        <v>50260.474795333343</v>
      </c>
      <c r="P29" s="14" t="b">
        <f t="shared" si="17"/>
        <v>0</v>
      </c>
      <c r="Q29" s="49">
        <f t="shared" si="18"/>
        <v>50260.474795333343</v>
      </c>
      <c r="R29" s="14"/>
      <c r="S29" s="47">
        <v>0</v>
      </c>
      <c r="T29" s="48">
        <f t="shared" si="2"/>
        <v>0</v>
      </c>
      <c r="U29" s="50">
        <v>0</v>
      </c>
      <c r="V29" s="51">
        <v>0</v>
      </c>
      <c r="W29" s="48">
        <f t="shared" si="3"/>
        <v>0</v>
      </c>
      <c r="X29" s="50">
        <f t="shared" si="4"/>
        <v>0</v>
      </c>
      <c r="Y29" s="50">
        <f t="shared" si="21"/>
        <v>0</v>
      </c>
      <c r="Z29" s="4">
        <f t="shared" si="5"/>
        <v>0</v>
      </c>
      <c r="AA29" s="46" t="b">
        <f t="shared" si="6"/>
        <v>1</v>
      </c>
      <c r="AB29" s="47">
        <f t="shared" si="7"/>
        <v>50260.474795333343</v>
      </c>
      <c r="AC29" s="14"/>
      <c r="AD29" s="14">
        <f t="shared" si="23"/>
        <v>0</v>
      </c>
      <c r="AE29" s="14">
        <f t="shared" si="24"/>
        <v>0</v>
      </c>
      <c r="AF29" s="49">
        <f t="shared" si="10"/>
        <v>50260.474795333343</v>
      </c>
    </row>
    <row r="30" spans="1:32" x14ac:dyDescent="0.25">
      <c r="A30" s="52" t="s">
        <v>111</v>
      </c>
      <c r="B30" t="s">
        <v>152</v>
      </c>
      <c r="C30" s="53" t="s">
        <v>4</v>
      </c>
      <c r="E30" s="54">
        <v>0</v>
      </c>
      <c r="F30" s="20">
        <v>801446.13739276526</v>
      </c>
      <c r="G30" s="3">
        <f t="shared" si="11"/>
        <v>1.2207760058087248E-2</v>
      </c>
      <c r="H30" s="20">
        <v>185908.00830170614</v>
      </c>
      <c r="I30" s="20">
        <f t="shared" si="12"/>
        <v>0</v>
      </c>
      <c r="J30" t="b">
        <f t="shared" si="22"/>
        <v>0</v>
      </c>
      <c r="K30" s="20">
        <f t="shared" si="0"/>
        <v>0</v>
      </c>
      <c r="L30" s="20" t="b">
        <f t="shared" si="14"/>
        <v>0</v>
      </c>
      <c r="M30" s="20">
        <f t="shared" si="1"/>
        <v>0</v>
      </c>
      <c r="N30" s="20" t="b">
        <f t="shared" si="15"/>
        <v>0</v>
      </c>
      <c r="O30" s="20">
        <f t="shared" si="16"/>
        <v>0</v>
      </c>
      <c r="P30" s="20" t="b">
        <f t="shared" si="17"/>
        <v>0</v>
      </c>
      <c r="Q30" s="55">
        <f t="shared" si="18"/>
        <v>0</v>
      </c>
      <c r="R30" s="20"/>
      <c r="S30" s="54">
        <v>909215.75087802717</v>
      </c>
      <c r="T30" s="3">
        <f t="shared" si="2"/>
        <v>1.1572209517327651E-2</v>
      </c>
      <c r="U30" s="56">
        <v>79596.710411896231</v>
      </c>
      <c r="V30" s="57">
        <v>1318346.6231257152</v>
      </c>
      <c r="W30" s="3">
        <f t="shared" si="3"/>
        <v>2.4041914828718453E-2</v>
      </c>
      <c r="X30" s="56">
        <f t="shared" si="4"/>
        <v>48083.829657436901</v>
      </c>
      <c r="Y30" s="56">
        <f t="shared" si="21"/>
        <v>127680.54006933313</v>
      </c>
      <c r="Z30" s="58">
        <f t="shared" si="5"/>
        <v>1</v>
      </c>
      <c r="AA30" s="53" t="b">
        <f t="shared" si="6"/>
        <v>0</v>
      </c>
      <c r="AB30" s="54">
        <f t="shared" si="7"/>
        <v>0</v>
      </c>
      <c r="AC30" s="20"/>
      <c r="AD30" s="20">
        <f t="shared" si="23"/>
        <v>79596.710411896231</v>
      </c>
      <c r="AE30" s="20">
        <f t="shared" si="24"/>
        <v>48083.829657436901</v>
      </c>
      <c r="AF30" s="55">
        <f t="shared" si="10"/>
        <v>127680.54006933313</v>
      </c>
    </row>
    <row r="31" spans="1:32" x14ac:dyDescent="0.25">
      <c r="A31" s="44" t="s">
        <v>112</v>
      </c>
      <c r="B31" s="45" t="s">
        <v>153</v>
      </c>
      <c r="C31" s="46" t="s">
        <v>4</v>
      </c>
      <c r="D31" s="45"/>
      <c r="E31" s="47">
        <v>163822.12395433328</v>
      </c>
      <c r="F31" s="14">
        <v>4571411.2604546435</v>
      </c>
      <c r="G31" s="48">
        <f t="shared" si="11"/>
        <v>6.9632492054945497E-2</v>
      </c>
      <c r="H31" s="14">
        <v>1060410.5789614934</v>
      </c>
      <c r="I31" s="14">
        <f t="shared" si="12"/>
        <v>163822.12395433328</v>
      </c>
      <c r="J31" s="45" t="b">
        <f t="shared" si="22"/>
        <v>0</v>
      </c>
      <c r="K31" s="14">
        <f t="shared" si="0"/>
        <v>163822.12395433328</v>
      </c>
      <c r="L31" s="14" t="b">
        <f t="shared" si="14"/>
        <v>0</v>
      </c>
      <c r="M31" s="14">
        <f t="shared" si="1"/>
        <v>163822.12395433328</v>
      </c>
      <c r="N31" s="14" t="b">
        <f t="shared" si="15"/>
        <v>0</v>
      </c>
      <c r="O31" s="14">
        <f t="shared" si="16"/>
        <v>163822.12395433328</v>
      </c>
      <c r="P31" s="14" t="b">
        <f t="shared" si="17"/>
        <v>0</v>
      </c>
      <c r="Q31" s="49">
        <f t="shared" si="18"/>
        <v>163822.12395433328</v>
      </c>
      <c r="R31" s="14"/>
      <c r="S31" s="47">
        <v>4501929.0691828234</v>
      </c>
      <c r="T31" s="48">
        <f t="shared" si="2"/>
        <v>5.7299124405204481E-2</v>
      </c>
      <c r="U31" s="50">
        <v>394118.49615297141</v>
      </c>
      <c r="V31" s="51">
        <v>1039721.2785186927</v>
      </c>
      <c r="W31" s="48">
        <f t="shared" si="3"/>
        <v>1.8960787690635295E-2</v>
      </c>
      <c r="X31" s="50">
        <f t="shared" si="4"/>
        <v>37921.575381270588</v>
      </c>
      <c r="Y31" s="50">
        <f t="shared" si="21"/>
        <v>432040.07153424202</v>
      </c>
      <c r="Z31" s="4">
        <f t="shared" si="5"/>
        <v>0.72506709572335293</v>
      </c>
      <c r="AA31" s="46" t="b">
        <f t="shared" si="6"/>
        <v>0</v>
      </c>
      <c r="AB31" s="47">
        <f t="shared" si="7"/>
        <v>163822.12395433328</v>
      </c>
      <c r="AC31" s="14"/>
      <c r="AD31" s="14">
        <f t="shared" si="23"/>
        <v>394118.49615297141</v>
      </c>
      <c r="AE31" s="14">
        <f t="shared" si="24"/>
        <v>37921.575381270588</v>
      </c>
      <c r="AF31" s="49">
        <f t="shared" si="10"/>
        <v>595862.19548857526</v>
      </c>
    </row>
    <row r="32" spans="1:32" x14ac:dyDescent="0.25">
      <c r="A32" s="52" t="s">
        <v>113</v>
      </c>
      <c r="B32" t="s">
        <v>154</v>
      </c>
      <c r="C32" s="53" t="s">
        <v>4</v>
      </c>
      <c r="E32" s="54">
        <v>447731.83574466652</v>
      </c>
      <c r="F32" s="20">
        <v>3789008.8310940913</v>
      </c>
      <c r="G32" s="3">
        <f t="shared" si="11"/>
        <v>5.7714808905869025E-2</v>
      </c>
      <c r="H32" s="20">
        <v>878920.05758219643</v>
      </c>
      <c r="I32" s="20">
        <f t="shared" si="12"/>
        <v>447731.83574466652</v>
      </c>
      <c r="J32" t="b">
        <f t="shared" si="22"/>
        <v>0</v>
      </c>
      <c r="K32" s="20">
        <f t="shared" si="0"/>
        <v>447731.83574466652</v>
      </c>
      <c r="L32" s="20" t="b">
        <f t="shared" si="14"/>
        <v>0</v>
      </c>
      <c r="M32" s="20">
        <f t="shared" si="1"/>
        <v>447731.83574466652</v>
      </c>
      <c r="N32" s="20" t="b">
        <f t="shared" si="15"/>
        <v>0</v>
      </c>
      <c r="O32" s="20">
        <f t="shared" si="16"/>
        <v>447731.83574466652</v>
      </c>
      <c r="P32" s="20" t="b">
        <f t="shared" si="17"/>
        <v>0</v>
      </c>
      <c r="Q32" s="55">
        <f t="shared" si="18"/>
        <v>447731.83574466652</v>
      </c>
      <c r="R32" s="20"/>
      <c r="S32" s="54">
        <v>0</v>
      </c>
      <c r="T32" s="3">
        <f t="shared" si="2"/>
        <v>0</v>
      </c>
      <c r="U32" s="56">
        <v>0</v>
      </c>
      <c r="V32" s="57">
        <v>0</v>
      </c>
      <c r="W32" s="3">
        <f t="shared" si="3"/>
        <v>0</v>
      </c>
      <c r="X32" s="56">
        <f t="shared" si="4"/>
        <v>0</v>
      </c>
      <c r="Y32" s="56">
        <f t="shared" si="21"/>
        <v>0</v>
      </c>
      <c r="Z32" s="58">
        <f t="shared" si="5"/>
        <v>0</v>
      </c>
      <c r="AA32" s="53" t="b">
        <f t="shared" si="6"/>
        <v>1</v>
      </c>
      <c r="AB32" s="54">
        <f t="shared" si="7"/>
        <v>447731.83574466652</v>
      </c>
      <c r="AC32" s="20"/>
      <c r="AD32" s="20">
        <f t="shared" si="23"/>
        <v>0</v>
      </c>
      <c r="AE32" s="20">
        <f t="shared" si="24"/>
        <v>0</v>
      </c>
      <c r="AF32" s="55">
        <f t="shared" si="10"/>
        <v>447731.83574466652</v>
      </c>
    </row>
    <row r="33" spans="1:32" x14ac:dyDescent="0.25">
      <c r="A33" s="44" t="s">
        <v>114</v>
      </c>
      <c r="B33" s="45" t="s">
        <v>155</v>
      </c>
      <c r="C33" s="46" t="s">
        <v>4</v>
      </c>
      <c r="D33" s="45"/>
      <c r="E33" s="47">
        <v>11642.377290000004</v>
      </c>
      <c r="F33" s="14">
        <v>287807.31983522122</v>
      </c>
      <c r="G33" s="48">
        <f t="shared" si="11"/>
        <v>4.3839286754060432E-3</v>
      </c>
      <c r="H33" s="14">
        <v>66761.424266490067</v>
      </c>
      <c r="I33" s="14">
        <f t="shared" si="12"/>
        <v>11642.377290000004</v>
      </c>
      <c r="J33" s="45" t="b">
        <f t="shared" si="22"/>
        <v>0</v>
      </c>
      <c r="K33" s="14">
        <f t="shared" si="0"/>
        <v>11642.377290000004</v>
      </c>
      <c r="L33" s="14" t="b">
        <f t="shared" si="14"/>
        <v>0</v>
      </c>
      <c r="M33" s="14">
        <f t="shared" si="1"/>
        <v>11642.377290000004</v>
      </c>
      <c r="N33" s="14" t="b">
        <f t="shared" si="15"/>
        <v>0</v>
      </c>
      <c r="O33" s="14">
        <f t="shared" si="16"/>
        <v>11642.377290000004</v>
      </c>
      <c r="P33" s="14" t="b">
        <f t="shared" si="17"/>
        <v>0</v>
      </c>
      <c r="Q33" s="49">
        <f t="shared" si="18"/>
        <v>11642.377290000004</v>
      </c>
      <c r="R33" s="14"/>
      <c r="S33" s="47">
        <v>626759.74563751917</v>
      </c>
      <c r="T33" s="48">
        <f t="shared" si="2"/>
        <v>7.9771991263241533E-3</v>
      </c>
      <c r="U33" s="50">
        <v>54869.280391553533</v>
      </c>
      <c r="V33" s="51">
        <v>511751.89458122477</v>
      </c>
      <c r="W33" s="48">
        <f t="shared" si="3"/>
        <v>9.3325194202616563E-3</v>
      </c>
      <c r="X33" s="50">
        <f t="shared" si="4"/>
        <v>18665.038840523313</v>
      </c>
      <c r="Y33" s="50">
        <f t="shared" si="21"/>
        <v>73534.319232076843</v>
      </c>
      <c r="Z33" s="4">
        <f t="shared" si="5"/>
        <v>0.86331499382601162</v>
      </c>
      <c r="AA33" s="46" t="b">
        <f t="shared" si="6"/>
        <v>0</v>
      </c>
      <c r="AB33" s="47">
        <f t="shared" si="7"/>
        <v>11642.377290000004</v>
      </c>
      <c r="AC33" s="14"/>
      <c r="AD33" s="14">
        <f t="shared" si="23"/>
        <v>54869.280391553533</v>
      </c>
      <c r="AE33" s="14">
        <f t="shared" si="24"/>
        <v>18665.038840523313</v>
      </c>
      <c r="AF33" s="49">
        <f t="shared" si="10"/>
        <v>85176.696522076847</v>
      </c>
    </row>
    <row r="34" spans="1:32" x14ac:dyDescent="0.25">
      <c r="A34" s="52" t="s">
        <v>115</v>
      </c>
      <c r="B34" t="s">
        <v>156</v>
      </c>
      <c r="C34" s="53" t="s">
        <v>4</v>
      </c>
      <c r="E34" s="54">
        <v>417833.66856066661</v>
      </c>
      <c r="F34" s="20">
        <v>1130550.6474705678</v>
      </c>
      <c r="G34" s="3">
        <f t="shared" si="11"/>
        <v>1.7220734362429359E-2</v>
      </c>
      <c r="H34" s="20">
        <v>262248.96390317898</v>
      </c>
      <c r="I34" s="20">
        <f t="shared" si="12"/>
        <v>262248.96390317898</v>
      </c>
      <c r="J34" t="b">
        <f t="shared" si="22"/>
        <v>1</v>
      </c>
      <c r="K34" s="20">
        <f t="shared" si="0"/>
        <v>416758.22336978803</v>
      </c>
      <c r="L34" s="20" t="b">
        <f t="shared" si="14"/>
        <v>1</v>
      </c>
      <c r="M34" s="20">
        <f t="shared" si="1"/>
        <v>417833.66856066661</v>
      </c>
      <c r="N34" s="20" t="b">
        <f t="shared" si="15"/>
        <v>0</v>
      </c>
      <c r="O34" s="20">
        <f t="shared" si="16"/>
        <v>417833.66856066661</v>
      </c>
      <c r="P34" s="20" t="b">
        <f t="shared" si="17"/>
        <v>0</v>
      </c>
      <c r="Q34" s="55">
        <f t="shared" si="18"/>
        <v>417833.66856066661</v>
      </c>
      <c r="R34" s="20"/>
      <c r="S34" s="54">
        <v>0</v>
      </c>
      <c r="T34" s="3">
        <f t="shared" si="2"/>
        <v>0</v>
      </c>
      <c r="U34" s="56">
        <v>0</v>
      </c>
      <c r="V34" s="57">
        <v>0</v>
      </c>
      <c r="W34" s="3">
        <f t="shared" si="3"/>
        <v>0</v>
      </c>
      <c r="X34" s="56">
        <f t="shared" si="4"/>
        <v>0</v>
      </c>
      <c r="Y34" s="56">
        <f t="shared" si="21"/>
        <v>0</v>
      </c>
      <c r="Z34" s="58">
        <f t="shared" si="5"/>
        <v>0</v>
      </c>
      <c r="AA34" s="53" t="b">
        <f t="shared" si="6"/>
        <v>1</v>
      </c>
      <c r="AB34" s="54">
        <f t="shared" si="7"/>
        <v>417833.66856066661</v>
      </c>
      <c r="AC34" s="20"/>
      <c r="AD34" s="20">
        <f t="shared" si="23"/>
        <v>0</v>
      </c>
      <c r="AE34" s="20">
        <f t="shared" si="24"/>
        <v>0</v>
      </c>
      <c r="AF34" s="55">
        <f t="shared" si="10"/>
        <v>417833.66856066661</v>
      </c>
    </row>
    <row r="35" spans="1:32" x14ac:dyDescent="0.25">
      <c r="A35" s="44" t="s">
        <v>116</v>
      </c>
      <c r="B35" s="45" t="s">
        <v>157</v>
      </c>
      <c r="C35" s="46" t="s">
        <v>4</v>
      </c>
      <c r="D35" s="45"/>
      <c r="E35" s="47">
        <v>0</v>
      </c>
      <c r="F35" s="14">
        <v>133564.15074439824</v>
      </c>
      <c r="G35" s="48">
        <f t="shared" si="11"/>
        <v>2.0344712246716332E-3</v>
      </c>
      <c r="H35" s="14">
        <v>30982.30072725542</v>
      </c>
      <c r="I35" s="14">
        <f t="shared" si="12"/>
        <v>0</v>
      </c>
      <c r="J35" s="45" t="b">
        <f t="shared" si="22"/>
        <v>0</v>
      </c>
      <c r="K35" s="14">
        <f t="shared" si="0"/>
        <v>0</v>
      </c>
      <c r="L35" s="14" t="b">
        <f t="shared" si="14"/>
        <v>0</v>
      </c>
      <c r="M35" s="14">
        <f t="shared" si="1"/>
        <v>0</v>
      </c>
      <c r="N35" s="14" t="b">
        <f t="shared" si="15"/>
        <v>0</v>
      </c>
      <c r="O35" s="14">
        <f t="shared" si="16"/>
        <v>0</v>
      </c>
      <c r="P35" s="14" t="b">
        <f t="shared" si="17"/>
        <v>0</v>
      </c>
      <c r="Q35" s="49">
        <f t="shared" si="18"/>
        <v>0</v>
      </c>
      <c r="R35" s="14"/>
      <c r="S35" s="47">
        <v>288916.08516005636</v>
      </c>
      <c r="T35" s="48">
        <f t="shared" si="2"/>
        <v>3.6772322379694158E-3</v>
      </c>
      <c r="U35" s="50">
        <v>25292.973578180801</v>
      </c>
      <c r="V35" s="51">
        <v>13521.287448381087</v>
      </c>
      <c r="W35" s="48">
        <f t="shared" si="3"/>
        <v>2.4657979586420128E-4</v>
      </c>
      <c r="X35" s="50">
        <f t="shared" si="4"/>
        <v>493.15959172840257</v>
      </c>
      <c r="Y35" s="50">
        <f t="shared" si="21"/>
        <v>25786.133169909204</v>
      </c>
      <c r="Z35" s="4">
        <f t="shared" si="5"/>
        <v>1</v>
      </c>
      <c r="AA35" s="46" t="b">
        <f t="shared" si="6"/>
        <v>0</v>
      </c>
      <c r="AB35" s="47">
        <f t="shared" si="7"/>
        <v>0</v>
      </c>
      <c r="AC35" s="14"/>
      <c r="AD35" s="14">
        <f t="shared" si="23"/>
        <v>25292.973578180801</v>
      </c>
      <c r="AE35" s="14">
        <f t="shared" si="24"/>
        <v>493.15959172840257</v>
      </c>
      <c r="AF35" s="49">
        <f t="shared" si="10"/>
        <v>25786.133169909204</v>
      </c>
    </row>
    <row r="36" spans="1:32" x14ac:dyDescent="0.25">
      <c r="A36" s="52" t="s">
        <v>117</v>
      </c>
      <c r="B36" t="s">
        <v>158</v>
      </c>
      <c r="C36" s="53" t="s">
        <v>5</v>
      </c>
      <c r="D36">
        <v>0.42746555044433993</v>
      </c>
      <c r="E36" s="54">
        <v>0</v>
      </c>
      <c r="F36" s="20">
        <v>15873404.782944778</v>
      </c>
      <c r="G36" s="3">
        <f t="shared" si="11"/>
        <v>0.38766630213326536</v>
      </c>
      <c r="H36" s="20">
        <v>919050.93345533079</v>
      </c>
      <c r="I36" s="20">
        <f t="shared" si="12"/>
        <v>919050.93345533079</v>
      </c>
      <c r="J36" t="b">
        <f t="shared" si="22"/>
        <v>0</v>
      </c>
      <c r="K36" s="20">
        <f t="shared" si="0"/>
        <v>919050.93345533079</v>
      </c>
      <c r="L36" s="20" t="b">
        <f t="shared" si="14"/>
        <v>0</v>
      </c>
      <c r="M36" s="20">
        <f t="shared" si="1"/>
        <v>919050.93345533079</v>
      </c>
      <c r="N36" s="20" t="b">
        <f t="shared" si="15"/>
        <v>0</v>
      </c>
      <c r="O36" s="20">
        <f t="shared" si="16"/>
        <v>919050.93345533079</v>
      </c>
      <c r="P36" s="20" t="b">
        <f t="shared" si="17"/>
        <v>0</v>
      </c>
      <c r="Q36" s="55">
        <f t="shared" si="18"/>
        <v>919050.93345533079</v>
      </c>
      <c r="R36" s="20"/>
      <c r="S36" s="54">
        <v>116330361.48212163</v>
      </c>
      <c r="T36" s="3">
        <f>S36/INDEX($S$45:$S$46,MATCH(C36,$E$45:$E$46,0))</f>
        <v>0.38349302501909355</v>
      </c>
      <c r="U36" s="56">
        <v>8271458.4010979775</v>
      </c>
      <c r="V36" s="57">
        <v>0</v>
      </c>
      <c r="W36" s="3">
        <f t="shared" si="3"/>
        <v>0</v>
      </c>
      <c r="X36" s="56">
        <f t="shared" si="4"/>
        <v>0</v>
      </c>
      <c r="Y36" s="56">
        <f t="shared" si="21"/>
        <v>8271458.4010979775</v>
      </c>
      <c r="Z36" s="58">
        <f t="shared" si="5"/>
        <v>0.89999999999999991</v>
      </c>
      <c r="AA36" s="53" t="b">
        <f t="shared" si="6"/>
        <v>0</v>
      </c>
      <c r="AB36" s="54">
        <f t="shared" si="7"/>
        <v>919050.93345533079</v>
      </c>
      <c r="AC36" s="20">
        <f>U36</f>
        <v>8271458.4010979775</v>
      </c>
      <c r="AD36" s="20">
        <v>0</v>
      </c>
      <c r="AE36" s="20">
        <v>0</v>
      </c>
      <c r="AF36" s="55">
        <f t="shared" si="10"/>
        <v>9190509.3345533088</v>
      </c>
    </row>
    <row r="37" spans="1:32" x14ac:dyDescent="0.25">
      <c r="A37" s="44" t="s">
        <v>118</v>
      </c>
      <c r="B37" s="45" t="s">
        <v>159</v>
      </c>
      <c r="C37" s="46" t="s">
        <v>4</v>
      </c>
      <c r="D37" s="45"/>
      <c r="E37" s="47">
        <v>606133.97123399994</v>
      </c>
      <c r="F37" s="14">
        <v>2262307.6198166832</v>
      </c>
      <c r="G37" s="48">
        <f t="shared" si="11"/>
        <v>3.4459843664790046E-2</v>
      </c>
      <c r="H37" s="14">
        <v>524777.75379155448</v>
      </c>
      <c r="I37" s="14">
        <f t="shared" si="12"/>
        <v>524777.75379155448</v>
      </c>
      <c r="J37" s="45" t="b">
        <f t="shared" si="22"/>
        <v>1</v>
      </c>
      <c r="K37" s="14">
        <f t="shared" si="0"/>
        <v>606133.97123399994</v>
      </c>
      <c r="L37" s="14" t="b">
        <f t="shared" si="14"/>
        <v>0</v>
      </c>
      <c r="M37" s="14">
        <f t="shared" si="1"/>
        <v>606133.97123399994</v>
      </c>
      <c r="N37" s="14" t="b">
        <f t="shared" si="15"/>
        <v>0</v>
      </c>
      <c r="O37" s="14">
        <f t="shared" si="16"/>
        <v>606133.97123399994</v>
      </c>
      <c r="P37" s="14" t="b">
        <f t="shared" si="17"/>
        <v>0</v>
      </c>
      <c r="Q37" s="49">
        <f t="shared" si="18"/>
        <v>606133.97123399994</v>
      </c>
      <c r="R37" s="14"/>
      <c r="S37" s="47">
        <v>0</v>
      </c>
      <c r="T37" s="48">
        <f t="shared" si="2"/>
        <v>0</v>
      </c>
      <c r="U37" s="50">
        <v>0</v>
      </c>
      <c r="V37" s="51">
        <v>0</v>
      </c>
      <c r="W37" s="48">
        <f t="shared" si="3"/>
        <v>0</v>
      </c>
      <c r="X37" s="50">
        <f t="shared" si="4"/>
        <v>0</v>
      </c>
      <c r="Y37" s="50">
        <f t="shared" si="21"/>
        <v>0</v>
      </c>
      <c r="Z37" s="4">
        <f t="shared" si="5"/>
        <v>0</v>
      </c>
      <c r="AA37" s="46" t="b">
        <f t="shared" si="6"/>
        <v>1</v>
      </c>
      <c r="AB37" s="47">
        <f t="shared" si="7"/>
        <v>606133.97123399994</v>
      </c>
      <c r="AC37" s="14"/>
      <c r="AD37" s="14">
        <f>IF(AA37,0,U37)</f>
        <v>0</v>
      </c>
      <c r="AE37" s="14">
        <f>IF(AA37,0,X37)</f>
        <v>0</v>
      </c>
      <c r="AF37" s="49">
        <f t="shared" si="10"/>
        <v>606133.97123399994</v>
      </c>
    </row>
    <row r="38" spans="1:32" x14ac:dyDescent="0.25">
      <c r="A38" s="52" t="s">
        <v>119</v>
      </c>
      <c r="B38" t="s">
        <v>160</v>
      </c>
      <c r="C38" s="53" t="s">
        <v>4</v>
      </c>
      <c r="E38" s="54">
        <v>694280.13915833342</v>
      </c>
      <c r="F38" s="20">
        <v>1123699.530527811</v>
      </c>
      <c r="G38" s="3">
        <f t="shared" si="11"/>
        <v>1.7116377016545635E-2</v>
      </c>
      <c r="H38" s="20">
        <v>260659.73981681248</v>
      </c>
      <c r="I38" s="20">
        <f t="shared" si="12"/>
        <v>260659.73981681248</v>
      </c>
      <c r="J38" t="b">
        <f t="shared" si="22"/>
        <v>1</v>
      </c>
      <c r="K38" s="20">
        <f t="shared" si="0"/>
        <v>414232.67590179079</v>
      </c>
      <c r="L38" s="20" t="b">
        <f t="shared" si="14"/>
        <v>1</v>
      </c>
      <c r="M38" s="20">
        <f t="shared" si="1"/>
        <v>469780.17568767152</v>
      </c>
      <c r="N38" s="20" t="b">
        <f t="shared" si="15"/>
        <v>1</v>
      </c>
      <c r="O38" s="20">
        <f t="shared" si="16"/>
        <v>474871.92802416562</v>
      </c>
      <c r="P38" s="20" t="b">
        <f t="shared" si="17"/>
        <v>1</v>
      </c>
      <c r="Q38" s="55">
        <f t="shared" si="18"/>
        <v>474871.92802416562</v>
      </c>
      <c r="R38" s="20"/>
      <c r="S38" s="54">
        <v>29991.675036743887</v>
      </c>
      <c r="T38" s="3">
        <f t="shared" si="2"/>
        <v>3.8172452134231205E-4</v>
      </c>
      <c r="U38" s="56">
        <v>2625.601976606818</v>
      </c>
      <c r="V38" s="57">
        <v>0</v>
      </c>
      <c r="W38" s="3">
        <f t="shared" si="3"/>
        <v>0</v>
      </c>
      <c r="X38" s="56">
        <f t="shared" si="4"/>
        <v>0</v>
      </c>
      <c r="Y38" s="56">
        <f t="shared" si="21"/>
        <v>2625.601976606818</v>
      </c>
      <c r="Z38" s="58">
        <f t="shared" si="5"/>
        <v>5.4986713263261711E-3</v>
      </c>
      <c r="AA38" s="53" t="b">
        <f t="shared" si="6"/>
        <v>1</v>
      </c>
      <c r="AB38" s="54">
        <f t="shared" si="7"/>
        <v>477497.53000077244</v>
      </c>
      <c r="AC38" s="20"/>
      <c r="AD38" s="20">
        <f>IF(AA38,0,U38)</f>
        <v>0</v>
      </c>
      <c r="AE38" s="20">
        <f>IF(AA38,0,X38)</f>
        <v>0</v>
      </c>
      <c r="AF38" s="55">
        <f t="shared" si="10"/>
        <v>477497.53000077244</v>
      </c>
    </row>
    <row r="39" spans="1:32" x14ac:dyDescent="0.25">
      <c r="A39" s="44" t="s">
        <v>120</v>
      </c>
      <c r="B39" s="45" t="s">
        <v>161</v>
      </c>
      <c r="C39" s="46" t="s">
        <v>4</v>
      </c>
      <c r="D39" s="45"/>
      <c r="E39" s="47">
        <v>1577637.8919776666</v>
      </c>
      <c r="F39" s="14">
        <v>5415255.6606988143</v>
      </c>
      <c r="G39" s="48">
        <f t="shared" si="11"/>
        <v>8.248606946197333E-2</v>
      </c>
      <c r="H39" s="14">
        <v>1256153.5296684359</v>
      </c>
      <c r="I39" s="14">
        <f t="shared" si="12"/>
        <v>1256153.5296684359</v>
      </c>
      <c r="J39" s="45" t="b">
        <f t="shared" si="22"/>
        <v>1</v>
      </c>
      <c r="K39" s="14">
        <f t="shared" si="0"/>
        <v>1577637.8919776666</v>
      </c>
      <c r="L39" s="14" t="b">
        <f t="shared" si="14"/>
        <v>0</v>
      </c>
      <c r="M39" s="14">
        <f t="shared" si="1"/>
        <v>1577637.8919776666</v>
      </c>
      <c r="N39" s="14" t="b">
        <f t="shared" si="15"/>
        <v>0</v>
      </c>
      <c r="O39" s="14">
        <f t="shared" si="16"/>
        <v>1577637.8919776666</v>
      </c>
      <c r="P39" s="14" t="b">
        <f t="shared" si="17"/>
        <v>0</v>
      </c>
      <c r="Q39" s="49">
        <f t="shared" si="18"/>
        <v>1577637.8919776666</v>
      </c>
      <c r="R39" s="14"/>
      <c r="S39" s="47">
        <v>0</v>
      </c>
      <c r="T39" s="48">
        <f t="shared" si="2"/>
        <v>0</v>
      </c>
      <c r="U39" s="50">
        <v>0</v>
      </c>
      <c r="V39" s="51">
        <v>0</v>
      </c>
      <c r="W39" s="48">
        <f t="shared" si="3"/>
        <v>0</v>
      </c>
      <c r="X39" s="50">
        <f t="shared" si="4"/>
        <v>0</v>
      </c>
      <c r="Y39" s="50">
        <f t="shared" si="21"/>
        <v>0</v>
      </c>
      <c r="Z39" s="4">
        <f t="shared" si="5"/>
        <v>0</v>
      </c>
      <c r="AA39" s="46" t="b">
        <f t="shared" si="6"/>
        <v>1</v>
      </c>
      <c r="AB39" s="47">
        <f t="shared" si="7"/>
        <v>1577637.8919776666</v>
      </c>
      <c r="AC39" s="14"/>
      <c r="AD39" s="14">
        <f>IF(AA39,0,U39)</f>
        <v>0</v>
      </c>
      <c r="AE39" s="14">
        <f>IF(AA39,0,X39)</f>
        <v>0</v>
      </c>
      <c r="AF39" s="49">
        <f t="shared" si="10"/>
        <v>1577637.8919776666</v>
      </c>
    </row>
    <row r="40" spans="1:32" x14ac:dyDescent="0.25">
      <c r="A40" s="52" t="s">
        <v>121</v>
      </c>
      <c r="B40" t="s">
        <v>162</v>
      </c>
      <c r="C40" s="53" t="s">
        <v>5</v>
      </c>
      <c r="D40">
        <v>0.1191748760656397</v>
      </c>
      <c r="E40" s="54">
        <v>0</v>
      </c>
      <c r="F40" s="20">
        <v>3711154.5274658189</v>
      </c>
      <c r="G40" s="3">
        <f t="shared" si="11"/>
        <v>9.063522111233524E-2</v>
      </c>
      <c r="H40" s="20">
        <v>256225.98354112534</v>
      </c>
      <c r="I40" s="20">
        <f t="shared" si="12"/>
        <v>256225.98354112534</v>
      </c>
      <c r="J40" t="b">
        <f t="shared" si="22"/>
        <v>0</v>
      </c>
      <c r="K40" s="20">
        <f t="shared" si="0"/>
        <v>256225.98354112534</v>
      </c>
      <c r="L40" s="20" t="b">
        <f t="shared" si="14"/>
        <v>0</v>
      </c>
      <c r="M40" s="20">
        <f t="shared" si="1"/>
        <v>256225.98354112534</v>
      </c>
      <c r="N40" s="20" t="b">
        <f t="shared" si="15"/>
        <v>0</v>
      </c>
      <c r="O40" s="20">
        <f t="shared" si="16"/>
        <v>256225.98354112534</v>
      </c>
      <c r="P40" s="20" t="b">
        <f t="shared" si="17"/>
        <v>0</v>
      </c>
      <c r="Q40" s="55">
        <f t="shared" si="18"/>
        <v>256225.98354112534</v>
      </c>
      <c r="R40" s="20"/>
      <c r="S40" s="54">
        <v>24541110.193719737</v>
      </c>
      <c r="T40" s="3">
        <f t="shared" si="2"/>
        <v>8.0901876909949169E-2</v>
      </c>
      <c r="U40" s="56">
        <v>2306033.8518701284</v>
      </c>
      <c r="V40" s="57">
        <v>0</v>
      </c>
      <c r="W40" s="3">
        <f t="shared" si="3"/>
        <v>0</v>
      </c>
      <c r="X40" s="56">
        <f t="shared" si="4"/>
        <v>0</v>
      </c>
      <c r="Y40" s="56">
        <f t="shared" si="21"/>
        <v>2306033.8518701284</v>
      </c>
      <c r="Z40" s="58">
        <f t="shared" si="5"/>
        <v>0.9</v>
      </c>
      <c r="AA40" s="53" t="b">
        <f t="shared" si="6"/>
        <v>0</v>
      </c>
      <c r="AB40" s="54">
        <f t="shared" si="7"/>
        <v>256225.98354112534</v>
      </c>
      <c r="AC40" s="20">
        <f>U40</f>
        <v>2306033.8518701284</v>
      </c>
      <c r="AD40" s="20">
        <v>0</v>
      </c>
      <c r="AE40" s="20">
        <v>0</v>
      </c>
      <c r="AF40" s="55">
        <f t="shared" si="10"/>
        <v>2562259.8354112539</v>
      </c>
    </row>
    <row r="41" spans="1:32" x14ac:dyDescent="0.25">
      <c r="A41" s="44" t="s">
        <v>122</v>
      </c>
      <c r="B41" s="45" t="s">
        <v>163</v>
      </c>
      <c r="C41" s="46" t="s">
        <v>4</v>
      </c>
      <c r="D41" s="45"/>
      <c r="E41" s="47">
        <v>314423.03502166661</v>
      </c>
      <c r="F41" s="14">
        <v>944394.67580426962</v>
      </c>
      <c r="G41" s="48">
        <f t="shared" si="11"/>
        <v>1.4385175827110663E-2</v>
      </c>
      <c r="H41" s="14">
        <v>219067.16501331798</v>
      </c>
      <c r="I41" s="14">
        <f t="shared" si="12"/>
        <v>219067.16501331798</v>
      </c>
      <c r="J41" s="45" t="b">
        <f t="shared" si="22"/>
        <v>1</v>
      </c>
      <c r="K41" s="14">
        <f t="shared" si="0"/>
        <v>314423.03502166661</v>
      </c>
      <c r="L41" s="14" t="b">
        <f t="shared" si="14"/>
        <v>0</v>
      </c>
      <c r="M41" s="14">
        <f t="shared" si="1"/>
        <v>314423.03502166661</v>
      </c>
      <c r="N41" s="14" t="b">
        <f t="shared" si="15"/>
        <v>0</v>
      </c>
      <c r="O41" s="14">
        <f t="shared" si="16"/>
        <v>314423.03502166661</v>
      </c>
      <c r="P41" s="14" t="b">
        <f t="shared" si="17"/>
        <v>0</v>
      </c>
      <c r="Q41" s="49">
        <f t="shared" si="18"/>
        <v>314423.03502166661</v>
      </c>
      <c r="R41" s="14"/>
      <c r="S41" s="47">
        <v>877479.85387208173</v>
      </c>
      <c r="T41" s="48">
        <f t="shared" si="2"/>
        <v>1.1168285092328992E-2</v>
      </c>
      <c r="U41" s="50">
        <v>76818.41164044998</v>
      </c>
      <c r="V41" s="51">
        <v>0</v>
      </c>
      <c r="W41" s="48">
        <f t="shared" si="3"/>
        <v>0</v>
      </c>
      <c r="X41" s="50">
        <f t="shared" si="4"/>
        <v>0</v>
      </c>
      <c r="Y41" s="50">
        <f t="shared" si="21"/>
        <v>76818.41164044998</v>
      </c>
      <c r="Z41" s="4">
        <f t="shared" si="5"/>
        <v>0.19634528063380718</v>
      </c>
      <c r="AA41" s="46" t="b">
        <f t="shared" si="6"/>
        <v>0</v>
      </c>
      <c r="AB41" s="47">
        <f t="shared" si="7"/>
        <v>314423.03502166661</v>
      </c>
      <c r="AC41" s="14"/>
      <c r="AD41" s="14">
        <f>IF(AA41,0,U41)</f>
        <v>76818.41164044998</v>
      </c>
      <c r="AE41" s="14">
        <f>IF(AA41,0,X41)</f>
        <v>0</v>
      </c>
      <c r="AF41" s="49">
        <f t="shared" si="10"/>
        <v>391241.44666211656</v>
      </c>
    </row>
    <row r="42" spans="1:32" x14ac:dyDescent="0.25">
      <c r="A42" s="52" t="s">
        <v>123</v>
      </c>
      <c r="B42" t="s">
        <v>164</v>
      </c>
      <c r="C42" s="53" t="s">
        <v>4</v>
      </c>
      <c r="E42" s="54">
        <v>0</v>
      </c>
      <c r="F42" s="20">
        <v>340239.83539197873</v>
      </c>
      <c r="G42" s="3">
        <f t="shared" si="11"/>
        <v>5.1825894203952434E-3</v>
      </c>
      <c r="H42" s="20">
        <v>78923.969049743522</v>
      </c>
      <c r="I42" s="20">
        <f t="shared" si="12"/>
        <v>0</v>
      </c>
      <c r="J42" t="b">
        <f t="shared" si="22"/>
        <v>0</v>
      </c>
      <c r="K42" s="20">
        <f t="shared" si="0"/>
        <v>0</v>
      </c>
      <c r="L42" s="20" t="b">
        <f t="shared" si="14"/>
        <v>0</v>
      </c>
      <c r="M42" s="20">
        <f t="shared" si="1"/>
        <v>0</v>
      </c>
      <c r="N42" s="20" t="b">
        <f t="shared" si="15"/>
        <v>0</v>
      </c>
      <c r="O42" s="20">
        <f t="shared" si="16"/>
        <v>0</v>
      </c>
      <c r="P42" s="20" t="b">
        <f t="shared" si="17"/>
        <v>0</v>
      </c>
      <c r="Q42" s="55">
        <f t="shared" si="18"/>
        <v>0</v>
      </c>
      <c r="R42" s="20"/>
      <c r="S42" s="54">
        <v>682358.52395542234</v>
      </c>
      <c r="T42" s="3">
        <f t="shared" si="2"/>
        <v>8.6848427312450974E-3</v>
      </c>
      <c r="U42" s="56">
        <v>59736.639819446951</v>
      </c>
      <c r="V42" s="57">
        <v>1395617.8575689329</v>
      </c>
      <c r="W42" s="3">
        <f t="shared" si="3"/>
        <v>2.5451065051130504E-2</v>
      </c>
      <c r="X42" s="56">
        <f t="shared" si="4"/>
        <v>50902.130102261006</v>
      </c>
      <c r="Y42" s="56">
        <f t="shared" si="21"/>
        <v>110638.76992170795</v>
      </c>
      <c r="Z42" s="58">
        <f t="shared" si="5"/>
        <v>1</v>
      </c>
      <c r="AA42" s="53" t="b">
        <f t="shared" ref="AA42" si="25">Z42&lt;=De_Minimis_Threshold</f>
        <v>0</v>
      </c>
      <c r="AB42" s="54">
        <f t="shared" si="7"/>
        <v>0</v>
      </c>
      <c r="AC42" s="20"/>
      <c r="AD42" s="20">
        <f>IF(AA42,0,U42)</f>
        <v>59736.639819446951</v>
      </c>
      <c r="AE42" s="20">
        <f>IF(AA42,0,X42)</f>
        <v>50902.130102261006</v>
      </c>
      <c r="AF42" s="55">
        <f t="shared" si="10"/>
        <v>110638.76992170795</v>
      </c>
    </row>
    <row r="43" spans="1:32" ht="15.75" thickBot="1" x14ac:dyDescent="0.3">
      <c r="A43" s="59" t="s">
        <v>124</v>
      </c>
      <c r="B43" s="60" t="s">
        <v>165</v>
      </c>
      <c r="C43" s="61" t="s">
        <v>5</v>
      </c>
      <c r="D43" s="60">
        <v>0.30211334388087602</v>
      </c>
      <c r="E43" s="62">
        <v>0</v>
      </c>
      <c r="F43" s="63">
        <v>16813439.534353636</v>
      </c>
      <c r="G43" s="64">
        <f t="shared" si="11"/>
        <v>0.4106241867798528</v>
      </c>
      <c r="H43" s="63">
        <v>649543.68934388342</v>
      </c>
      <c r="I43" s="63">
        <f t="shared" si="12"/>
        <v>649543.68934388342</v>
      </c>
      <c r="J43" s="60" t="b">
        <f t="shared" si="22"/>
        <v>0</v>
      </c>
      <c r="K43" s="63">
        <f t="shared" si="0"/>
        <v>649543.68934388342</v>
      </c>
      <c r="L43" s="63" t="b">
        <f t="shared" si="14"/>
        <v>0</v>
      </c>
      <c r="M43" s="63">
        <f t="shared" si="1"/>
        <v>649543.68934388342</v>
      </c>
      <c r="N43" s="63" t="b">
        <f>IF(C43="PC",FALSE,E43&gt;M43)</f>
        <v>0</v>
      </c>
      <c r="O43" s="63">
        <f t="shared" si="16"/>
        <v>649543.68934388342</v>
      </c>
      <c r="P43" s="63" t="b">
        <f t="shared" si="17"/>
        <v>0</v>
      </c>
      <c r="Q43" s="65">
        <f t="shared" si="18"/>
        <v>649543.68934388342</v>
      </c>
      <c r="R43" s="63"/>
      <c r="S43" s="62">
        <v>97465276.782638416</v>
      </c>
      <c r="T43" s="64">
        <f t="shared" si="2"/>
        <v>0.321302653507542</v>
      </c>
      <c r="U43" s="66">
        <v>5845893.204094951</v>
      </c>
      <c r="V43" s="67">
        <v>0</v>
      </c>
      <c r="W43" s="64">
        <f t="shared" si="3"/>
        <v>0</v>
      </c>
      <c r="X43" s="66">
        <f t="shared" si="4"/>
        <v>0</v>
      </c>
      <c r="Y43" s="66">
        <f t="shared" si="21"/>
        <v>5845893.204094951</v>
      </c>
      <c r="Z43" s="68">
        <f t="shared" si="5"/>
        <v>0.9</v>
      </c>
      <c r="AA43" s="61" t="b">
        <f t="shared" si="6"/>
        <v>0</v>
      </c>
      <c r="AB43" s="62">
        <f t="shared" si="7"/>
        <v>649543.68934388342</v>
      </c>
      <c r="AC43" s="63">
        <f>U43</f>
        <v>5845893.204094951</v>
      </c>
      <c r="AD43" s="63">
        <v>0</v>
      </c>
      <c r="AE43" s="63">
        <v>0</v>
      </c>
      <c r="AF43" s="65">
        <f t="shared" si="10"/>
        <v>6495436.8934388347</v>
      </c>
    </row>
    <row r="44" spans="1:32" x14ac:dyDescent="0.25">
      <c r="C44" s="1"/>
      <c r="E44" s="69" t="s">
        <v>14</v>
      </c>
      <c r="F44" s="70">
        <v>106596600.53776544</v>
      </c>
      <c r="G44" s="71">
        <f>SUM(G5:G43)</f>
        <v>1.9999999999999998</v>
      </c>
      <c r="H44" s="70">
        <v>17378674.827905715</v>
      </c>
      <c r="I44" s="70">
        <f>SUM(I5:I43)</f>
        <v>12394632.519739505</v>
      </c>
      <c r="J44" s="72"/>
      <c r="K44" s="70">
        <f>SUM(K5:K43)</f>
        <v>16230574.629881373</v>
      </c>
      <c r="L44" s="70"/>
      <c r="M44" s="70">
        <f>SUM(M5:M43)</f>
        <v>17306917.712227575</v>
      </c>
      <c r="N44" s="72"/>
      <c r="O44" s="70">
        <f>SUM(O5:O43)</f>
        <v>17378674.827905718</v>
      </c>
      <c r="P44" s="72"/>
      <c r="Q44" s="73">
        <f>SUM(Q5:Q43)</f>
        <v>17378674.827905718</v>
      </c>
      <c r="S44" s="74">
        <v>381913037.13235271</v>
      </c>
      <c r="T44" s="71">
        <f t="shared" ref="T44:Y44" si="26">SUM(T5:T43)</f>
        <v>2</v>
      </c>
      <c r="U44" s="70">
        <f t="shared" si="26"/>
        <v>26228263.852094285</v>
      </c>
      <c r="V44" s="75">
        <f t="shared" si="26"/>
        <v>54835342.048168682</v>
      </c>
      <c r="W44" s="71">
        <f t="shared" si="26"/>
        <v>0.99999999999999967</v>
      </c>
      <c r="X44" s="70">
        <f t="shared" si="26"/>
        <v>1999999.9999999993</v>
      </c>
      <c r="Y44" s="70">
        <f t="shared" si="26"/>
        <v>28228263.852094285</v>
      </c>
      <c r="Z44" s="72"/>
      <c r="AA44" s="73">
        <f>AA45+AA46</f>
        <v>30905.242212114426</v>
      </c>
      <c r="AB44" s="74">
        <f t="shared" ref="AB44:AE44" si="27">SUM(AB5:AB43)</f>
        <v>17409580.070117831</v>
      </c>
      <c r="AC44" s="70">
        <f t="shared" si="27"/>
        <v>19350000</v>
      </c>
      <c r="AD44" s="70">
        <f>SUM(AD5:AD43)</f>
        <v>6847358.6098821703</v>
      </c>
      <c r="AE44" s="70">
        <f t="shared" si="27"/>
        <v>1999999.9999999993</v>
      </c>
      <c r="AF44" s="73">
        <f>SUM(AF5:AF43)</f>
        <v>45606938.680000007</v>
      </c>
    </row>
    <row r="45" spans="1:32" x14ac:dyDescent="0.25">
      <c r="C45" s="1"/>
      <c r="E45" s="52" t="s">
        <v>5</v>
      </c>
      <c r="F45" s="20">
        <v>40946052.560142532</v>
      </c>
      <c r="G45" s="3">
        <f>SUMIF($C$5:$C$43,E45,$G$5:$G$43)</f>
        <v>1</v>
      </c>
      <c r="H45" s="20">
        <v>2150000</v>
      </c>
      <c r="I45" s="20">
        <f>SUMIF($C$5:$C$43,E45,$I$5:$I$43)</f>
        <v>2150000</v>
      </c>
      <c r="K45" s="20">
        <f>SUMIF($C$5:$C$43,E45,$K$5:$K$43)</f>
        <v>2150000</v>
      </c>
      <c r="L45" s="20"/>
      <c r="M45" s="20">
        <f>SUMIF($C$5:$C$43,E45,$M$5:$M$43)</f>
        <v>2150000</v>
      </c>
      <c r="O45" s="20">
        <f>SUMIF($C$5:$C$43,E45,$O$5:$O$43)</f>
        <v>2150000</v>
      </c>
      <c r="Q45" s="76">
        <f>SUMIF($C$5:$C$43,E45,$Q$5:$Q$43)</f>
        <v>2150000</v>
      </c>
      <c r="S45" s="54">
        <v>303344138.98748147</v>
      </c>
      <c r="T45" s="3">
        <f>SUMIF($C$5:$C$43,E45,$T$5:$T$43)</f>
        <v>1</v>
      </c>
      <c r="U45" s="20">
        <f>SUMIF($C$5:$C$43,E45,$U$5:$U$43)</f>
        <v>19350000</v>
      </c>
      <c r="V45" s="57">
        <f>SUMIFS($V$5:$V$43,$C$5:$C$43,E45)</f>
        <v>0</v>
      </c>
      <c r="W45" s="3">
        <f>SUMIFS($S$5:$S$43,$C$5:$C$43,H45)</f>
        <v>0</v>
      </c>
      <c r="X45" s="20">
        <f>SUMIF($C$5:$C$43,E45,$X$5:$X$43)</f>
        <v>0</v>
      </c>
      <c r="Y45" s="20">
        <f>SUMIF($C$5:$C$43,E45,$Y$5:$Y$43)</f>
        <v>19350000</v>
      </c>
      <c r="AA45" s="76">
        <f>SUMIFS(Y5:Y43,AA5:AA43,TRUE,$C$5:$C$43,$E45)</f>
        <v>0</v>
      </c>
      <c r="AB45" s="54">
        <f>SUMIF($C$5:$C$43,E45,$AB$5:$AB$43)</f>
        <v>2150000</v>
      </c>
      <c r="AC45" s="20">
        <f>SUMIF($C$5:$C$43,E45,$AC$5:$AC$43)</f>
        <v>19350000</v>
      </c>
      <c r="AD45" s="20">
        <f>SUMIF($C$5:$C$43,E45,$AD$5:$AD$43)</f>
        <v>0</v>
      </c>
      <c r="AE45" s="20">
        <f>SUMIF($C$5:$C$43,E45,$AE$5:$AE$43)</f>
        <v>0</v>
      </c>
      <c r="AF45" s="76">
        <f>SUMIF($C$5:$C$43,E45,$AF$5:$AF$43)</f>
        <v>21500000</v>
      </c>
    </row>
    <row r="46" spans="1:32" ht="15.75" thickBot="1" x14ac:dyDescent="0.3">
      <c r="C46" s="1"/>
      <c r="E46" s="77" t="s">
        <v>4</v>
      </c>
      <c r="F46" s="78">
        <v>65650547.977622889</v>
      </c>
      <c r="G46" s="79">
        <f>SUMIF($C$5:$C$43,E46:E46,$G$5:$G$43)</f>
        <v>0.99999999999999967</v>
      </c>
      <c r="H46" s="78">
        <v>15228674.827905716</v>
      </c>
      <c r="I46" s="78">
        <f>SUMIF($C$5:$C$43,E46,$I$5:$I$43)</f>
        <v>10244632.519739505</v>
      </c>
      <c r="J46" s="80"/>
      <c r="K46" s="78">
        <f>SUMIF($C$5:$C$43,E46,$K$5:$K$43)</f>
        <v>14080574.629881371</v>
      </c>
      <c r="L46" s="78"/>
      <c r="M46" s="78">
        <f>SUMIF($C$5:$C$43,E46,$M$5:$M$43)</f>
        <v>15156917.712227575</v>
      </c>
      <c r="N46" s="80"/>
      <c r="O46" s="78">
        <f>SUMIF($C$5:$C$43,E46,$O$5:$O$43)</f>
        <v>15228674.827905716</v>
      </c>
      <c r="P46" s="80"/>
      <c r="Q46" s="81">
        <f>SUMIF($C$5:$C$43,E46,$Q$5:$Q$43)</f>
        <v>15228674.827905716</v>
      </c>
      <c r="S46" s="82">
        <v>78568898.144871354</v>
      </c>
      <c r="T46" s="79">
        <f>SUMIF($C$5:$C$43,E46,$T$5:$T$43)</f>
        <v>1.0000000000000002</v>
      </c>
      <c r="U46" s="78">
        <f>SUMIF($C$5:$C$43,E46,$U$5:$U$43)</f>
        <v>6878263.8520942852</v>
      </c>
      <c r="V46" s="83">
        <f>SUMIFS($V$5:$V$43,$C$5:$C$43,E46)</f>
        <v>54835342.048168682</v>
      </c>
      <c r="W46" s="79">
        <f>SUMIFS($S$5:$S$43,$C$5:$C$43,H46)</f>
        <v>0</v>
      </c>
      <c r="X46" s="78">
        <f>SUMIF($C$5:$C$43,E46,$X$5:$X$43)</f>
        <v>1999999.9999999993</v>
      </c>
      <c r="Y46" s="78">
        <f>SUMIF($C$5:$C$43,E46,$Y$5:$Y$43)</f>
        <v>8878263.8520942852</v>
      </c>
      <c r="Z46" s="80"/>
      <c r="AA46" s="81">
        <f>SUMIFS(Y5:Y43,AA5:AA43,TRUE,$C$5:$C$43,$E46)</f>
        <v>30905.242212114426</v>
      </c>
      <c r="AB46" s="82">
        <f>SUMIF($C$5:$C$43,E46,$AB$5:$AB$43)</f>
        <v>15259580.070117831</v>
      </c>
      <c r="AC46" s="78">
        <f>SUMIF($C$5:$C$43,E46,$AC$5:$AC$43)</f>
        <v>0</v>
      </c>
      <c r="AD46" s="78">
        <f>SUMIF($C$5:$C$43,E46,$AD$5:$AD$43)</f>
        <v>6847358.6098821703</v>
      </c>
      <c r="AE46" s="78">
        <f>SUMIF($C$5:$C$43,E46,$AE$5:$AE$43)</f>
        <v>1999999.9999999993</v>
      </c>
      <c r="AF46" s="81">
        <f>SUMIF($C$5:$C$43,E46,$AF$5:$AF$43)</f>
        <v>24106938.680000007</v>
      </c>
    </row>
    <row r="47" spans="1:32" x14ac:dyDescent="0.25">
      <c r="H47" s="90"/>
      <c r="I47" s="20" t="s">
        <v>125</v>
      </c>
      <c r="J47" t="s">
        <v>5</v>
      </c>
      <c r="K47" s="20">
        <f>IF(J47="PC",0,SUMIFS($I$5:$I$43,$J$5:$J$43,TRUE,$C$5:$C$43,J47))</f>
        <v>0</v>
      </c>
      <c r="L47" s="20"/>
      <c r="M47" s="20">
        <f>IF(J47="PC",0,SUMIFS($K$5:$K$43,$L$5:$L$43,TRUE,$C$5:$C$43,J47))</f>
        <v>0</v>
      </c>
      <c r="O47" s="20">
        <f>IF(J47="PC",0,SUMIFS($M$5:$M$43,$N$5:$N$43,TRUE,$C$5:$C$43,J47))</f>
        <v>0</v>
      </c>
      <c r="Q47" s="76">
        <f>IF(J47="PC",0,SUMIFS($O$5:$O$43,$P$5:$P$43,TRUE,$C$5:$C$43,J47))</f>
        <v>0</v>
      </c>
      <c r="AB47" s="20"/>
    </row>
    <row r="48" spans="1:32" ht="15.75" thickBot="1" x14ac:dyDescent="0.3">
      <c r="H48" s="90"/>
      <c r="I48" s="78" t="s">
        <v>125</v>
      </c>
      <c r="J48" s="80" t="s">
        <v>4</v>
      </c>
      <c r="K48" s="78">
        <f>IF(J48="PC",0,SUMIFS($I$5:$I$43,$J$5:$J$43,TRUE,$C$5:$C$43,J48))</f>
        <v>8459427.841919506</v>
      </c>
      <c r="L48" s="78"/>
      <c r="M48" s="78">
        <f>IF(J48="PC",0,SUMIFS($K$5:$K$43,$L$5:$L$43,TRUE,$C$5:$C$43,J48))</f>
        <v>8561692.5885813739</v>
      </c>
      <c r="N48" s="80"/>
      <c r="O48" s="78">
        <f>IF(J48="PC",0,SUMIFS($M$5:$M$43,$N$5:$N$43,TRUE,$C$5:$C$43,J48))</f>
        <v>6620524.3661415791</v>
      </c>
      <c r="P48" s="80"/>
      <c r="Q48" s="81">
        <f>IF(J48="PC",0,SUMIFS($O$5:$O$43,$P$5:$P$43,TRUE,$C$5:$C$43,J48))</f>
        <v>6692281.4818197209</v>
      </c>
    </row>
    <row r="49" spans="8:17" x14ac:dyDescent="0.25">
      <c r="H49" s="90"/>
      <c r="I49" s="20" t="s">
        <v>126</v>
      </c>
      <c r="J49" t="s">
        <v>5</v>
      </c>
      <c r="K49" s="20">
        <f>IF(J49&lt;&gt;"RoR",0,H45-I45)</f>
        <v>0</v>
      </c>
      <c r="L49" s="20"/>
      <c r="M49" s="20">
        <f>IF(J49&lt;&gt;"RoR",0,I45-K45+K49)</f>
        <v>0</v>
      </c>
      <c r="O49" s="20">
        <f>IF(J49&lt;&gt;"RoR",0,K45-M45+M49)</f>
        <v>0</v>
      </c>
      <c r="Q49" s="76">
        <f>IF(J49&lt;&gt;"RoR",0,M45-O45+O49)</f>
        <v>0</v>
      </c>
    </row>
    <row r="50" spans="8:17" ht="15.75" thickBot="1" x14ac:dyDescent="0.3">
      <c r="H50" s="90"/>
      <c r="I50" s="78" t="s">
        <v>126</v>
      </c>
      <c r="J50" s="80" t="s">
        <v>4</v>
      </c>
      <c r="K50" s="78">
        <f>IF(J50&lt;&gt;"RoR",0,H46-I46)</f>
        <v>4984042.3081662115</v>
      </c>
      <c r="L50" s="78"/>
      <c r="M50" s="78">
        <f>IF(J50&lt;&gt;"RoR",0,I46-K46+K50)</f>
        <v>1148100.1980243456</v>
      </c>
      <c r="N50" s="80"/>
      <c r="O50" s="78">
        <f>IF(J50&lt;&gt;"RoR",0,K46-M46+M50)</f>
        <v>71757.115678140894</v>
      </c>
      <c r="P50" s="80"/>
      <c r="Q50" s="81">
        <f>IF(J50&lt;&gt;"RoR",0,M46-O46+O50)</f>
        <v>0</v>
      </c>
    </row>
  </sheetData>
  <mergeCells count="4">
    <mergeCell ref="S1:AA1"/>
    <mergeCell ref="AB1:AF1"/>
    <mergeCell ref="A4:C4"/>
    <mergeCell ref="H47:H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Budget &amp; Inputs</vt:lpstr>
      <vt:lpstr>Allocation</vt:lpstr>
      <vt:lpstr>ACAM_Support_per_location</vt:lpstr>
      <vt:lpstr>Budget_Total</vt:lpstr>
      <vt:lpstr>Capped_Locations_BDS_Budget</vt:lpstr>
      <vt:lpstr>De_Minimis_Threshold</vt:lpstr>
      <vt:lpstr>State_Benchmark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Kapustin, Victor</dc:creator>
  <cp:lastModifiedBy>Kapustin, Victor</cp:lastModifiedBy>
  <dcterms:created xsi:type="dcterms:W3CDTF">2023-11-09T16:15:35Z</dcterms:created>
  <dcterms:modified xsi:type="dcterms:W3CDTF">2023-11-28T20:51:47Z</dcterms:modified>
</cp:coreProperties>
</file>